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桌面\富力中心ABS\结果\抵押物\"/>
    </mc:Choice>
  </mc:AlternateContent>
  <bookViews>
    <workbookView xWindow="0" yWindow="0" windowWidth="19200" windowHeight="11040" tabRatio="678" firstSheet="1" activeTab="1"/>
  </bookViews>
  <sheets>
    <sheet name="仓储现金流" sheetId="1" state="hidden" r:id="rId1"/>
    <sheet name="结果表" sheetId="12" r:id="rId2"/>
    <sheet name="地下车库现金流" sheetId="5" r:id="rId3"/>
    <sheet name="地下仓储现金流" sheetId="4" r:id="rId4"/>
    <sheet name="地上商业现金流" sheetId="6" r:id="rId5"/>
    <sheet name="取值表" sheetId="7" r:id="rId6"/>
    <sheet name="基础资料" sheetId="3" r:id="rId7"/>
    <sheet name="前3年整理" sheetId="8" r:id="rId8"/>
    <sheet name="总表" sheetId="10" state="hidden" r:id="rId9"/>
    <sheet name="Sheet1" sheetId="11" state="hidden" r:id="rId10"/>
  </sheets>
  <externalReferences>
    <externalReference r:id="rId11"/>
    <externalReference r:id="rId12"/>
  </externalReferences>
  <definedNames>
    <definedName name="_xlnm._FilterDatabase" localSheetId="0" hidden="1">仓储现金流!$A$1:$CP$74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2" l="1"/>
  <c r="D12" i="12"/>
  <c r="D11" i="12"/>
  <c r="D10" i="12"/>
  <c r="K6" i="12"/>
  <c r="D5" i="12"/>
  <c r="C4" i="12" l="1"/>
  <c r="C5" i="12" l="1"/>
  <c r="EO25" i="5" l="1"/>
  <c r="D25" i="5"/>
  <c r="E25" i="5"/>
  <c r="E13" i="12"/>
  <c r="K5" i="12"/>
  <c r="K4" i="12"/>
  <c r="C6" i="12" l="1"/>
  <c r="G4" i="12" l="1"/>
  <c r="G6" i="12" s="1"/>
  <c r="G5" i="12" l="1"/>
  <c r="L4" i="12" l="1"/>
  <c r="L5" i="12"/>
  <c r="H4" i="12"/>
  <c r="D4" i="12"/>
  <c r="I413" i="6"/>
  <c r="M413" i="6"/>
  <c r="Q413" i="6"/>
  <c r="U413" i="6"/>
  <c r="Y413" i="6"/>
  <c r="AC413" i="6"/>
  <c r="AG413" i="6"/>
  <c r="AK413" i="6"/>
  <c r="AO413" i="6"/>
  <c r="AS413" i="6"/>
  <c r="AW413" i="6"/>
  <c r="BA413" i="6"/>
  <c r="BE413" i="6"/>
  <c r="BI413" i="6"/>
  <c r="BM413" i="6"/>
  <c r="BQ413" i="6"/>
  <c r="BU413" i="6"/>
  <c r="BY413" i="6"/>
  <c r="CC413" i="6"/>
  <c r="CG413" i="6"/>
  <c r="CK413" i="6"/>
  <c r="CO413" i="6"/>
  <c r="CS413" i="6"/>
  <c r="CW413" i="6"/>
  <c r="E413" i="6"/>
  <c r="EO98" i="4"/>
  <c r="I98" i="4"/>
  <c r="M98" i="4"/>
  <c r="Q98" i="4"/>
  <c r="U98" i="4"/>
  <c r="Y98" i="4"/>
  <c r="AC98" i="4"/>
  <c r="AG98" i="4"/>
  <c r="AK98" i="4"/>
  <c r="AO98" i="4"/>
  <c r="AS98" i="4"/>
  <c r="AW98" i="4"/>
  <c r="BA98" i="4"/>
  <c r="BE98" i="4"/>
  <c r="BI98" i="4"/>
  <c r="BM98" i="4"/>
  <c r="BQ98" i="4"/>
  <c r="BU98" i="4"/>
  <c r="BY98" i="4"/>
  <c r="CC98" i="4"/>
  <c r="CG98" i="4"/>
  <c r="CK98" i="4"/>
  <c r="CO98" i="4"/>
  <c r="CS98" i="4"/>
  <c r="CW98" i="4"/>
  <c r="DA98" i="4"/>
  <c r="DE98" i="4"/>
  <c r="DI98" i="4"/>
  <c r="DM98" i="4"/>
  <c r="DQ98" i="4"/>
  <c r="DU98" i="4"/>
  <c r="DY98" i="4"/>
  <c r="EC98" i="4"/>
  <c r="EG98" i="4"/>
  <c r="EK98" i="4"/>
  <c r="E98" i="4"/>
  <c r="EK25" i="5"/>
  <c r="I25" i="5"/>
  <c r="M25" i="5"/>
  <c r="Q25" i="5"/>
  <c r="U25" i="5"/>
  <c r="Y25" i="5"/>
  <c r="AC25" i="5"/>
  <c r="AG25" i="5"/>
  <c r="AK25" i="5"/>
  <c r="AO25" i="5"/>
  <c r="AS25" i="5"/>
  <c r="AW25" i="5"/>
  <c r="BA25" i="5"/>
  <c r="BE25" i="5"/>
  <c r="BI25" i="5"/>
  <c r="BM25" i="5"/>
  <c r="BQ25" i="5"/>
  <c r="BU25" i="5"/>
  <c r="BY25" i="5"/>
  <c r="CC25" i="5"/>
  <c r="CG25" i="5"/>
  <c r="CK25" i="5"/>
  <c r="CO25" i="5"/>
  <c r="CS25" i="5"/>
  <c r="CW25" i="5"/>
  <c r="DA25" i="5"/>
  <c r="DE25" i="5"/>
  <c r="DI25" i="5"/>
  <c r="DM25" i="5"/>
  <c r="DQ25" i="5"/>
  <c r="DU25" i="5"/>
  <c r="DY25" i="5"/>
  <c r="EC25" i="5"/>
  <c r="EG25" i="5"/>
  <c r="J11" i="12" l="1"/>
  <c r="J10" i="12"/>
  <c r="E12" i="12" l="1"/>
  <c r="E11" i="12"/>
  <c r="E10" i="12"/>
  <c r="C12" i="12"/>
  <c r="C11" i="12"/>
  <c r="C10" i="12"/>
  <c r="L2" i="12"/>
  <c r="H2" i="12"/>
  <c r="D2" i="12"/>
  <c r="H27" i="3"/>
  <c r="D414" i="6"/>
  <c r="DA413" i="6"/>
  <c r="D413" i="6" s="1"/>
  <c r="CX401" i="6"/>
  <c r="CZ409" i="6"/>
  <c r="DB394" i="6"/>
  <c r="DB5" i="6"/>
  <c r="DE5" i="6"/>
  <c r="DC5" i="6"/>
  <c r="DD5" i="6" s="1"/>
  <c r="CX5" i="6"/>
  <c r="CX394" i="6"/>
  <c r="DB3" i="6"/>
  <c r="CX3" i="6"/>
  <c r="DA411" i="6"/>
  <c r="DA412" i="6"/>
  <c r="D26" i="5"/>
  <c r="E26" i="5"/>
  <c r="D99" i="4"/>
  <c r="F82" i="4"/>
  <c r="G82" i="4"/>
  <c r="D23" i="5"/>
  <c r="D411" i="6" s="1"/>
  <c r="ET3" i="4"/>
  <c r="ES3" i="4"/>
  <c r="EO15" i="5"/>
  <c r="EL12" i="5"/>
  <c r="EM12" i="5"/>
  <c r="EN12" i="5"/>
  <c r="ET4" i="5"/>
  <c r="ET5" i="5"/>
  <c r="ET6" i="5"/>
  <c r="ET3" i="5"/>
  <c r="EP3" i="5"/>
  <c r="EQ3" i="5"/>
  <c r="ER3" i="5" s="1"/>
  <c r="ES3" i="5" s="1"/>
  <c r="EP5" i="5"/>
  <c r="EQ5" i="5" s="1"/>
  <c r="ER5" i="5" s="1"/>
  <c r="ES5" i="5" s="1"/>
  <c r="EM5" i="5"/>
  <c r="EK12" i="5"/>
  <c r="EO87" i="4"/>
  <c r="EL87" i="4"/>
  <c r="EM87" i="4"/>
  <c r="EN87" i="4"/>
  <c r="EL85" i="4"/>
  <c r="EM85" i="4"/>
  <c r="ET4" i="4"/>
  <c r="ET6" i="4"/>
  <c r="ET8" i="4"/>
  <c r="ET10" i="4"/>
  <c r="ET12" i="4"/>
  <c r="ET14" i="4"/>
  <c r="ET16" i="4"/>
  <c r="ET18" i="4"/>
  <c r="ET20" i="4"/>
  <c r="ET22" i="4"/>
  <c r="ET24" i="4"/>
  <c r="ET26" i="4"/>
  <c r="ET28" i="4"/>
  <c r="ET30" i="4"/>
  <c r="ET32" i="4"/>
  <c r="ET34" i="4"/>
  <c r="ET36" i="4"/>
  <c r="ET38" i="4"/>
  <c r="ET40" i="4"/>
  <c r="ET42" i="4"/>
  <c r="ET44" i="4"/>
  <c r="ET46" i="4"/>
  <c r="ET48" i="4"/>
  <c r="ET50" i="4"/>
  <c r="ET52" i="4"/>
  <c r="ET54" i="4"/>
  <c r="ET56" i="4"/>
  <c r="ET58" i="4"/>
  <c r="ET60" i="4"/>
  <c r="ET62" i="4"/>
  <c r="ET64" i="4"/>
  <c r="ET66" i="4"/>
  <c r="ET68" i="4"/>
  <c r="ET70" i="4"/>
  <c r="ET72" i="4"/>
  <c r="ET74" i="4"/>
  <c r="ET76" i="4"/>
  <c r="ET78" i="4"/>
  <c r="DF172" i="6"/>
  <c r="CK402" i="6"/>
  <c r="CL402" i="6"/>
  <c r="CM402" i="6"/>
  <c r="CN402" i="6"/>
  <c r="CO402" i="6"/>
  <c r="CP402" i="6"/>
  <c r="CQ402" i="6"/>
  <c r="CR402" i="6"/>
  <c r="CZ400" i="6"/>
  <c r="CW400" i="6"/>
  <c r="CX400" i="6"/>
  <c r="CY400" i="6"/>
  <c r="CK400" i="6"/>
  <c r="CL400" i="6"/>
  <c r="CM400" i="6"/>
  <c r="CN400" i="6"/>
  <c r="CO400" i="6"/>
  <c r="CP400" i="6"/>
  <c r="CQ400" i="6"/>
  <c r="CR400" i="6"/>
  <c r="CS400" i="6"/>
  <c r="CT400" i="6"/>
  <c r="CU400" i="6"/>
  <c r="CV400" i="6"/>
  <c r="DF4" i="6"/>
  <c r="DF6" i="6"/>
  <c r="DF8" i="6"/>
  <c r="DF10" i="6"/>
  <c r="DF12" i="6"/>
  <c r="DF14" i="6"/>
  <c r="DF16" i="6"/>
  <c r="DF18" i="6"/>
  <c r="DF20" i="6"/>
  <c r="DF22" i="6"/>
  <c r="DF23" i="6"/>
  <c r="DF24" i="6"/>
  <c r="DF26" i="6"/>
  <c r="DF28" i="6"/>
  <c r="DF30" i="6"/>
  <c r="DF32" i="6"/>
  <c r="DF34" i="6"/>
  <c r="DF36" i="6"/>
  <c r="DF38" i="6"/>
  <c r="DF40" i="6"/>
  <c r="DF42" i="6"/>
  <c r="DF44" i="6"/>
  <c r="DF46" i="6"/>
  <c r="DF48" i="6"/>
  <c r="DF50" i="6"/>
  <c r="DF52" i="6"/>
  <c r="DF54" i="6"/>
  <c r="DF56" i="6"/>
  <c r="DF58" i="6"/>
  <c r="DF60" i="6"/>
  <c r="DF62" i="6"/>
  <c r="DF64" i="6"/>
  <c r="DF66" i="6"/>
  <c r="DF68" i="6"/>
  <c r="DF70" i="6"/>
  <c r="DF73" i="6"/>
  <c r="DF75" i="6"/>
  <c r="DF77" i="6"/>
  <c r="DF79" i="6"/>
  <c r="DF81" i="6"/>
  <c r="DF83" i="6"/>
  <c r="DF85" i="6"/>
  <c r="DF87" i="6"/>
  <c r="DF89" i="6"/>
  <c r="DF91" i="6"/>
  <c r="DF93" i="6"/>
  <c r="DF95" i="6"/>
  <c r="DF97" i="6"/>
  <c r="DF99" i="6"/>
  <c r="DF101" i="6"/>
  <c r="DF103" i="6"/>
  <c r="DF105" i="6"/>
  <c r="DF107" i="6"/>
  <c r="DF109" i="6"/>
  <c r="DF111" i="6"/>
  <c r="DF113" i="6"/>
  <c r="DF115" i="6"/>
  <c r="DF117" i="6"/>
  <c r="DF119" i="6"/>
  <c r="DF121" i="6"/>
  <c r="DF123" i="6"/>
  <c r="DF125" i="6"/>
  <c r="DF127" i="6"/>
  <c r="DF129" i="6"/>
  <c r="DF131" i="6"/>
  <c r="DF133" i="6"/>
  <c r="DF135" i="6"/>
  <c r="DF137" i="6"/>
  <c r="DF139" i="6"/>
  <c r="DF141" i="6"/>
  <c r="DF143" i="6"/>
  <c r="DF145" i="6"/>
  <c r="DF147" i="6"/>
  <c r="DF149" i="6"/>
  <c r="DF151" i="6"/>
  <c r="DF153" i="6"/>
  <c r="DF155" i="6"/>
  <c r="DF157" i="6"/>
  <c r="DF159" i="6"/>
  <c r="DF161" i="6"/>
  <c r="DF163" i="6"/>
  <c r="DF165" i="6"/>
  <c r="DF167" i="6"/>
  <c r="DF169" i="6"/>
  <c r="DF171" i="6"/>
  <c r="DF174" i="6"/>
  <c r="DF176" i="6"/>
  <c r="DF178" i="6"/>
  <c r="DF180" i="6"/>
  <c r="DF182" i="6"/>
  <c r="DF184" i="6"/>
  <c r="DF186" i="6"/>
  <c r="DF188" i="6"/>
  <c r="DF190" i="6"/>
  <c r="DF192" i="6"/>
  <c r="DF194" i="6"/>
  <c r="DF196" i="6"/>
  <c r="DF198" i="6"/>
  <c r="DF200" i="6"/>
  <c r="DF202" i="6"/>
  <c r="DF204" i="6"/>
  <c r="DF206" i="6"/>
  <c r="DF208" i="6"/>
  <c r="DF210" i="6"/>
  <c r="DF212" i="6"/>
  <c r="DF214" i="6"/>
  <c r="DF216" i="6"/>
  <c r="DF218" i="6"/>
  <c r="DF220" i="6"/>
  <c r="DF222" i="6"/>
  <c r="DF224" i="6"/>
  <c r="DF226" i="6"/>
  <c r="DF228" i="6"/>
  <c r="DF230" i="6"/>
  <c r="DF232" i="6"/>
  <c r="DF234" i="6"/>
  <c r="DF236" i="6"/>
  <c r="DF238" i="6"/>
  <c r="DF240" i="6"/>
  <c r="DF242" i="6"/>
  <c r="DF244" i="6"/>
  <c r="DF246" i="6"/>
  <c r="DF248" i="6"/>
  <c r="DF250" i="6"/>
  <c r="DF253" i="6"/>
  <c r="DF255" i="6"/>
  <c r="DF258" i="6"/>
  <c r="DF260" i="6"/>
  <c r="DF262" i="6"/>
  <c r="DF264" i="6"/>
  <c r="DF266" i="6"/>
  <c r="DF268" i="6"/>
  <c r="DF270" i="6"/>
  <c r="DF272" i="6"/>
  <c r="DF274" i="6"/>
  <c r="DF276" i="6"/>
  <c r="DF278" i="6"/>
  <c r="DF280" i="6"/>
  <c r="DF282" i="6"/>
  <c r="DF284" i="6"/>
  <c r="DF286" i="6"/>
  <c r="DF288" i="6"/>
  <c r="DF290" i="6"/>
  <c r="DF292" i="6"/>
  <c r="DF294" i="6"/>
  <c r="DF296" i="6"/>
  <c r="DF298" i="6"/>
  <c r="DF300" i="6"/>
  <c r="DF302" i="6"/>
  <c r="DF304" i="6"/>
  <c r="DF311" i="6"/>
  <c r="DF313" i="6"/>
  <c r="DF315" i="6"/>
  <c r="DF317" i="6"/>
  <c r="DF319" i="6"/>
  <c r="DF321" i="6"/>
  <c r="DF323" i="6"/>
  <c r="DF325" i="6"/>
  <c r="DF327" i="6"/>
  <c r="DF329" i="6"/>
  <c r="DF331" i="6"/>
  <c r="DF333" i="6"/>
  <c r="DF335" i="6"/>
  <c r="DF337" i="6"/>
  <c r="DF339" i="6"/>
  <c r="DF341" i="6"/>
  <c r="DF343" i="6"/>
  <c r="DF345" i="6"/>
  <c r="DF347" i="6"/>
  <c r="DF349" i="6"/>
  <c r="DF351" i="6"/>
  <c r="DF353" i="6"/>
  <c r="DF355" i="6"/>
  <c r="DF357" i="6"/>
  <c r="DF359" i="6"/>
  <c r="DF361" i="6"/>
  <c r="DF363" i="6"/>
  <c r="DF365" i="6"/>
  <c r="DF367" i="6"/>
  <c r="DF369" i="6"/>
  <c r="DF371" i="6"/>
  <c r="DF387" i="6"/>
  <c r="DF389" i="6"/>
  <c r="DF391" i="6"/>
  <c r="DF393" i="6"/>
  <c r="DF395" i="6"/>
  <c r="DC373" i="6"/>
  <c r="DD373" i="6" s="1"/>
  <c r="DE373" i="6" s="1"/>
  <c r="DC375" i="6"/>
  <c r="DD375" i="6" s="1"/>
  <c r="DE375" i="6" s="1"/>
  <c r="DC377" i="6"/>
  <c r="DD377" i="6" s="1"/>
  <c r="DE377" i="6" s="1"/>
  <c r="DC379" i="6"/>
  <c r="DD379" i="6" s="1"/>
  <c r="DE379" i="6" s="1"/>
  <c r="DC381" i="6"/>
  <c r="DD381" i="6" s="1"/>
  <c r="DE381" i="6" s="1"/>
  <c r="DC383" i="6"/>
  <c r="DD383" i="6" s="1"/>
  <c r="DE383" i="6" s="1"/>
  <c r="DC385" i="6"/>
  <c r="DD385" i="6" s="1"/>
  <c r="DE385" i="6" s="1"/>
  <c r="CQ373" i="6"/>
  <c r="CR373" i="6" s="1"/>
  <c r="CS373" i="6" s="1"/>
  <c r="CU373" i="6"/>
  <c r="CV373" i="6" s="1"/>
  <c r="CW373" i="6" s="1"/>
  <c r="CY373" i="6"/>
  <c r="CZ373" i="6" s="1"/>
  <c r="DA373" i="6" s="1"/>
  <c r="CQ375" i="6"/>
  <c r="CR375" i="6"/>
  <c r="CS375" i="6" s="1"/>
  <c r="CU375" i="6"/>
  <c r="CV375" i="6" s="1"/>
  <c r="CW375" i="6" s="1"/>
  <c r="CY375" i="6"/>
  <c r="CZ375" i="6" s="1"/>
  <c r="DA375" i="6" s="1"/>
  <c r="CQ377" i="6"/>
  <c r="CR377" i="6" s="1"/>
  <c r="CU377" i="6"/>
  <c r="CV377" i="6" s="1"/>
  <c r="CW377" i="6" s="1"/>
  <c r="CY377" i="6"/>
  <c r="CZ377" i="6" s="1"/>
  <c r="DA377" i="6" s="1"/>
  <c r="CQ379" i="6"/>
  <c r="CR379" i="6" s="1"/>
  <c r="CS379" i="6" s="1"/>
  <c r="CU379" i="6"/>
  <c r="CV379" i="6" s="1"/>
  <c r="CW379" i="6" s="1"/>
  <c r="CY379" i="6"/>
  <c r="CZ379" i="6" s="1"/>
  <c r="DA379" i="6" s="1"/>
  <c r="CQ381" i="6"/>
  <c r="CR381" i="6" s="1"/>
  <c r="CU381" i="6"/>
  <c r="CV381" i="6" s="1"/>
  <c r="CW381" i="6" s="1"/>
  <c r="CY381" i="6"/>
  <c r="CZ381" i="6" s="1"/>
  <c r="DA381" i="6" s="1"/>
  <c r="CQ383" i="6"/>
  <c r="CR383" i="6" s="1"/>
  <c r="CS383" i="6" s="1"/>
  <c r="CU383" i="6"/>
  <c r="CV383" i="6" s="1"/>
  <c r="CW383" i="6" s="1"/>
  <c r="CY383" i="6"/>
  <c r="CZ383" i="6" s="1"/>
  <c r="DA383" i="6" s="1"/>
  <c r="CQ385" i="6"/>
  <c r="CR385" i="6" s="1"/>
  <c r="CU385" i="6"/>
  <c r="CV385" i="6" s="1"/>
  <c r="CW385" i="6" s="1"/>
  <c r="CY385" i="6"/>
  <c r="CZ385" i="6" s="1"/>
  <c r="DA385" i="6" s="1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D47" i="8"/>
  <c r="C47" i="8"/>
  <c r="B47" i="8"/>
  <c r="E47" i="8"/>
  <c r="N41" i="8"/>
  <c r="EK85" i="4"/>
  <c r="EJ85" i="4"/>
  <c r="CW85" i="4"/>
  <c r="CX85" i="4"/>
  <c r="CY85" i="4"/>
  <c r="CZ85" i="4"/>
  <c r="DA85" i="4"/>
  <c r="DB85" i="4"/>
  <c r="DC85" i="4"/>
  <c r="DD85" i="4"/>
  <c r="DE85" i="4"/>
  <c r="DF85" i="4"/>
  <c r="DG85" i="4"/>
  <c r="DH85" i="4"/>
  <c r="DI85" i="4"/>
  <c r="DJ85" i="4"/>
  <c r="DK85" i="4"/>
  <c r="DL85" i="4"/>
  <c r="DM85" i="4"/>
  <c r="DN85" i="4"/>
  <c r="DO85" i="4"/>
  <c r="DP85" i="4"/>
  <c r="DQ85" i="4"/>
  <c r="DR85" i="4"/>
  <c r="DS85" i="4"/>
  <c r="DT85" i="4"/>
  <c r="DU85" i="4"/>
  <c r="DV85" i="4"/>
  <c r="DW85" i="4"/>
  <c r="DX85" i="4"/>
  <c r="DY85" i="4"/>
  <c r="DZ85" i="4"/>
  <c r="EA85" i="4"/>
  <c r="EB85" i="4"/>
  <c r="EC85" i="4"/>
  <c r="ED85" i="4"/>
  <c r="EE85" i="4"/>
  <c r="EF85" i="4"/>
  <c r="EG85" i="4"/>
  <c r="EH85" i="4"/>
  <c r="EI85" i="4"/>
  <c r="D415" i="6" l="1"/>
  <c r="CS385" i="6"/>
  <c r="CS381" i="6"/>
  <c r="CS377" i="6"/>
  <c r="CK85" i="4"/>
  <c r="CL85" i="4"/>
  <c r="CM85" i="4"/>
  <c r="CN85" i="4"/>
  <c r="CO85" i="4"/>
  <c r="CP85" i="4"/>
  <c r="CQ85" i="4"/>
  <c r="CR85" i="4"/>
  <c r="CS85" i="4"/>
  <c r="CT85" i="4"/>
  <c r="CU85" i="4"/>
  <c r="CV85" i="4"/>
  <c r="F12" i="12" l="1"/>
  <c r="G12" i="12" s="1"/>
  <c r="J4" i="8"/>
  <c r="G4" i="8"/>
  <c r="D4" i="8"/>
  <c r="D3" i="8"/>
  <c r="F7" i="5" l="1"/>
  <c r="F8" i="5" s="1"/>
  <c r="J4" i="3"/>
  <c r="J5" i="5"/>
  <c r="H5" i="5"/>
  <c r="F72" i="1"/>
  <c r="H7" i="5" l="1"/>
  <c r="H3" i="5"/>
  <c r="H8" i="5" l="1"/>
  <c r="F19" i="8"/>
  <c r="E19" i="8"/>
  <c r="D19" i="8"/>
  <c r="C19" i="8"/>
  <c r="B19" i="8"/>
  <c r="B29" i="8"/>
  <c r="H33" i="8"/>
  <c r="I32" i="8"/>
  <c r="H32" i="8"/>
  <c r="G32" i="8"/>
  <c r="G31" i="8"/>
  <c r="D408" i="6" l="1"/>
  <c r="D20" i="5"/>
  <c r="D93" i="4"/>
  <c r="I31" i="8"/>
  <c r="H31" i="8"/>
  <c r="I28" i="8"/>
  <c r="I45" i="8"/>
  <c r="N39" i="8"/>
  <c r="N40" i="8"/>
  <c r="H46" i="8"/>
  <c r="H45" i="8"/>
  <c r="O11" i="7"/>
  <c r="K2" i="7"/>
  <c r="G31" i="7"/>
  <c r="F31" i="7"/>
  <c r="F29" i="7"/>
  <c r="F27" i="7"/>
  <c r="F21" i="7"/>
  <c r="F19" i="7"/>
  <c r="F17" i="7"/>
  <c r="F15" i="7"/>
  <c r="F13" i="7"/>
  <c r="F11" i="7"/>
  <c r="F9" i="7"/>
  <c r="F7" i="7"/>
  <c r="G5" i="7"/>
  <c r="F5" i="7"/>
  <c r="G3" i="7"/>
  <c r="B28" i="7"/>
  <c r="B27" i="7"/>
  <c r="B25" i="7"/>
  <c r="B24" i="7"/>
  <c r="B23" i="7"/>
  <c r="B22" i="7"/>
  <c r="B21" i="7"/>
  <c r="B19" i="7"/>
  <c r="B17" i="7"/>
  <c r="B15" i="7"/>
  <c r="B13" i="7"/>
  <c r="C13" i="7" s="1"/>
  <c r="B11" i="7"/>
  <c r="F396" i="6"/>
  <c r="H396" i="6" s="1"/>
  <c r="B18" i="7" l="1"/>
  <c r="T23" i="8"/>
  <c r="P23" i="8"/>
  <c r="Q23" i="8"/>
  <c r="R23" i="8"/>
  <c r="S23" i="8"/>
  <c r="F23" i="8"/>
  <c r="G23" i="8"/>
  <c r="H23" i="8"/>
  <c r="I23" i="8"/>
  <c r="J23" i="8"/>
  <c r="K23" i="8"/>
  <c r="L23" i="8"/>
  <c r="M23" i="8"/>
  <c r="N23" i="8"/>
  <c r="O23" i="8"/>
  <c r="E23" i="8"/>
  <c r="D23" i="8"/>
  <c r="T22" i="8"/>
  <c r="S22" i="8"/>
  <c r="R22" i="8"/>
  <c r="Q22" i="8"/>
  <c r="P22" i="8"/>
  <c r="O22" i="8"/>
  <c r="N22" i="8"/>
  <c r="M22" i="8"/>
  <c r="L22" i="8"/>
  <c r="K22" i="8"/>
  <c r="I22" i="8"/>
  <c r="H22" i="8"/>
  <c r="F22" i="8"/>
  <c r="E22" i="8"/>
  <c r="K32" i="8"/>
  <c r="J26" i="3" l="1"/>
  <c r="H26" i="3" l="1"/>
  <c r="H25" i="3"/>
  <c r="D45" i="8"/>
  <c r="C45" i="8"/>
  <c r="B45" i="8"/>
  <c r="G45" i="8" l="1"/>
  <c r="G46" i="8" s="1"/>
  <c r="J46" i="8" s="1"/>
  <c r="M5" i="8"/>
  <c r="M4" i="8"/>
  <c r="C6" i="7" l="1"/>
  <c r="C2" i="7"/>
  <c r="C18" i="7" s="1"/>
  <c r="G2" i="7"/>
  <c r="C28" i="7" l="1"/>
  <c r="C30" i="7" s="1"/>
  <c r="B28" i="8"/>
  <c r="H354" i="6"/>
  <c r="J354" i="6" s="1"/>
  <c r="G30" i="8" l="1"/>
  <c r="H30" i="8"/>
  <c r="I30" i="8"/>
  <c r="H28" i="8" l="1"/>
  <c r="H29" i="8" s="1"/>
  <c r="G28" i="8" l="1"/>
  <c r="J29" i="11"/>
  <c r="I29" i="11"/>
  <c r="H29" i="11"/>
  <c r="D29" i="11"/>
  <c r="C29" i="11"/>
  <c r="B29" i="11"/>
  <c r="G25" i="11"/>
  <c r="H25" i="11" s="1"/>
  <c r="F25" i="11"/>
  <c r="H24" i="11"/>
  <c r="B24" i="11"/>
  <c r="B25" i="11" s="1"/>
  <c r="H23" i="11"/>
  <c r="I19" i="11"/>
  <c r="H19" i="11"/>
  <c r="F19" i="11"/>
  <c r="E19" i="11"/>
  <c r="C19" i="11"/>
  <c r="B19" i="11"/>
  <c r="J16" i="11"/>
  <c r="G16" i="11"/>
  <c r="D16" i="11"/>
  <c r="J14" i="11"/>
  <c r="G14" i="11"/>
  <c r="L14" i="11" s="1"/>
  <c r="D14" i="11"/>
  <c r="D13" i="11"/>
  <c r="J12" i="11"/>
  <c r="J13" i="11" s="1"/>
  <c r="G12" i="11"/>
  <c r="L12" i="11" s="1"/>
  <c r="D12" i="11"/>
  <c r="J11" i="11"/>
  <c r="G11" i="11"/>
  <c r="D11" i="11"/>
  <c r="J10" i="11"/>
  <c r="G10" i="11"/>
  <c r="L10" i="11" s="1"/>
  <c r="D10" i="11"/>
  <c r="J9" i="11"/>
  <c r="G9" i="11"/>
  <c r="D9" i="11"/>
  <c r="J7" i="11"/>
  <c r="G7" i="11"/>
  <c r="L7" i="11" s="1"/>
  <c r="D7" i="11"/>
  <c r="J6" i="11"/>
  <c r="G6" i="11"/>
  <c r="D6" i="11"/>
  <c r="J5" i="11"/>
  <c r="G5" i="11"/>
  <c r="L5" i="11" s="1"/>
  <c r="D5" i="11"/>
  <c r="J4" i="11"/>
  <c r="G4" i="11"/>
  <c r="D4" i="11"/>
  <c r="J3" i="11"/>
  <c r="G3" i="11"/>
  <c r="L3" i="11" s="1"/>
  <c r="D3" i="11"/>
  <c r="G29" i="8" l="1"/>
  <c r="C24" i="11"/>
  <c r="D19" i="11"/>
  <c r="J19" i="11"/>
  <c r="L4" i="11"/>
  <c r="L6" i="11"/>
  <c r="L9" i="11"/>
  <c r="L11" i="11"/>
  <c r="L16" i="11"/>
  <c r="G19" i="11"/>
  <c r="L19" i="11" s="1"/>
  <c r="K3" i="11"/>
  <c r="M3" i="11" s="1"/>
  <c r="K4" i="11"/>
  <c r="M4" i="11" s="1"/>
  <c r="K5" i="11"/>
  <c r="M5" i="11" s="1"/>
  <c r="K6" i="11"/>
  <c r="M6" i="11" s="1"/>
  <c r="K7" i="11"/>
  <c r="M7" i="11" s="1"/>
  <c r="K9" i="11"/>
  <c r="M9" i="11" s="1"/>
  <c r="K10" i="11"/>
  <c r="M10" i="11" s="1"/>
  <c r="K11" i="11"/>
  <c r="M11" i="11" s="1"/>
  <c r="K12" i="11"/>
  <c r="M12" i="11" s="1"/>
  <c r="G13" i="11"/>
  <c r="K14" i="11"/>
  <c r="M14" i="11" s="1"/>
  <c r="K16" i="11"/>
  <c r="M16" i="11" s="1"/>
  <c r="H30" i="11"/>
  <c r="K19" i="11" l="1"/>
  <c r="M19" i="11" s="1"/>
  <c r="L13" i="11"/>
  <c r="K13" i="11"/>
  <c r="M13" i="11" s="1"/>
  <c r="B23" i="8" l="1"/>
  <c r="B22" i="8"/>
  <c r="F354" i="6"/>
  <c r="G354" i="6" s="1"/>
  <c r="B24" i="8" l="1"/>
  <c r="C28" i="8"/>
  <c r="D28" i="8"/>
  <c r="H28" i="3" l="1"/>
  <c r="B30" i="11" s="1"/>
  <c r="D3" i="10"/>
  <c r="E3" i="10"/>
  <c r="F3" i="10"/>
  <c r="G3" i="10"/>
  <c r="H3" i="10"/>
  <c r="I3" i="10"/>
  <c r="J3" i="10"/>
  <c r="K3" i="10"/>
  <c r="L3" i="10"/>
  <c r="M3" i="10"/>
  <c r="N3" i="10"/>
  <c r="O3" i="10"/>
  <c r="P3" i="10"/>
  <c r="Q3" i="10"/>
  <c r="R3" i="10"/>
  <c r="S3" i="10"/>
  <c r="T3" i="10"/>
  <c r="U3" i="10"/>
  <c r="V3" i="10"/>
  <c r="W3" i="10"/>
  <c r="X3" i="10"/>
  <c r="Y3" i="10"/>
  <c r="Z3" i="10"/>
  <c r="AA3" i="10"/>
  <c r="AB3" i="10"/>
  <c r="AC3" i="10"/>
  <c r="AD3" i="10"/>
  <c r="AE3" i="10"/>
  <c r="AF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AS3" i="10"/>
  <c r="AT3" i="10"/>
  <c r="AU3" i="10"/>
  <c r="AV3" i="10"/>
  <c r="AW3" i="10"/>
  <c r="AX3" i="10"/>
  <c r="AY3" i="10"/>
  <c r="AZ3" i="10"/>
  <c r="BA3" i="10"/>
  <c r="BB3" i="10"/>
  <c r="BC3" i="10"/>
  <c r="BD3" i="10"/>
  <c r="BE3" i="10"/>
  <c r="BF3" i="10"/>
  <c r="BG3" i="10"/>
  <c r="BH3" i="10"/>
  <c r="BI3" i="10"/>
  <c r="BJ3" i="10"/>
  <c r="BK3" i="10"/>
  <c r="BL3" i="10"/>
  <c r="BM3" i="10"/>
  <c r="BN3" i="10"/>
  <c r="BO3" i="10"/>
  <c r="BP3" i="10"/>
  <c r="BQ3" i="10"/>
  <c r="BR3" i="10"/>
  <c r="BS3" i="10"/>
  <c r="BT3" i="10"/>
  <c r="BU3" i="10"/>
  <c r="BV3" i="10"/>
  <c r="BW3" i="10"/>
  <c r="BX3" i="10"/>
  <c r="BY3" i="10"/>
  <c r="BZ3" i="10"/>
  <c r="CA3" i="10"/>
  <c r="CB3" i="10"/>
  <c r="CC3" i="10"/>
  <c r="CD3" i="10"/>
  <c r="CE3" i="10"/>
  <c r="CF3" i="10"/>
  <c r="CG3" i="10"/>
  <c r="CH3" i="10"/>
  <c r="C3" i="10"/>
  <c r="F400" i="6"/>
  <c r="G400" i="6"/>
  <c r="H400" i="6"/>
  <c r="I400" i="6"/>
  <c r="J400" i="6"/>
  <c r="K400" i="6"/>
  <c r="L400" i="6"/>
  <c r="M400" i="6"/>
  <c r="N400" i="6"/>
  <c r="O400" i="6"/>
  <c r="P400" i="6"/>
  <c r="Q400" i="6"/>
  <c r="R400" i="6"/>
  <c r="S400" i="6"/>
  <c r="T400" i="6"/>
  <c r="U400" i="6"/>
  <c r="V400" i="6"/>
  <c r="W400" i="6"/>
  <c r="X400" i="6"/>
  <c r="Y400" i="6"/>
  <c r="Z400" i="6"/>
  <c r="AA400" i="6"/>
  <c r="AB400" i="6"/>
  <c r="AC400" i="6"/>
  <c r="AD400" i="6"/>
  <c r="AE400" i="6"/>
  <c r="AF400" i="6"/>
  <c r="AG400" i="6"/>
  <c r="AH400" i="6"/>
  <c r="AI400" i="6"/>
  <c r="AJ400" i="6"/>
  <c r="AK400" i="6"/>
  <c r="AL400" i="6"/>
  <c r="AM400" i="6"/>
  <c r="AN400" i="6"/>
  <c r="AO400" i="6"/>
  <c r="AP400" i="6"/>
  <c r="AQ400" i="6"/>
  <c r="AR400" i="6"/>
  <c r="AS400" i="6"/>
  <c r="AT400" i="6"/>
  <c r="AU400" i="6"/>
  <c r="AV400" i="6"/>
  <c r="AW400" i="6"/>
  <c r="AX400" i="6"/>
  <c r="AY400" i="6"/>
  <c r="AZ400" i="6"/>
  <c r="BA400" i="6"/>
  <c r="BB400" i="6"/>
  <c r="BC400" i="6"/>
  <c r="BD400" i="6"/>
  <c r="BE400" i="6"/>
  <c r="BF400" i="6"/>
  <c r="BG400" i="6"/>
  <c r="BH400" i="6"/>
  <c r="BI400" i="6"/>
  <c r="BJ400" i="6"/>
  <c r="BK400" i="6"/>
  <c r="BL400" i="6"/>
  <c r="BM400" i="6"/>
  <c r="BN400" i="6"/>
  <c r="BO400" i="6"/>
  <c r="BP400" i="6"/>
  <c r="BQ400" i="6"/>
  <c r="BR400" i="6"/>
  <c r="BS400" i="6"/>
  <c r="BT400" i="6"/>
  <c r="BU400" i="6"/>
  <c r="BV400" i="6"/>
  <c r="BW400" i="6"/>
  <c r="BX400" i="6"/>
  <c r="BY400" i="6"/>
  <c r="BZ400" i="6"/>
  <c r="CA400" i="6"/>
  <c r="CB400" i="6"/>
  <c r="CC400" i="6"/>
  <c r="CD400" i="6"/>
  <c r="CE400" i="6"/>
  <c r="CF400" i="6"/>
  <c r="CG400" i="6"/>
  <c r="CH400" i="6"/>
  <c r="CI400" i="6"/>
  <c r="CJ400" i="6"/>
  <c r="E400" i="6"/>
  <c r="J364" i="6"/>
  <c r="S373" i="6"/>
  <c r="T373" i="6" s="1"/>
  <c r="U373" i="6" s="1"/>
  <c r="W373" i="6"/>
  <c r="X373" i="6" s="1"/>
  <c r="Y373" i="6" s="1"/>
  <c r="AA373" i="6"/>
  <c r="AB373" i="6" s="1"/>
  <c r="AC373" i="6" s="1"/>
  <c r="AE373" i="6"/>
  <c r="AF373" i="6" s="1"/>
  <c r="AG373" i="6" s="1"/>
  <c r="AI373" i="6"/>
  <c r="AJ373" i="6" s="1"/>
  <c r="AK373" i="6" s="1"/>
  <c r="AM373" i="6"/>
  <c r="AN373" i="6" s="1"/>
  <c r="AO373" i="6" s="1"/>
  <c r="AQ373" i="6"/>
  <c r="AR373" i="6" s="1"/>
  <c r="AS373" i="6" s="1"/>
  <c r="AU373" i="6"/>
  <c r="AV373" i="6" s="1"/>
  <c r="AW373" i="6" s="1"/>
  <c r="AY373" i="6"/>
  <c r="AZ373" i="6" s="1"/>
  <c r="BA373" i="6" s="1"/>
  <c r="BC373" i="6"/>
  <c r="BD373" i="6" s="1"/>
  <c r="BE373" i="6" s="1"/>
  <c r="BG373" i="6"/>
  <c r="BH373" i="6" s="1"/>
  <c r="BI373" i="6" s="1"/>
  <c r="BK373" i="6"/>
  <c r="BL373" i="6" s="1"/>
  <c r="BM373" i="6" s="1"/>
  <c r="BO373" i="6"/>
  <c r="BP373" i="6" s="1"/>
  <c r="BQ373" i="6" s="1"/>
  <c r="BS373" i="6"/>
  <c r="BT373" i="6" s="1"/>
  <c r="BU373" i="6" s="1"/>
  <c r="BW373" i="6"/>
  <c r="BX373" i="6" s="1"/>
  <c r="BY373" i="6" s="1"/>
  <c r="CA373" i="6"/>
  <c r="CB373" i="6" s="1"/>
  <c r="CC373" i="6" s="1"/>
  <c r="CE373" i="6"/>
  <c r="CF373" i="6" s="1"/>
  <c r="CG373" i="6" s="1"/>
  <c r="CI373" i="6"/>
  <c r="CJ373" i="6" s="1"/>
  <c r="CK373" i="6" s="1"/>
  <c r="CM373" i="6"/>
  <c r="CN373" i="6" s="1"/>
  <c r="CO373" i="6" s="1"/>
  <c r="S375" i="6"/>
  <c r="T375" i="6" s="1"/>
  <c r="U375" i="6" s="1"/>
  <c r="W375" i="6"/>
  <c r="X375" i="6" s="1"/>
  <c r="Y375" i="6" s="1"/>
  <c r="AA375" i="6"/>
  <c r="AB375" i="6" s="1"/>
  <c r="AC375" i="6" s="1"/>
  <c r="AE375" i="6"/>
  <c r="AF375" i="6" s="1"/>
  <c r="AG375" i="6" s="1"/>
  <c r="AI375" i="6"/>
  <c r="AJ375" i="6" s="1"/>
  <c r="AK375" i="6" s="1"/>
  <c r="AM375" i="6"/>
  <c r="AN375" i="6" s="1"/>
  <c r="AO375" i="6" s="1"/>
  <c r="AQ375" i="6"/>
  <c r="AR375" i="6" s="1"/>
  <c r="AS375" i="6" s="1"/>
  <c r="AU375" i="6"/>
  <c r="AV375" i="6" s="1"/>
  <c r="AW375" i="6" s="1"/>
  <c r="AY375" i="6"/>
  <c r="AZ375" i="6" s="1"/>
  <c r="BA375" i="6" s="1"/>
  <c r="BC375" i="6"/>
  <c r="BD375" i="6" s="1"/>
  <c r="BE375" i="6" s="1"/>
  <c r="BG375" i="6"/>
  <c r="BH375" i="6" s="1"/>
  <c r="BI375" i="6" s="1"/>
  <c r="BK375" i="6"/>
  <c r="BL375" i="6" s="1"/>
  <c r="BM375" i="6" s="1"/>
  <c r="BO375" i="6"/>
  <c r="BP375" i="6" s="1"/>
  <c r="BQ375" i="6" s="1"/>
  <c r="BS375" i="6"/>
  <c r="BT375" i="6" s="1"/>
  <c r="BU375" i="6" s="1"/>
  <c r="BW375" i="6"/>
  <c r="BX375" i="6" s="1"/>
  <c r="BY375" i="6" s="1"/>
  <c r="CA375" i="6"/>
  <c r="CB375" i="6" s="1"/>
  <c r="CC375" i="6" s="1"/>
  <c r="CE375" i="6"/>
  <c r="CF375" i="6" s="1"/>
  <c r="CG375" i="6" s="1"/>
  <c r="CI375" i="6"/>
  <c r="CJ375" i="6" s="1"/>
  <c r="CK375" i="6" s="1"/>
  <c r="CM375" i="6"/>
  <c r="CN375" i="6" s="1"/>
  <c r="CO375" i="6" s="1"/>
  <c r="S377" i="6"/>
  <c r="T377" i="6" s="1"/>
  <c r="U377" i="6" s="1"/>
  <c r="W377" i="6"/>
  <c r="X377" i="6" s="1"/>
  <c r="Y377" i="6" s="1"/>
  <c r="AA377" i="6"/>
  <c r="AB377" i="6" s="1"/>
  <c r="AC377" i="6" s="1"/>
  <c r="AE377" i="6"/>
  <c r="AF377" i="6" s="1"/>
  <c r="AG377" i="6" s="1"/>
  <c r="AI377" i="6"/>
  <c r="AJ377" i="6" s="1"/>
  <c r="AK377" i="6" s="1"/>
  <c r="AM377" i="6"/>
  <c r="AN377" i="6" s="1"/>
  <c r="AO377" i="6" s="1"/>
  <c r="AQ377" i="6"/>
  <c r="AR377" i="6" s="1"/>
  <c r="AS377" i="6" s="1"/>
  <c r="AU377" i="6"/>
  <c r="AV377" i="6" s="1"/>
  <c r="AW377" i="6" s="1"/>
  <c r="AY377" i="6"/>
  <c r="AZ377" i="6" s="1"/>
  <c r="BA377" i="6" s="1"/>
  <c r="BC377" i="6"/>
  <c r="BD377" i="6" s="1"/>
  <c r="BE377" i="6" s="1"/>
  <c r="BG377" i="6"/>
  <c r="BH377" i="6" s="1"/>
  <c r="BI377" i="6" s="1"/>
  <c r="BK377" i="6"/>
  <c r="BL377" i="6" s="1"/>
  <c r="BM377" i="6" s="1"/>
  <c r="BO377" i="6"/>
  <c r="BP377" i="6" s="1"/>
  <c r="BQ377" i="6" s="1"/>
  <c r="BS377" i="6"/>
  <c r="BT377" i="6" s="1"/>
  <c r="BU377" i="6" s="1"/>
  <c r="BW377" i="6"/>
  <c r="BX377" i="6" s="1"/>
  <c r="BY377" i="6" s="1"/>
  <c r="CA377" i="6"/>
  <c r="CB377" i="6" s="1"/>
  <c r="CC377" i="6" s="1"/>
  <c r="CE377" i="6"/>
  <c r="CF377" i="6" s="1"/>
  <c r="CG377" i="6" s="1"/>
  <c r="CI377" i="6"/>
  <c r="CJ377" i="6" s="1"/>
  <c r="CK377" i="6" s="1"/>
  <c r="CM377" i="6"/>
  <c r="CN377" i="6" s="1"/>
  <c r="CO377" i="6" s="1"/>
  <c r="S379" i="6"/>
  <c r="T379" i="6" s="1"/>
  <c r="U379" i="6" s="1"/>
  <c r="W379" i="6"/>
  <c r="X379" i="6" s="1"/>
  <c r="Y379" i="6" s="1"/>
  <c r="AA379" i="6"/>
  <c r="AB379" i="6" s="1"/>
  <c r="AC379" i="6" s="1"/>
  <c r="AE379" i="6"/>
  <c r="AF379" i="6" s="1"/>
  <c r="AG379" i="6" s="1"/>
  <c r="AI379" i="6"/>
  <c r="AJ379" i="6" s="1"/>
  <c r="AK379" i="6" s="1"/>
  <c r="AM379" i="6"/>
  <c r="AN379" i="6" s="1"/>
  <c r="AO379" i="6" s="1"/>
  <c r="AQ379" i="6"/>
  <c r="AR379" i="6" s="1"/>
  <c r="AS379" i="6" s="1"/>
  <c r="AU379" i="6"/>
  <c r="AV379" i="6" s="1"/>
  <c r="AW379" i="6" s="1"/>
  <c r="AY379" i="6"/>
  <c r="AZ379" i="6" s="1"/>
  <c r="BA379" i="6" s="1"/>
  <c r="BC379" i="6"/>
  <c r="BD379" i="6" s="1"/>
  <c r="BE379" i="6" s="1"/>
  <c r="BG379" i="6"/>
  <c r="BH379" i="6" s="1"/>
  <c r="BI379" i="6" s="1"/>
  <c r="BK379" i="6"/>
  <c r="BL379" i="6" s="1"/>
  <c r="BM379" i="6" s="1"/>
  <c r="BO379" i="6"/>
  <c r="BP379" i="6" s="1"/>
  <c r="BQ379" i="6" s="1"/>
  <c r="BS379" i="6"/>
  <c r="BT379" i="6" s="1"/>
  <c r="BU379" i="6" s="1"/>
  <c r="BW379" i="6"/>
  <c r="BX379" i="6" s="1"/>
  <c r="BY379" i="6" s="1"/>
  <c r="CA379" i="6"/>
  <c r="CB379" i="6" s="1"/>
  <c r="CC379" i="6" s="1"/>
  <c r="CE379" i="6"/>
  <c r="CF379" i="6" s="1"/>
  <c r="CG379" i="6" s="1"/>
  <c r="CI379" i="6"/>
  <c r="CJ379" i="6" s="1"/>
  <c r="CK379" i="6" s="1"/>
  <c r="CM379" i="6"/>
  <c r="CN379" i="6" s="1"/>
  <c r="CO379" i="6" s="1"/>
  <c r="S381" i="6"/>
  <c r="T381" i="6" s="1"/>
  <c r="U381" i="6" s="1"/>
  <c r="W381" i="6"/>
  <c r="X381" i="6" s="1"/>
  <c r="Y381" i="6" s="1"/>
  <c r="AA381" i="6"/>
  <c r="AB381" i="6" s="1"/>
  <c r="AC381" i="6" s="1"/>
  <c r="AE381" i="6"/>
  <c r="AF381" i="6" s="1"/>
  <c r="AG381" i="6" s="1"/>
  <c r="AI381" i="6"/>
  <c r="AJ381" i="6" s="1"/>
  <c r="AK381" i="6" s="1"/>
  <c r="AM381" i="6"/>
  <c r="AN381" i="6" s="1"/>
  <c r="AO381" i="6" s="1"/>
  <c r="AQ381" i="6"/>
  <c r="AR381" i="6" s="1"/>
  <c r="AS381" i="6" s="1"/>
  <c r="AU381" i="6"/>
  <c r="AV381" i="6" s="1"/>
  <c r="AW381" i="6" s="1"/>
  <c r="AY381" i="6"/>
  <c r="AZ381" i="6" s="1"/>
  <c r="BA381" i="6" s="1"/>
  <c r="BC381" i="6"/>
  <c r="BD381" i="6" s="1"/>
  <c r="BE381" i="6" s="1"/>
  <c r="BG381" i="6"/>
  <c r="BH381" i="6" s="1"/>
  <c r="BI381" i="6" s="1"/>
  <c r="BK381" i="6"/>
  <c r="BL381" i="6" s="1"/>
  <c r="BM381" i="6" s="1"/>
  <c r="BO381" i="6"/>
  <c r="BP381" i="6" s="1"/>
  <c r="BQ381" i="6" s="1"/>
  <c r="BS381" i="6"/>
  <c r="BT381" i="6" s="1"/>
  <c r="BU381" i="6" s="1"/>
  <c r="BW381" i="6"/>
  <c r="BX381" i="6" s="1"/>
  <c r="BY381" i="6" s="1"/>
  <c r="CA381" i="6"/>
  <c r="CB381" i="6" s="1"/>
  <c r="CC381" i="6" s="1"/>
  <c r="CE381" i="6"/>
  <c r="CF381" i="6" s="1"/>
  <c r="CG381" i="6" s="1"/>
  <c r="CI381" i="6"/>
  <c r="CJ381" i="6" s="1"/>
  <c r="CK381" i="6" s="1"/>
  <c r="CM381" i="6"/>
  <c r="CN381" i="6" s="1"/>
  <c r="CO381" i="6" s="1"/>
  <c r="S383" i="6"/>
  <c r="T383" i="6" s="1"/>
  <c r="U383" i="6" s="1"/>
  <c r="W383" i="6"/>
  <c r="X383" i="6" s="1"/>
  <c r="Y383" i="6" s="1"/>
  <c r="AA383" i="6"/>
  <c r="AB383" i="6" s="1"/>
  <c r="AC383" i="6" s="1"/>
  <c r="AE383" i="6"/>
  <c r="AF383" i="6" s="1"/>
  <c r="AG383" i="6" s="1"/>
  <c r="AI383" i="6"/>
  <c r="AJ383" i="6" s="1"/>
  <c r="AK383" i="6" s="1"/>
  <c r="AM383" i="6"/>
  <c r="AN383" i="6" s="1"/>
  <c r="AO383" i="6" s="1"/>
  <c r="AQ383" i="6"/>
  <c r="AR383" i="6" s="1"/>
  <c r="AS383" i="6" s="1"/>
  <c r="AU383" i="6"/>
  <c r="AV383" i="6" s="1"/>
  <c r="AW383" i="6" s="1"/>
  <c r="AY383" i="6"/>
  <c r="AZ383" i="6" s="1"/>
  <c r="BA383" i="6" s="1"/>
  <c r="BC383" i="6"/>
  <c r="BD383" i="6" s="1"/>
  <c r="BE383" i="6" s="1"/>
  <c r="BG383" i="6"/>
  <c r="BH383" i="6" s="1"/>
  <c r="BI383" i="6" s="1"/>
  <c r="BK383" i="6"/>
  <c r="BL383" i="6" s="1"/>
  <c r="BM383" i="6" s="1"/>
  <c r="BO383" i="6"/>
  <c r="BP383" i="6" s="1"/>
  <c r="BQ383" i="6" s="1"/>
  <c r="BS383" i="6"/>
  <c r="BT383" i="6" s="1"/>
  <c r="BU383" i="6" s="1"/>
  <c r="BW383" i="6"/>
  <c r="BX383" i="6" s="1"/>
  <c r="BY383" i="6" s="1"/>
  <c r="CA383" i="6"/>
  <c r="CB383" i="6" s="1"/>
  <c r="CC383" i="6" s="1"/>
  <c r="CE383" i="6"/>
  <c r="CF383" i="6" s="1"/>
  <c r="CG383" i="6" s="1"/>
  <c r="CI383" i="6"/>
  <c r="CJ383" i="6" s="1"/>
  <c r="CK383" i="6" s="1"/>
  <c r="CM383" i="6"/>
  <c r="CN383" i="6" s="1"/>
  <c r="CO383" i="6" s="1"/>
  <c r="S385" i="6"/>
  <c r="T385" i="6" s="1"/>
  <c r="U385" i="6" s="1"/>
  <c r="W385" i="6"/>
  <c r="X385" i="6" s="1"/>
  <c r="Y385" i="6" s="1"/>
  <c r="AA385" i="6"/>
  <c r="AB385" i="6" s="1"/>
  <c r="AC385" i="6" s="1"/>
  <c r="AE385" i="6"/>
  <c r="AF385" i="6" s="1"/>
  <c r="AG385" i="6" s="1"/>
  <c r="AI385" i="6"/>
  <c r="AJ385" i="6" s="1"/>
  <c r="AK385" i="6" s="1"/>
  <c r="AM385" i="6"/>
  <c r="AN385" i="6" s="1"/>
  <c r="AO385" i="6" s="1"/>
  <c r="AQ385" i="6"/>
  <c r="AR385" i="6" s="1"/>
  <c r="AS385" i="6" s="1"/>
  <c r="AU385" i="6"/>
  <c r="AV385" i="6" s="1"/>
  <c r="AW385" i="6" s="1"/>
  <c r="AY385" i="6"/>
  <c r="AZ385" i="6" s="1"/>
  <c r="BA385" i="6" s="1"/>
  <c r="BC385" i="6"/>
  <c r="BD385" i="6" s="1"/>
  <c r="BE385" i="6" s="1"/>
  <c r="BG385" i="6"/>
  <c r="BH385" i="6" s="1"/>
  <c r="BI385" i="6" s="1"/>
  <c r="BK385" i="6"/>
  <c r="BL385" i="6" s="1"/>
  <c r="BM385" i="6" s="1"/>
  <c r="BO385" i="6"/>
  <c r="BP385" i="6" s="1"/>
  <c r="BQ385" i="6" s="1"/>
  <c r="BS385" i="6"/>
  <c r="BT385" i="6" s="1"/>
  <c r="BU385" i="6" s="1"/>
  <c r="BW385" i="6"/>
  <c r="BX385" i="6" s="1"/>
  <c r="BY385" i="6" s="1"/>
  <c r="CA385" i="6"/>
  <c r="CB385" i="6" s="1"/>
  <c r="CC385" i="6" s="1"/>
  <c r="CE385" i="6"/>
  <c r="CF385" i="6" s="1"/>
  <c r="CG385" i="6" s="1"/>
  <c r="CI385" i="6"/>
  <c r="CJ385" i="6" s="1"/>
  <c r="CK385" i="6" s="1"/>
  <c r="CM385" i="6"/>
  <c r="CN385" i="6" s="1"/>
  <c r="CO385" i="6" s="1"/>
  <c r="O373" i="6"/>
  <c r="P373" i="6" s="1"/>
  <c r="Q373" i="6" s="1"/>
  <c r="O375" i="6"/>
  <c r="P375" i="6" s="1"/>
  <c r="Q375" i="6" s="1"/>
  <c r="O377" i="6"/>
  <c r="P377" i="6" s="1"/>
  <c r="Q377" i="6" s="1"/>
  <c r="O379" i="6"/>
  <c r="P379" i="6" s="1"/>
  <c r="Q379" i="6" s="1"/>
  <c r="O381" i="6"/>
  <c r="P381" i="6" s="1"/>
  <c r="Q381" i="6" s="1"/>
  <c r="O383" i="6"/>
  <c r="P383" i="6" s="1"/>
  <c r="Q383" i="6" s="1"/>
  <c r="O385" i="6"/>
  <c r="P385" i="6" s="1"/>
  <c r="Q385" i="6" s="1"/>
  <c r="G30" i="7"/>
  <c r="K373" i="6"/>
  <c r="K375" i="6"/>
  <c r="K377" i="6"/>
  <c r="K379" i="6"/>
  <c r="K381" i="6"/>
  <c r="K383" i="6"/>
  <c r="K385" i="6"/>
  <c r="N23" i="7"/>
  <c r="HQ75" i="6"/>
  <c r="HQ77" i="6"/>
  <c r="HQ79" i="6"/>
  <c r="HQ81" i="6"/>
  <c r="HQ165" i="6"/>
  <c r="HQ167" i="6"/>
  <c r="HQ169" i="6"/>
  <c r="HQ253" i="6"/>
  <c r="HQ255" i="6"/>
  <c r="HQ313" i="6"/>
  <c r="HQ315" i="6"/>
  <c r="HQ317" i="6"/>
  <c r="HQ319" i="6"/>
  <c r="HQ321" i="6"/>
  <c r="HQ323" i="6"/>
  <c r="HQ353" i="6"/>
  <c r="B9" i="7"/>
  <c r="B7" i="7"/>
  <c r="B31" i="7" s="1"/>
  <c r="C31" i="7" s="1"/>
  <c r="B5" i="7"/>
  <c r="B29" i="7" s="1"/>
  <c r="Q366" i="6"/>
  <c r="R366" i="6" s="1"/>
  <c r="S366" i="6" s="1"/>
  <c r="P366" i="6"/>
  <c r="J366" i="6"/>
  <c r="G366" i="6"/>
  <c r="H366" i="6" s="1"/>
  <c r="HR352" i="6"/>
  <c r="J352" i="6"/>
  <c r="H352" i="6"/>
  <c r="J322" i="6"/>
  <c r="H322" i="6"/>
  <c r="J320" i="6"/>
  <c r="H320" i="6"/>
  <c r="J318" i="6"/>
  <c r="H318" i="6"/>
  <c r="HR316" i="6"/>
  <c r="J316" i="6"/>
  <c r="H316" i="6"/>
  <c r="HR314" i="6"/>
  <c r="J314" i="6"/>
  <c r="H314" i="6"/>
  <c r="J312" i="6"/>
  <c r="H312" i="6"/>
  <c r="J310" i="6"/>
  <c r="H310" i="6"/>
  <c r="J309" i="6"/>
  <c r="H309" i="6"/>
  <c r="J308" i="6"/>
  <c r="H308" i="6"/>
  <c r="J307" i="6"/>
  <c r="H307" i="6"/>
  <c r="J306" i="6"/>
  <c r="H306" i="6"/>
  <c r="J305" i="6"/>
  <c r="H305" i="6"/>
  <c r="H324" i="6"/>
  <c r="J324" i="6"/>
  <c r="H326" i="6"/>
  <c r="J326" i="6"/>
  <c r="G328" i="6"/>
  <c r="H328" i="6" s="1"/>
  <c r="L328" i="6"/>
  <c r="M328" i="6" s="1"/>
  <c r="N328" i="6" s="1"/>
  <c r="O328" i="6" s="1"/>
  <c r="P328" i="6" s="1"/>
  <c r="Q328" i="6" s="1"/>
  <c r="G330" i="6"/>
  <c r="H330" i="6" s="1"/>
  <c r="J330" i="6"/>
  <c r="N330" i="6"/>
  <c r="O330" i="6" s="1"/>
  <c r="H332" i="6"/>
  <c r="J332" i="6"/>
  <c r="H334" i="6"/>
  <c r="J334" i="6"/>
  <c r="H336" i="6"/>
  <c r="J336" i="6"/>
  <c r="H338" i="6"/>
  <c r="J338" i="6"/>
  <c r="H340" i="6"/>
  <c r="J340" i="6"/>
  <c r="J342" i="6"/>
  <c r="J256" i="6"/>
  <c r="H256" i="6"/>
  <c r="F256" i="6" s="1"/>
  <c r="J254" i="6"/>
  <c r="H254" i="6"/>
  <c r="J252" i="6"/>
  <c r="H252" i="6"/>
  <c r="J251" i="6"/>
  <c r="H251" i="6"/>
  <c r="J172" i="6"/>
  <c r="H172" i="6"/>
  <c r="HQ171" i="6"/>
  <c r="J170" i="6"/>
  <c r="H170" i="6"/>
  <c r="J168" i="6"/>
  <c r="H168" i="6"/>
  <c r="J166" i="6"/>
  <c r="H166" i="6"/>
  <c r="HR164" i="6"/>
  <c r="J164" i="6"/>
  <c r="H164" i="6"/>
  <c r="J162" i="6"/>
  <c r="H162" i="6"/>
  <c r="J80" i="6"/>
  <c r="H80" i="6"/>
  <c r="J78" i="6"/>
  <c r="H78" i="6"/>
  <c r="J76" i="6"/>
  <c r="H76" i="6"/>
  <c r="J74" i="6"/>
  <c r="H74" i="6"/>
  <c r="HQ73" i="6"/>
  <c r="J72" i="6"/>
  <c r="H72" i="6"/>
  <c r="J71" i="6"/>
  <c r="H71" i="6"/>
  <c r="G82" i="6"/>
  <c r="H82" i="6" s="1"/>
  <c r="M82" i="6"/>
  <c r="L82" i="6" s="1"/>
  <c r="K82" i="6" s="1"/>
  <c r="J82" i="6" s="1"/>
  <c r="Q82" i="6"/>
  <c r="P82" i="6" s="1"/>
  <c r="O82" i="6" s="1"/>
  <c r="N82" i="6" s="1"/>
  <c r="U82" i="6"/>
  <c r="H84" i="6"/>
  <c r="J84" i="6"/>
  <c r="H86" i="6"/>
  <c r="J86" i="6"/>
  <c r="G88" i="6"/>
  <c r="H88" i="6" s="1"/>
  <c r="J88" i="6"/>
  <c r="M88" i="6"/>
  <c r="N88" i="6" s="1"/>
  <c r="O88" i="6" s="1"/>
  <c r="P88" i="6" s="1"/>
  <c r="Q88" i="6" s="1"/>
  <c r="H90" i="6"/>
  <c r="J90" i="6"/>
  <c r="H173" i="6"/>
  <c r="J173" i="6"/>
  <c r="G175" i="6"/>
  <c r="H177" i="6"/>
  <c r="J177" i="6"/>
  <c r="H179" i="6"/>
  <c r="J179" i="6"/>
  <c r="H181" i="6"/>
  <c r="J181" i="6"/>
  <c r="H257" i="6"/>
  <c r="J257" i="6"/>
  <c r="H259" i="6"/>
  <c r="J259" i="6"/>
  <c r="H261" i="6"/>
  <c r="J261" i="6"/>
  <c r="H342" i="6"/>
  <c r="J344" i="6"/>
  <c r="H344" i="6"/>
  <c r="B46" i="8"/>
  <c r="I19" i="8"/>
  <c r="H19" i="8"/>
  <c r="J16" i="8"/>
  <c r="G16" i="8"/>
  <c r="D16" i="8"/>
  <c r="J14" i="8"/>
  <c r="G14" i="8"/>
  <c r="D14" i="8"/>
  <c r="D13" i="8"/>
  <c r="J12" i="8"/>
  <c r="J13" i="8" s="1"/>
  <c r="G12" i="8"/>
  <c r="D12" i="8"/>
  <c r="J11" i="8"/>
  <c r="G11" i="8"/>
  <c r="D11" i="8"/>
  <c r="J10" i="8"/>
  <c r="G10" i="8"/>
  <c r="D10" i="8"/>
  <c r="J9" i="8"/>
  <c r="G9" i="8"/>
  <c r="D9" i="8"/>
  <c r="J7" i="8"/>
  <c r="G7" i="8"/>
  <c r="D7" i="8"/>
  <c r="J6" i="8"/>
  <c r="G6" i="8"/>
  <c r="D6" i="8"/>
  <c r="J5" i="8"/>
  <c r="G5" i="8"/>
  <c r="D5" i="8"/>
  <c r="J3" i="8"/>
  <c r="L3" i="8" s="1"/>
  <c r="M3" i="8" s="1"/>
  <c r="G3" i="8"/>
  <c r="K173" i="6" l="1"/>
  <c r="L173" i="6" s="1"/>
  <c r="M173" i="6" s="1"/>
  <c r="K71" i="6"/>
  <c r="L71" i="6" s="1"/>
  <c r="M71" i="6" s="1"/>
  <c r="K72" i="6"/>
  <c r="K168" i="6"/>
  <c r="L168" i="6" s="1"/>
  <c r="M168" i="6" s="1"/>
  <c r="K170" i="6"/>
  <c r="L170" i="6" s="1"/>
  <c r="M170" i="6" s="1"/>
  <c r="K324" i="6"/>
  <c r="L324" i="6" s="1"/>
  <c r="M324" i="6" s="1"/>
  <c r="K316" i="6"/>
  <c r="L316" i="6" s="1"/>
  <c r="M316" i="6" s="1"/>
  <c r="K261" i="6"/>
  <c r="K259" i="6"/>
  <c r="K257" i="6"/>
  <c r="K181" i="6"/>
  <c r="L181" i="6" s="1"/>
  <c r="M181" i="6" s="1"/>
  <c r="K179" i="6"/>
  <c r="L179" i="6" s="1"/>
  <c r="M179" i="6" s="1"/>
  <c r="K177" i="6"/>
  <c r="L177" i="6" s="1"/>
  <c r="M177" i="6" s="1"/>
  <c r="K74" i="6"/>
  <c r="L74" i="6" s="1"/>
  <c r="M74" i="6" s="1"/>
  <c r="K76" i="6"/>
  <c r="L76" i="6" s="1"/>
  <c r="M76" i="6" s="1"/>
  <c r="K78" i="6"/>
  <c r="L78" i="6" s="1"/>
  <c r="M78" i="6" s="1"/>
  <c r="K80" i="6"/>
  <c r="L80" i="6" s="1"/>
  <c r="M80" i="6" s="1"/>
  <c r="K164" i="6"/>
  <c r="L164" i="6" s="1"/>
  <c r="M164" i="6" s="1"/>
  <c r="K252" i="6"/>
  <c r="K254" i="6"/>
  <c r="L254" i="6" s="1"/>
  <c r="M254" i="6" s="1"/>
  <c r="K309" i="6"/>
  <c r="L309" i="6" s="1"/>
  <c r="M309" i="6" s="1"/>
  <c r="N309" i="6" s="1"/>
  <c r="O309" i="6" s="1"/>
  <c r="P309" i="6" s="1"/>
  <c r="Q309" i="6" s="1"/>
  <c r="R309" i="6" s="1"/>
  <c r="S309" i="6" s="1"/>
  <c r="T309" i="6" s="1"/>
  <c r="U309" i="6" s="1"/>
  <c r="K312" i="6"/>
  <c r="L312" i="6" s="1"/>
  <c r="M312" i="6" s="1"/>
  <c r="K318" i="6"/>
  <c r="L318" i="6" s="1"/>
  <c r="M318" i="6" s="1"/>
  <c r="K320" i="6"/>
  <c r="L320" i="6" s="1"/>
  <c r="M320" i="6" s="1"/>
  <c r="K322" i="6"/>
  <c r="L322" i="6" s="1"/>
  <c r="M322" i="6" s="1"/>
  <c r="K352" i="6"/>
  <c r="L352" i="6" s="1"/>
  <c r="M352" i="6" s="1"/>
  <c r="L72" i="6"/>
  <c r="M72" i="6" s="1"/>
  <c r="L383" i="6"/>
  <c r="M383" i="6" s="1"/>
  <c r="L379" i="6"/>
  <c r="M379" i="6" s="1"/>
  <c r="L259" i="6"/>
  <c r="M259" i="6" s="1"/>
  <c r="N259" i="6" s="1"/>
  <c r="O259" i="6" s="1"/>
  <c r="P259" i="6" s="1"/>
  <c r="Q259" i="6" s="1"/>
  <c r="L252" i="6"/>
  <c r="M252" i="6" s="1"/>
  <c r="P330" i="6"/>
  <c r="Q330" i="6" s="1"/>
  <c r="R330" i="6" s="1"/>
  <c r="S330" i="6" s="1"/>
  <c r="T330" i="6" s="1"/>
  <c r="U330" i="6" s="1"/>
  <c r="L385" i="6"/>
  <c r="M385" i="6" s="1"/>
  <c r="L381" i="6"/>
  <c r="M381" i="6" s="1"/>
  <c r="L377" i="6"/>
  <c r="M377" i="6" s="1"/>
  <c r="L373" i="6"/>
  <c r="M373" i="6" s="1"/>
  <c r="C30" i="11"/>
  <c r="B31" i="11"/>
  <c r="L4" i="8"/>
  <c r="L6" i="8"/>
  <c r="L9" i="8"/>
  <c r="L11" i="8"/>
  <c r="L16" i="8"/>
  <c r="J19" i="8"/>
  <c r="L5" i="8"/>
  <c r="L7" i="8"/>
  <c r="L10" i="8"/>
  <c r="L12" i="8"/>
  <c r="L14" i="8"/>
  <c r="C46" i="8"/>
  <c r="D46" i="8" s="1"/>
  <c r="L375" i="6"/>
  <c r="M375" i="6" s="1"/>
  <c r="T82" i="6"/>
  <c r="S82" i="6" s="1"/>
  <c r="R82" i="6" s="1"/>
  <c r="H175" i="6"/>
  <c r="J175" i="6"/>
  <c r="K88" i="6"/>
  <c r="L88" i="6" s="1"/>
  <c r="K86" i="6"/>
  <c r="L86" i="6" s="1"/>
  <c r="M86" i="6" s="1"/>
  <c r="K84" i="6"/>
  <c r="L84" i="6" s="1"/>
  <c r="M84" i="6" s="1"/>
  <c r="N84" i="6" s="1"/>
  <c r="O84" i="6" s="1"/>
  <c r="P84" i="6" s="1"/>
  <c r="Q84" i="6" s="1"/>
  <c r="K162" i="6"/>
  <c r="L162" i="6" s="1"/>
  <c r="M162" i="6" s="1"/>
  <c r="K256" i="6"/>
  <c r="K340" i="6"/>
  <c r="L340" i="6" s="1"/>
  <c r="M340" i="6" s="1"/>
  <c r="K338" i="6"/>
  <c r="K336" i="6"/>
  <c r="L336" i="6" s="1"/>
  <c r="M336" i="6" s="1"/>
  <c r="K334" i="6"/>
  <c r="L334" i="6" s="1"/>
  <c r="M334" i="6" s="1"/>
  <c r="K332" i="6"/>
  <c r="L332" i="6" s="1"/>
  <c r="M332" i="6" s="1"/>
  <c r="K305" i="6"/>
  <c r="K306" i="6"/>
  <c r="L306" i="6" s="1"/>
  <c r="M306" i="6" s="1"/>
  <c r="N306" i="6" s="1"/>
  <c r="O306" i="6" s="1"/>
  <c r="P306" i="6" s="1"/>
  <c r="Q306" i="6" s="1"/>
  <c r="K307" i="6"/>
  <c r="L307" i="6" s="1"/>
  <c r="M307" i="6" s="1"/>
  <c r="K308" i="6"/>
  <c r="L308" i="6" s="1"/>
  <c r="M308" i="6" s="1"/>
  <c r="M366" i="6"/>
  <c r="K172" i="6"/>
  <c r="K251" i="6"/>
  <c r="K344" i="6"/>
  <c r="K90" i="6"/>
  <c r="K342" i="6"/>
  <c r="K330" i="6"/>
  <c r="L330" i="6" s="1"/>
  <c r="M330" i="6" s="1"/>
  <c r="K326" i="6"/>
  <c r="K310" i="6"/>
  <c r="L310" i="6" s="1"/>
  <c r="M310" i="6" s="1"/>
  <c r="U366" i="6"/>
  <c r="V366" i="6" s="1"/>
  <c r="W366" i="6" s="1"/>
  <c r="X366" i="6" s="1"/>
  <c r="Y366" i="6" s="1"/>
  <c r="Z366" i="6" s="1"/>
  <c r="AA366" i="6" s="1"/>
  <c r="T366" i="6"/>
  <c r="L366" i="6"/>
  <c r="N366" i="6"/>
  <c r="O366" i="6" s="1"/>
  <c r="K366" i="6"/>
  <c r="J328" i="6"/>
  <c r="HQ311" i="6"/>
  <c r="K314" i="6"/>
  <c r="L314" i="6" s="1"/>
  <c r="M314" i="6" s="1"/>
  <c r="HQ163" i="6"/>
  <c r="K166" i="6"/>
  <c r="L166" i="6" s="1"/>
  <c r="M166" i="6" s="1"/>
  <c r="K3" i="8"/>
  <c r="K4" i="8"/>
  <c r="B10" i="7" s="1"/>
  <c r="K5" i="8"/>
  <c r="K6" i="8"/>
  <c r="K7" i="8"/>
  <c r="K9" i="8"/>
  <c r="M9" i="8" s="1"/>
  <c r="B20" i="7" s="1"/>
  <c r="K10" i="8"/>
  <c r="K11" i="8"/>
  <c r="K12" i="8"/>
  <c r="G13" i="8"/>
  <c r="K14" i="8"/>
  <c r="K16" i="8"/>
  <c r="M16" i="8" s="1"/>
  <c r="B2" i="7" s="1"/>
  <c r="G19" i="8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E12" i="5"/>
  <c r="J3" i="5"/>
  <c r="K5" i="5"/>
  <c r="I82" i="4"/>
  <c r="J23" i="4"/>
  <c r="J25" i="4"/>
  <c r="F85" i="4"/>
  <c r="G85" i="4"/>
  <c r="H85" i="4"/>
  <c r="I85" i="4"/>
  <c r="J85" i="4"/>
  <c r="K85" i="4"/>
  <c r="L85" i="4"/>
  <c r="M85" i="4"/>
  <c r="N85" i="4"/>
  <c r="O85" i="4"/>
  <c r="P85" i="4"/>
  <c r="Q85" i="4"/>
  <c r="R85" i="4"/>
  <c r="S85" i="4"/>
  <c r="T85" i="4"/>
  <c r="U85" i="4"/>
  <c r="V85" i="4"/>
  <c r="W85" i="4"/>
  <c r="X85" i="4"/>
  <c r="Y85" i="4"/>
  <c r="Z85" i="4"/>
  <c r="AA85" i="4"/>
  <c r="AB85" i="4"/>
  <c r="AC85" i="4"/>
  <c r="AD85" i="4"/>
  <c r="AE85" i="4"/>
  <c r="AF85" i="4"/>
  <c r="AG85" i="4"/>
  <c r="AH85" i="4"/>
  <c r="AI85" i="4"/>
  <c r="AJ85" i="4"/>
  <c r="AK85" i="4"/>
  <c r="AL85" i="4"/>
  <c r="AM85" i="4"/>
  <c r="AN85" i="4"/>
  <c r="AO85" i="4"/>
  <c r="AP85" i="4"/>
  <c r="AQ85" i="4"/>
  <c r="AR85" i="4"/>
  <c r="AS85" i="4"/>
  <c r="AT85" i="4"/>
  <c r="AU85" i="4"/>
  <c r="AV85" i="4"/>
  <c r="AW85" i="4"/>
  <c r="AX85" i="4"/>
  <c r="AY85" i="4"/>
  <c r="AZ85" i="4"/>
  <c r="BA85" i="4"/>
  <c r="BB85" i="4"/>
  <c r="BC85" i="4"/>
  <c r="BD85" i="4"/>
  <c r="BE85" i="4"/>
  <c r="BF85" i="4"/>
  <c r="BG85" i="4"/>
  <c r="BH85" i="4"/>
  <c r="BI85" i="4"/>
  <c r="BJ85" i="4"/>
  <c r="BK85" i="4"/>
  <c r="BL85" i="4"/>
  <c r="BM85" i="4"/>
  <c r="BN85" i="4"/>
  <c r="BO85" i="4"/>
  <c r="BP85" i="4"/>
  <c r="BQ85" i="4"/>
  <c r="BR85" i="4"/>
  <c r="BS85" i="4"/>
  <c r="BT85" i="4"/>
  <c r="BU85" i="4"/>
  <c r="BV85" i="4"/>
  <c r="BW85" i="4"/>
  <c r="BX85" i="4"/>
  <c r="BY85" i="4"/>
  <c r="BZ85" i="4"/>
  <c r="CA85" i="4"/>
  <c r="CB85" i="4"/>
  <c r="CC85" i="4"/>
  <c r="CD85" i="4"/>
  <c r="CE85" i="4"/>
  <c r="CF85" i="4"/>
  <c r="CG85" i="4"/>
  <c r="CH85" i="4"/>
  <c r="CI85" i="4"/>
  <c r="CJ85" i="4"/>
  <c r="E85" i="4"/>
  <c r="K23" i="4"/>
  <c r="L23" i="4" s="1"/>
  <c r="M23" i="4" s="1"/>
  <c r="J5" i="4"/>
  <c r="G28" i="7"/>
  <c r="G26" i="7"/>
  <c r="G24" i="7"/>
  <c r="G22" i="7"/>
  <c r="G20" i="7"/>
  <c r="G18" i="7"/>
  <c r="G16" i="7"/>
  <c r="G14" i="7"/>
  <c r="G12" i="7"/>
  <c r="G10" i="7"/>
  <c r="G8" i="7"/>
  <c r="G6" i="7"/>
  <c r="G4" i="7"/>
  <c r="C26" i="7"/>
  <c r="C24" i="7"/>
  <c r="C22" i="7"/>
  <c r="C20" i="7"/>
  <c r="C16" i="7"/>
  <c r="C14" i="7"/>
  <c r="C12" i="7"/>
  <c r="C10" i="7"/>
  <c r="C8" i="7"/>
  <c r="D4" i="7"/>
  <c r="G3" i="4"/>
  <c r="F81" i="4"/>
  <c r="H81" i="4" s="1"/>
  <c r="H70" i="1"/>
  <c r="F73" i="1"/>
  <c r="B17" i="10" s="1"/>
  <c r="CK80" i="1"/>
  <c r="CK81" i="1"/>
  <c r="CB77" i="1"/>
  <c r="CC77" i="1"/>
  <c r="CD77" i="1"/>
  <c r="CE77" i="1"/>
  <c r="CF77" i="1"/>
  <c r="CG77" i="1"/>
  <c r="CH77" i="1"/>
  <c r="CI77" i="1"/>
  <c r="CJ77" i="1"/>
  <c r="BR77" i="1"/>
  <c r="BS77" i="1"/>
  <c r="BT77" i="1"/>
  <c r="BU77" i="1"/>
  <c r="BV77" i="1"/>
  <c r="BW77" i="1"/>
  <c r="BX77" i="1"/>
  <c r="BY77" i="1"/>
  <c r="BZ77" i="1"/>
  <c r="CA77" i="1"/>
  <c r="AX77" i="1"/>
  <c r="AY77" i="1"/>
  <c r="AZ77" i="1"/>
  <c r="BA77" i="1"/>
  <c r="BB77" i="1"/>
  <c r="BC77" i="1"/>
  <c r="BD77" i="1"/>
  <c r="BE77" i="1"/>
  <c r="BF77" i="1"/>
  <c r="BG77" i="1"/>
  <c r="BH77" i="1"/>
  <c r="BI77" i="1"/>
  <c r="BJ77" i="1"/>
  <c r="BK77" i="1"/>
  <c r="BL77" i="1"/>
  <c r="BM77" i="1"/>
  <c r="BN77" i="1"/>
  <c r="BO77" i="1"/>
  <c r="BP77" i="1"/>
  <c r="BQ77" i="1"/>
  <c r="AT77" i="1"/>
  <c r="AW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S77" i="1"/>
  <c r="AU77" i="1"/>
  <c r="AV77" i="1"/>
  <c r="E77" i="1"/>
  <c r="H11" i="1"/>
  <c r="H13" i="1" s="1"/>
  <c r="H9" i="1"/>
  <c r="H59" i="1"/>
  <c r="H61" i="1"/>
  <c r="H62" i="1"/>
  <c r="H66" i="1"/>
  <c r="J25" i="1"/>
  <c r="CP63" i="1"/>
  <c r="CP65" i="1"/>
  <c r="CP67" i="1"/>
  <c r="CP69" i="1"/>
  <c r="CP71" i="1"/>
  <c r="J59" i="1"/>
  <c r="K59" i="1" s="1"/>
  <c r="L59" i="1" s="1"/>
  <c r="M59" i="1" s="1"/>
  <c r="G29" i="7"/>
  <c r="G27" i="7"/>
  <c r="F25" i="7"/>
  <c r="F23" i="7"/>
  <c r="G23" i="7" s="1"/>
  <c r="G19" i="7"/>
  <c r="G15" i="7"/>
  <c r="G11" i="7"/>
  <c r="G7" i="7"/>
  <c r="C9" i="7"/>
  <c r="C5" i="7"/>
  <c r="C3" i="7"/>
  <c r="C25" i="7"/>
  <c r="C21" i="7"/>
  <c r="C17" i="7"/>
  <c r="C7" i="7"/>
  <c r="H15" i="1"/>
  <c r="G3" i="1"/>
  <c r="J3" i="1"/>
  <c r="G35" i="1"/>
  <c r="G57" i="1"/>
  <c r="J57" i="1" s="1"/>
  <c r="G55" i="1"/>
  <c r="L5" i="5" l="1"/>
  <c r="M5" i="5" s="1"/>
  <c r="DF381" i="6"/>
  <c r="DF373" i="6"/>
  <c r="DF379" i="6"/>
  <c r="L261" i="6"/>
  <c r="L257" i="6"/>
  <c r="M257" i="6" s="1"/>
  <c r="DF377" i="6"/>
  <c r="DF385" i="6"/>
  <c r="DF375" i="6"/>
  <c r="DF383" i="6"/>
  <c r="AB366" i="6"/>
  <c r="AC366" i="6" s="1"/>
  <c r="AD366" i="6" s="1"/>
  <c r="AE366" i="6" s="1"/>
  <c r="AF366" i="6" s="1"/>
  <c r="AG366" i="6" s="1"/>
  <c r="AH366" i="6" s="1"/>
  <c r="AI366" i="6" s="1"/>
  <c r="AJ366" i="6" s="1"/>
  <c r="AK366" i="6" s="1"/>
  <c r="AL366" i="6" s="1"/>
  <c r="AM366" i="6" s="1"/>
  <c r="AN366" i="6" s="1"/>
  <c r="AO366" i="6" s="1"/>
  <c r="AP366" i="6" s="1"/>
  <c r="AQ366" i="6" s="1"/>
  <c r="AR366" i="6" s="1"/>
  <c r="AS366" i="6" s="1"/>
  <c r="AT366" i="6" s="1"/>
  <c r="AU366" i="6" s="1"/>
  <c r="AV366" i="6" s="1"/>
  <c r="AW366" i="6" s="1"/>
  <c r="AX366" i="6" s="1"/>
  <c r="AY366" i="6" s="1"/>
  <c r="AZ366" i="6" s="1"/>
  <c r="BA366" i="6" s="1"/>
  <c r="BB366" i="6" s="1"/>
  <c r="BC366" i="6" s="1"/>
  <c r="BD366" i="6" s="1"/>
  <c r="BE366" i="6" s="1"/>
  <c r="BF366" i="6" s="1"/>
  <c r="BG366" i="6" s="1"/>
  <c r="BH366" i="6" s="1"/>
  <c r="BI366" i="6" s="1"/>
  <c r="BJ366" i="6" s="1"/>
  <c r="BK366" i="6" s="1"/>
  <c r="BL366" i="6" s="1"/>
  <c r="BM366" i="6" s="1"/>
  <c r="BN366" i="6" s="1"/>
  <c r="BO366" i="6" s="1"/>
  <c r="BP366" i="6" s="1"/>
  <c r="BQ366" i="6" s="1"/>
  <c r="BR366" i="6" s="1"/>
  <c r="BS366" i="6" s="1"/>
  <c r="BT366" i="6" s="1"/>
  <c r="BU366" i="6" s="1"/>
  <c r="BV366" i="6" s="1"/>
  <c r="BW366" i="6" s="1"/>
  <c r="BX366" i="6" s="1"/>
  <c r="BY366" i="6" s="1"/>
  <c r="BZ366" i="6" s="1"/>
  <c r="CA366" i="6" s="1"/>
  <c r="CB366" i="6" s="1"/>
  <c r="CC366" i="6" s="1"/>
  <c r="CD366" i="6" s="1"/>
  <c r="CE366" i="6" s="1"/>
  <c r="CF366" i="6" s="1"/>
  <c r="CG366" i="6" s="1"/>
  <c r="CH366" i="6" s="1"/>
  <c r="CI366" i="6" s="1"/>
  <c r="CJ366" i="6" s="1"/>
  <c r="CK366" i="6" s="1"/>
  <c r="CL366" i="6" s="1"/>
  <c r="CM366" i="6" s="1"/>
  <c r="CN366" i="6" s="1"/>
  <c r="CO366" i="6" s="1"/>
  <c r="CP366" i="6" s="1"/>
  <c r="CQ366" i="6" s="1"/>
  <c r="CR366" i="6" s="1"/>
  <c r="CS366" i="6" s="1"/>
  <c r="CT366" i="6" s="1"/>
  <c r="CU366" i="6" s="1"/>
  <c r="CV366" i="6" s="1"/>
  <c r="CW366" i="6" s="1"/>
  <c r="CX366" i="6" s="1"/>
  <c r="CY366" i="6" s="1"/>
  <c r="CZ366" i="6" s="1"/>
  <c r="DA366" i="6" s="1"/>
  <c r="DB366" i="6" s="1"/>
  <c r="DC366" i="6" s="1"/>
  <c r="DD366" i="6" s="1"/>
  <c r="DE366" i="6" s="1"/>
  <c r="L326" i="6"/>
  <c r="M326" i="6" s="1"/>
  <c r="N326" i="6" s="1"/>
  <c r="O326" i="6" s="1"/>
  <c r="P326" i="6" s="1"/>
  <c r="Q326" i="6" s="1"/>
  <c r="R326" i="6" s="1"/>
  <c r="S326" i="6" s="1"/>
  <c r="T326" i="6" s="1"/>
  <c r="U326" i="6" s="1"/>
  <c r="L342" i="6"/>
  <c r="M342" i="6" s="1"/>
  <c r="N342" i="6" s="1"/>
  <c r="O342" i="6" s="1"/>
  <c r="P342" i="6" s="1"/>
  <c r="Q342" i="6" s="1"/>
  <c r="L172" i="6"/>
  <c r="M172" i="6" s="1"/>
  <c r="N172" i="6" s="1"/>
  <c r="O172" i="6" s="1"/>
  <c r="P172" i="6" s="1"/>
  <c r="Q172" i="6" s="1"/>
  <c r="L90" i="6"/>
  <c r="M90" i="6" s="1"/>
  <c r="N90" i="6" s="1"/>
  <c r="O90" i="6" s="1"/>
  <c r="P90" i="6" s="1"/>
  <c r="Q90" i="6" s="1"/>
  <c r="L251" i="6"/>
  <c r="M251" i="6" s="1"/>
  <c r="L338" i="6"/>
  <c r="M338" i="6" s="1"/>
  <c r="N338" i="6" s="1"/>
  <c r="O338" i="6" s="1"/>
  <c r="P338" i="6" s="1"/>
  <c r="Q338" i="6" s="1"/>
  <c r="R338" i="6" s="1"/>
  <c r="S338" i="6" s="1"/>
  <c r="T338" i="6" s="1"/>
  <c r="U338" i="6" s="1"/>
  <c r="L256" i="6"/>
  <c r="M256" i="6" s="1"/>
  <c r="K5" i="4"/>
  <c r="L5" i="4" s="1"/>
  <c r="M5" i="4" s="1"/>
  <c r="H72" i="1"/>
  <c r="D30" i="11"/>
  <c r="D31" i="11" s="1"/>
  <c r="C31" i="11"/>
  <c r="E31" i="11" s="1"/>
  <c r="M12" i="8"/>
  <c r="B26" i="7" s="1"/>
  <c r="M7" i="8"/>
  <c r="B16" i="7" s="1"/>
  <c r="D16" i="7" s="1"/>
  <c r="O16" i="7" s="1"/>
  <c r="D30" i="7"/>
  <c r="M11" i="8"/>
  <c r="D24" i="7" s="1"/>
  <c r="O20" i="7" s="1"/>
  <c r="M6" i="8"/>
  <c r="B14" i="7" s="1"/>
  <c r="L19" i="8"/>
  <c r="D2" i="7"/>
  <c r="M14" i="8"/>
  <c r="B6" i="7" s="1"/>
  <c r="M10" i="8"/>
  <c r="B12" i="7"/>
  <c r="D12" i="7" s="1"/>
  <c r="O14" i="7" s="1"/>
  <c r="L305" i="6"/>
  <c r="L344" i="6"/>
  <c r="M344" i="6" s="1"/>
  <c r="K175" i="6"/>
  <c r="L175" i="6" s="1"/>
  <c r="M175" i="6" s="1"/>
  <c r="M261" i="6"/>
  <c r="K328" i="6"/>
  <c r="L13" i="8"/>
  <c r="K13" i="8"/>
  <c r="K19" i="8"/>
  <c r="D20" i="7"/>
  <c r="O18" i="7" s="1"/>
  <c r="C29" i="7"/>
  <c r="D6" i="7"/>
  <c r="C11" i="7"/>
  <c r="D10" i="7" s="1"/>
  <c r="O13" i="7" s="1"/>
  <c r="C15" i="7"/>
  <c r="C19" i="7"/>
  <c r="C23" i="7"/>
  <c r="C27" i="7"/>
  <c r="G9" i="7"/>
  <c r="G13" i="7"/>
  <c r="G17" i="7"/>
  <c r="G21" i="7"/>
  <c r="G25" i="7"/>
  <c r="DF366" i="6" l="1"/>
  <c r="C17" i="10"/>
  <c r="H34" i="11"/>
  <c r="B32" i="8"/>
  <c r="D18" i="7"/>
  <c r="D14" i="7"/>
  <c r="O15" i="7" s="1"/>
  <c r="F2" i="7"/>
  <c r="H2" i="7" s="1"/>
  <c r="D26" i="7"/>
  <c r="O21" i="7" s="1"/>
  <c r="M19" i="8"/>
  <c r="B8" i="7" s="1"/>
  <c r="D8" i="7" s="1"/>
  <c r="O12" i="7" s="1"/>
  <c r="O24" i="7" s="1"/>
  <c r="D22" i="7"/>
  <c r="O19" i="7" s="1"/>
  <c r="M13" i="8"/>
  <c r="D28" i="7" s="1"/>
  <c r="O22" i="7" s="1"/>
  <c r="M305" i="6"/>
  <c r="F4" i="7" l="1"/>
  <c r="H4" i="7" s="1"/>
  <c r="F30" i="7"/>
  <c r="H30" i="7" s="1"/>
  <c r="J394" i="6" s="1"/>
  <c r="J396" i="6"/>
  <c r="O17" i="7"/>
  <c r="F6" i="7"/>
  <c r="H6" i="7" s="1"/>
  <c r="F22" i="7"/>
  <c r="H22" i="7" s="1"/>
  <c r="F20" i="7"/>
  <c r="H20" i="7" s="1"/>
  <c r="F14" i="7"/>
  <c r="H14" i="7" s="1"/>
  <c r="V309" i="6" s="1"/>
  <c r="F28" i="7"/>
  <c r="H28" i="7" s="1"/>
  <c r="F12" i="7"/>
  <c r="H12" i="7" s="1"/>
  <c r="N175" i="6" s="1"/>
  <c r="J386" i="6"/>
  <c r="J370" i="6"/>
  <c r="J376" i="6"/>
  <c r="J390" i="6"/>
  <c r="J374" i="6"/>
  <c r="J384" i="6"/>
  <c r="J372" i="6"/>
  <c r="N5" i="5"/>
  <c r="F26" i="7"/>
  <c r="H26" i="7" s="1"/>
  <c r="F18" i="7"/>
  <c r="H18" i="7" s="1"/>
  <c r="F10" i="7"/>
  <c r="H10" i="7" s="1"/>
  <c r="R88" i="6" s="1"/>
  <c r="F24" i="7"/>
  <c r="H24" i="7" s="1"/>
  <c r="F16" i="7"/>
  <c r="H16" i="7" s="1"/>
  <c r="N324" i="6" s="1"/>
  <c r="F8" i="7"/>
  <c r="H8" i="7" s="1"/>
  <c r="N78" i="6" s="1"/>
  <c r="N332" i="6"/>
  <c r="N5" i="4"/>
  <c r="J81" i="4"/>
  <c r="N59" i="1"/>
  <c r="O59" i="1" s="1"/>
  <c r="P59" i="1" s="1"/>
  <c r="Q59" i="1" s="1"/>
  <c r="R59" i="1" s="1"/>
  <c r="S59" i="1" s="1"/>
  <c r="T59" i="1" s="1"/>
  <c r="U59" i="1" s="1"/>
  <c r="V59" i="1" s="1"/>
  <c r="W59" i="1" s="1"/>
  <c r="X59" i="1" s="1"/>
  <c r="Y59" i="1" s="1"/>
  <c r="Z59" i="1" s="1"/>
  <c r="AA59" i="1" s="1"/>
  <c r="AB59" i="1" s="1"/>
  <c r="AC59" i="1" s="1"/>
  <c r="AD59" i="1" s="1"/>
  <c r="AE59" i="1" s="1"/>
  <c r="AF59" i="1" s="1"/>
  <c r="AG59" i="1" s="1"/>
  <c r="AH59" i="1" s="1"/>
  <c r="AI59" i="1" s="1"/>
  <c r="AJ59" i="1" s="1"/>
  <c r="AK59" i="1" s="1"/>
  <c r="AL59" i="1" s="1"/>
  <c r="AM59" i="1" s="1"/>
  <c r="AN59" i="1" s="1"/>
  <c r="AO59" i="1" s="1"/>
  <c r="AP59" i="1" s="1"/>
  <c r="AQ59" i="1" s="1"/>
  <c r="AR59" i="1" s="1"/>
  <c r="AS59" i="1" s="1"/>
  <c r="AT59" i="1" s="1"/>
  <c r="AU59" i="1" s="1"/>
  <c r="AV59" i="1" s="1"/>
  <c r="AW59" i="1" s="1"/>
  <c r="AX59" i="1" s="1"/>
  <c r="AY59" i="1" s="1"/>
  <c r="AZ59" i="1" s="1"/>
  <c r="BA59" i="1" s="1"/>
  <c r="BB59" i="1" s="1"/>
  <c r="BC59" i="1" s="1"/>
  <c r="BD59" i="1" s="1"/>
  <c r="BE59" i="1" s="1"/>
  <c r="BF59" i="1" s="1"/>
  <c r="BG59" i="1" s="1"/>
  <c r="BH59" i="1" s="1"/>
  <c r="BI59" i="1" s="1"/>
  <c r="BJ59" i="1" s="1"/>
  <c r="BK59" i="1" s="1"/>
  <c r="BL59" i="1" s="1"/>
  <c r="BM59" i="1" s="1"/>
  <c r="BN59" i="1" s="1"/>
  <c r="BO59" i="1" s="1"/>
  <c r="BP59" i="1" s="1"/>
  <c r="BQ59" i="1" s="1"/>
  <c r="BR59" i="1" s="1"/>
  <c r="BS59" i="1" s="1"/>
  <c r="BT59" i="1" s="1"/>
  <c r="BU59" i="1" s="1"/>
  <c r="BV59" i="1" s="1"/>
  <c r="BW59" i="1" s="1"/>
  <c r="BX59" i="1" s="1"/>
  <c r="BY59" i="1" s="1"/>
  <c r="BZ59" i="1" s="1"/>
  <c r="CA59" i="1" s="1"/>
  <c r="CB59" i="1" s="1"/>
  <c r="CC59" i="1" s="1"/>
  <c r="CD59" i="1" s="1"/>
  <c r="CE59" i="1" s="1"/>
  <c r="CF59" i="1" s="1"/>
  <c r="CG59" i="1" s="1"/>
  <c r="CH59" i="1" s="1"/>
  <c r="CI59" i="1" s="1"/>
  <c r="CJ59" i="1" s="1"/>
  <c r="CK59" i="1" s="1"/>
  <c r="CL59" i="1" s="1"/>
  <c r="CM59" i="1" s="1"/>
  <c r="CN59" i="1" s="1"/>
  <c r="CO59" i="1" s="1"/>
  <c r="N23" i="4"/>
  <c r="N177" i="6"/>
  <c r="O324" i="6"/>
  <c r="P324" i="6" s="1"/>
  <c r="Q324" i="6" s="1"/>
  <c r="R324" i="6" s="1"/>
  <c r="S324" i="6" s="1"/>
  <c r="T324" i="6" s="1"/>
  <c r="U324" i="6" s="1"/>
  <c r="V324" i="6" s="1"/>
  <c r="W324" i="6" s="1"/>
  <c r="X324" i="6" s="1"/>
  <c r="Y324" i="6" s="1"/>
  <c r="Z324" i="6" s="1"/>
  <c r="AA324" i="6" s="1"/>
  <c r="AB324" i="6" s="1"/>
  <c r="AC324" i="6" s="1"/>
  <c r="AD324" i="6" s="1"/>
  <c r="AE324" i="6" s="1"/>
  <c r="AF324" i="6" s="1"/>
  <c r="AG324" i="6" s="1"/>
  <c r="AH324" i="6" s="1"/>
  <c r="AI324" i="6" s="1"/>
  <c r="AJ324" i="6" s="1"/>
  <c r="AK324" i="6" s="1"/>
  <c r="AL324" i="6" s="1"/>
  <c r="AM324" i="6" s="1"/>
  <c r="AN324" i="6" s="1"/>
  <c r="AO324" i="6" s="1"/>
  <c r="AP324" i="6" s="1"/>
  <c r="AQ324" i="6" s="1"/>
  <c r="AR324" i="6" s="1"/>
  <c r="AS324" i="6" s="1"/>
  <c r="AT324" i="6" s="1"/>
  <c r="AU324" i="6" s="1"/>
  <c r="AV324" i="6" s="1"/>
  <c r="AW324" i="6" s="1"/>
  <c r="AX324" i="6" s="1"/>
  <c r="AY324" i="6" s="1"/>
  <c r="AZ324" i="6" s="1"/>
  <c r="BA324" i="6" s="1"/>
  <c r="BB324" i="6" s="1"/>
  <c r="BC324" i="6" s="1"/>
  <c r="BD324" i="6" s="1"/>
  <c r="BE324" i="6" s="1"/>
  <c r="BF324" i="6" s="1"/>
  <c r="BG324" i="6" s="1"/>
  <c r="BH324" i="6" s="1"/>
  <c r="BI324" i="6" s="1"/>
  <c r="BJ324" i="6" s="1"/>
  <c r="BK324" i="6" s="1"/>
  <c r="BL324" i="6" s="1"/>
  <c r="BM324" i="6" s="1"/>
  <c r="BN324" i="6" s="1"/>
  <c r="BO324" i="6" s="1"/>
  <c r="BP324" i="6" s="1"/>
  <c r="BQ324" i="6" s="1"/>
  <c r="BR324" i="6" s="1"/>
  <c r="BS324" i="6" s="1"/>
  <c r="BT324" i="6" s="1"/>
  <c r="BU324" i="6" s="1"/>
  <c r="BV324" i="6" s="1"/>
  <c r="BW324" i="6" s="1"/>
  <c r="BX324" i="6" s="1"/>
  <c r="BY324" i="6" s="1"/>
  <c r="BZ324" i="6" s="1"/>
  <c r="CA324" i="6" s="1"/>
  <c r="CB324" i="6" s="1"/>
  <c r="CC324" i="6" s="1"/>
  <c r="CD324" i="6" s="1"/>
  <c r="CE324" i="6" s="1"/>
  <c r="CF324" i="6" s="1"/>
  <c r="CG324" i="6" s="1"/>
  <c r="CH324" i="6" s="1"/>
  <c r="CI324" i="6" s="1"/>
  <c r="CJ324" i="6" s="1"/>
  <c r="CK324" i="6" s="1"/>
  <c r="CL324" i="6" s="1"/>
  <c r="CM324" i="6" s="1"/>
  <c r="CN324" i="6" s="1"/>
  <c r="CO324" i="6" s="1"/>
  <c r="CP324" i="6" s="1"/>
  <c r="CQ324" i="6" s="1"/>
  <c r="CR324" i="6" s="1"/>
  <c r="CS324" i="6" s="1"/>
  <c r="CT324" i="6" s="1"/>
  <c r="CU324" i="6" s="1"/>
  <c r="CV324" i="6" s="1"/>
  <c r="CW324" i="6" s="1"/>
  <c r="CX324" i="6" s="1"/>
  <c r="CY324" i="6" s="1"/>
  <c r="CZ324" i="6" s="1"/>
  <c r="DA324" i="6" s="1"/>
  <c r="DB324" i="6" s="1"/>
  <c r="DC324" i="6" s="1"/>
  <c r="DD324" i="6" s="1"/>
  <c r="DE324" i="6" s="1"/>
  <c r="O5" i="5" l="1"/>
  <c r="P5" i="5" s="1"/>
  <c r="Q5" i="5" s="1"/>
  <c r="R5" i="5" s="1"/>
  <c r="S5" i="5" s="1"/>
  <c r="T5" i="5" s="1"/>
  <c r="U5" i="5" s="1"/>
  <c r="V5" i="5" s="1"/>
  <c r="W5" i="5" s="1"/>
  <c r="X5" i="5" s="1"/>
  <c r="Y5" i="5" s="1"/>
  <c r="Z5" i="5" s="1"/>
  <c r="AA5" i="5" s="1"/>
  <c r="AB5" i="5" s="1"/>
  <c r="AC5" i="5" s="1"/>
  <c r="AD5" i="5" s="1"/>
  <c r="AE5" i="5" s="1"/>
  <c r="AF5" i="5" s="1"/>
  <c r="AG5" i="5" s="1"/>
  <c r="AH5" i="5" s="1"/>
  <c r="AI5" i="5" s="1"/>
  <c r="AJ5" i="5" s="1"/>
  <c r="AK5" i="5" s="1"/>
  <c r="AL5" i="5" s="1"/>
  <c r="AM5" i="5" s="1"/>
  <c r="AN5" i="5" s="1"/>
  <c r="AO5" i="5" s="1"/>
  <c r="AP5" i="5" s="1"/>
  <c r="AQ5" i="5" s="1"/>
  <c r="AR5" i="5" s="1"/>
  <c r="AS5" i="5" s="1"/>
  <c r="AT5" i="5" s="1"/>
  <c r="AU5" i="5" s="1"/>
  <c r="AV5" i="5" s="1"/>
  <c r="AW5" i="5" s="1"/>
  <c r="AX5" i="5" s="1"/>
  <c r="AY5" i="5" s="1"/>
  <c r="AZ5" i="5" s="1"/>
  <c r="BA5" i="5" s="1"/>
  <c r="BB5" i="5" s="1"/>
  <c r="BC5" i="5" s="1"/>
  <c r="BD5" i="5" s="1"/>
  <c r="BE5" i="5" s="1"/>
  <c r="BF5" i="5" s="1"/>
  <c r="BG5" i="5" s="1"/>
  <c r="BH5" i="5" s="1"/>
  <c r="BI5" i="5" s="1"/>
  <c r="BJ5" i="5" s="1"/>
  <c r="BK5" i="5" s="1"/>
  <c r="BL5" i="5" s="1"/>
  <c r="BM5" i="5" s="1"/>
  <c r="BN5" i="5" s="1"/>
  <c r="BO5" i="5" s="1"/>
  <c r="BP5" i="5" s="1"/>
  <c r="BQ5" i="5" s="1"/>
  <c r="BR5" i="5" s="1"/>
  <c r="BS5" i="5" s="1"/>
  <c r="BT5" i="5" s="1"/>
  <c r="BU5" i="5" s="1"/>
  <c r="BV5" i="5" s="1"/>
  <c r="BW5" i="5" s="1"/>
  <c r="BX5" i="5" s="1"/>
  <c r="BY5" i="5" s="1"/>
  <c r="BZ5" i="5" s="1"/>
  <c r="CA5" i="5" s="1"/>
  <c r="CB5" i="5" s="1"/>
  <c r="CC5" i="5" s="1"/>
  <c r="CD5" i="5" s="1"/>
  <c r="CE5" i="5" s="1"/>
  <c r="CF5" i="5" s="1"/>
  <c r="CG5" i="5" s="1"/>
  <c r="CH5" i="5" s="1"/>
  <c r="CI5" i="5" s="1"/>
  <c r="CJ5" i="5" s="1"/>
  <c r="CK5" i="5" s="1"/>
  <c r="CL5" i="5" s="1"/>
  <c r="CM5" i="5" s="1"/>
  <c r="CN5" i="5" s="1"/>
  <c r="CO5" i="5" s="1"/>
  <c r="CP5" i="5" s="1"/>
  <c r="CQ5" i="5" s="1"/>
  <c r="CR5" i="5" s="1"/>
  <c r="CS5" i="5" s="1"/>
  <c r="CT5" i="5" s="1"/>
  <c r="CU5" i="5" s="1"/>
  <c r="CV5" i="5" s="1"/>
  <c r="CW5" i="5" s="1"/>
  <c r="CX5" i="5" s="1"/>
  <c r="CY5" i="5" s="1"/>
  <c r="CZ5" i="5" s="1"/>
  <c r="DA5" i="5" s="1"/>
  <c r="DB5" i="5" s="1"/>
  <c r="DC5" i="5" s="1"/>
  <c r="DD5" i="5" s="1"/>
  <c r="DE5" i="5" s="1"/>
  <c r="DF5" i="5" s="1"/>
  <c r="DG5" i="5" s="1"/>
  <c r="DH5" i="5" s="1"/>
  <c r="DI5" i="5" s="1"/>
  <c r="DJ5" i="5" s="1"/>
  <c r="DK5" i="5" s="1"/>
  <c r="DL5" i="5" s="1"/>
  <c r="DM5" i="5" s="1"/>
  <c r="DN5" i="5" s="1"/>
  <c r="DO5" i="5" s="1"/>
  <c r="DP5" i="5" s="1"/>
  <c r="DQ5" i="5" s="1"/>
  <c r="DR5" i="5" s="1"/>
  <c r="DS5" i="5" s="1"/>
  <c r="DT5" i="5" s="1"/>
  <c r="DU5" i="5" s="1"/>
  <c r="DV5" i="5" s="1"/>
  <c r="DW5" i="5" s="1"/>
  <c r="DX5" i="5" s="1"/>
  <c r="DY5" i="5" s="1"/>
  <c r="DZ5" i="5" s="1"/>
  <c r="EA5" i="5" s="1"/>
  <c r="EB5" i="5" s="1"/>
  <c r="EC5" i="5" s="1"/>
  <c r="ED5" i="5" s="1"/>
  <c r="EE5" i="5" s="1"/>
  <c r="EF5" i="5" s="1"/>
  <c r="EG5" i="5" s="1"/>
  <c r="EH5" i="5" s="1"/>
  <c r="EI5" i="5" s="1"/>
  <c r="EJ5" i="5" s="1"/>
  <c r="EK5" i="5" s="1"/>
  <c r="EL5" i="5" s="1"/>
  <c r="EN5" i="5" s="1"/>
  <c r="EO5" i="5" s="1"/>
  <c r="DF324" i="6"/>
  <c r="O78" i="6"/>
  <c r="P78" i="6" s="1"/>
  <c r="Q78" i="6" s="1"/>
  <c r="R78" i="6" s="1"/>
  <c r="S78" i="6" s="1"/>
  <c r="T78" i="6" s="1"/>
  <c r="U78" i="6" s="1"/>
  <c r="V78" i="6" s="1"/>
  <c r="W78" i="6" s="1"/>
  <c r="X78" i="6" s="1"/>
  <c r="Y78" i="6" s="1"/>
  <c r="Z78" i="6" s="1"/>
  <c r="AA78" i="6" s="1"/>
  <c r="AB78" i="6" s="1"/>
  <c r="AC78" i="6" s="1"/>
  <c r="AD78" i="6" s="1"/>
  <c r="AE78" i="6" s="1"/>
  <c r="AF78" i="6" s="1"/>
  <c r="AG78" i="6" s="1"/>
  <c r="AH78" i="6" s="1"/>
  <c r="AI78" i="6" s="1"/>
  <c r="AJ78" i="6" s="1"/>
  <c r="AK78" i="6" s="1"/>
  <c r="AL78" i="6" s="1"/>
  <c r="AM78" i="6" s="1"/>
  <c r="AN78" i="6" s="1"/>
  <c r="AO78" i="6" s="1"/>
  <c r="AP78" i="6" s="1"/>
  <c r="AQ78" i="6" s="1"/>
  <c r="AR78" i="6" s="1"/>
  <c r="AS78" i="6" s="1"/>
  <c r="AT78" i="6" s="1"/>
  <c r="AU78" i="6" s="1"/>
  <c r="AV78" i="6" s="1"/>
  <c r="AW78" i="6" s="1"/>
  <c r="AX78" i="6" s="1"/>
  <c r="AY78" i="6" s="1"/>
  <c r="AZ78" i="6" s="1"/>
  <c r="BA78" i="6" s="1"/>
  <c r="BB78" i="6" s="1"/>
  <c r="BC78" i="6" s="1"/>
  <c r="BD78" i="6" s="1"/>
  <c r="BE78" i="6" s="1"/>
  <c r="BF78" i="6" s="1"/>
  <c r="BG78" i="6" s="1"/>
  <c r="BH78" i="6" s="1"/>
  <c r="BI78" i="6" s="1"/>
  <c r="BJ78" i="6" s="1"/>
  <c r="BK78" i="6" s="1"/>
  <c r="BL78" i="6" s="1"/>
  <c r="BM78" i="6" s="1"/>
  <c r="BN78" i="6" s="1"/>
  <c r="BO78" i="6" s="1"/>
  <c r="BP78" i="6" s="1"/>
  <c r="BQ78" i="6" s="1"/>
  <c r="BR78" i="6" s="1"/>
  <c r="BS78" i="6" s="1"/>
  <c r="BT78" i="6" s="1"/>
  <c r="BU78" i="6" s="1"/>
  <c r="BV78" i="6" s="1"/>
  <c r="BW78" i="6" s="1"/>
  <c r="BX78" i="6" s="1"/>
  <c r="BY78" i="6" s="1"/>
  <c r="BZ78" i="6" s="1"/>
  <c r="CA78" i="6" s="1"/>
  <c r="CB78" i="6" s="1"/>
  <c r="CC78" i="6" s="1"/>
  <c r="CD78" i="6" s="1"/>
  <c r="CE78" i="6" s="1"/>
  <c r="CF78" i="6" s="1"/>
  <c r="CG78" i="6" s="1"/>
  <c r="CH78" i="6" s="1"/>
  <c r="CI78" i="6" s="1"/>
  <c r="CJ78" i="6" s="1"/>
  <c r="CK78" i="6" s="1"/>
  <c r="CL78" i="6" s="1"/>
  <c r="CM78" i="6" s="1"/>
  <c r="CN78" i="6" s="1"/>
  <c r="CO78" i="6" s="1"/>
  <c r="CP78" i="6" s="1"/>
  <c r="CQ78" i="6" s="1"/>
  <c r="CR78" i="6" s="1"/>
  <c r="CS78" i="6" s="1"/>
  <c r="CT78" i="6" s="1"/>
  <c r="CU78" i="6" s="1"/>
  <c r="CV78" i="6" s="1"/>
  <c r="CW78" i="6" s="1"/>
  <c r="CX78" i="6" s="1"/>
  <c r="CY78" i="6" s="1"/>
  <c r="CZ78" i="6" s="1"/>
  <c r="DA78" i="6" s="1"/>
  <c r="DB78" i="6" s="1"/>
  <c r="DC78" i="6" s="1"/>
  <c r="DD78" i="6" s="1"/>
  <c r="DE78" i="6" s="1"/>
  <c r="K384" i="6"/>
  <c r="L384" i="6" s="1"/>
  <c r="M384" i="6" s="1"/>
  <c r="N384" i="6" s="1"/>
  <c r="O384" i="6" s="1"/>
  <c r="P384" i="6" s="1"/>
  <c r="Q384" i="6" s="1"/>
  <c r="R384" i="6" s="1"/>
  <c r="S384" i="6" s="1"/>
  <c r="T384" i="6" s="1"/>
  <c r="U384" i="6" s="1"/>
  <c r="V384" i="6" s="1"/>
  <c r="W384" i="6" s="1"/>
  <c r="X384" i="6" s="1"/>
  <c r="Y384" i="6" s="1"/>
  <c r="Z384" i="6" s="1"/>
  <c r="AA384" i="6" s="1"/>
  <c r="AB384" i="6" s="1"/>
  <c r="AC384" i="6" s="1"/>
  <c r="AD384" i="6" s="1"/>
  <c r="AE384" i="6" s="1"/>
  <c r="AF384" i="6" s="1"/>
  <c r="AG384" i="6" s="1"/>
  <c r="AH384" i="6" s="1"/>
  <c r="AI384" i="6" s="1"/>
  <c r="AJ384" i="6" s="1"/>
  <c r="AK384" i="6" s="1"/>
  <c r="AL384" i="6" s="1"/>
  <c r="AM384" i="6" s="1"/>
  <c r="AN384" i="6" s="1"/>
  <c r="AO384" i="6" s="1"/>
  <c r="AP384" i="6" s="1"/>
  <c r="AQ384" i="6" s="1"/>
  <c r="AR384" i="6" s="1"/>
  <c r="AS384" i="6" s="1"/>
  <c r="AT384" i="6" s="1"/>
  <c r="AU384" i="6" s="1"/>
  <c r="AV384" i="6" s="1"/>
  <c r="AW384" i="6" s="1"/>
  <c r="AX384" i="6" s="1"/>
  <c r="AY384" i="6" s="1"/>
  <c r="AZ384" i="6" s="1"/>
  <c r="BA384" i="6" s="1"/>
  <c r="BB384" i="6" s="1"/>
  <c r="BC384" i="6" s="1"/>
  <c r="BD384" i="6" s="1"/>
  <c r="BE384" i="6" s="1"/>
  <c r="BF384" i="6" s="1"/>
  <c r="BG384" i="6" s="1"/>
  <c r="BH384" i="6" s="1"/>
  <c r="BI384" i="6" s="1"/>
  <c r="BJ384" i="6" s="1"/>
  <c r="BK384" i="6" s="1"/>
  <c r="BL384" i="6" s="1"/>
  <c r="BM384" i="6" s="1"/>
  <c r="BN384" i="6" s="1"/>
  <c r="BO384" i="6" s="1"/>
  <c r="BP384" i="6" s="1"/>
  <c r="BQ384" i="6" s="1"/>
  <c r="BR384" i="6" s="1"/>
  <c r="BS384" i="6" s="1"/>
  <c r="BT384" i="6" s="1"/>
  <c r="BU384" i="6" s="1"/>
  <c r="BV384" i="6" s="1"/>
  <c r="BW384" i="6" s="1"/>
  <c r="BX384" i="6" s="1"/>
  <c r="BY384" i="6" s="1"/>
  <c r="BZ384" i="6" s="1"/>
  <c r="CA384" i="6" s="1"/>
  <c r="CB384" i="6" s="1"/>
  <c r="CC384" i="6" s="1"/>
  <c r="CD384" i="6" s="1"/>
  <c r="CE384" i="6" s="1"/>
  <c r="CF384" i="6" s="1"/>
  <c r="CG384" i="6" s="1"/>
  <c r="CH384" i="6" s="1"/>
  <c r="CI384" i="6" s="1"/>
  <c r="CJ384" i="6" s="1"/>
  <c r="CK384" i="6" s="1"/>
  <c r="CL384" i="6" s="1"/>
  <c r="CM384" i="6" s="1"/>
  <c r="CN384" i="6" s="1"/>
  <c r="CO384" i="6" s="1"/>
  <c r="CP384" i="6" s="1"/>
  <c r="CQ384" i="6" s="1"/>
  <c r="CR384" i="6" s="1"/>
  <c r="CS384" i="6" s="1"/>
  <c r="CT384" i="6" s="1"/>
  <c r="CU384" i="6" s="1"/>
  <c r="CV384" i="6" s="1"/>
  <c r="CW384" i="6" s="1"/>
  <c r="CX384" i="6" s="1"/>
  <c r="CY384" i="6" s="1"/>
  <c r="CZ384" i="6" s="1"/>
  <c r="DA384" i="6" s="1"/>
  <c r="DB384" i="6" s="1"/>
  <c r="DC384" i="6" s="1"/>
  <c r="DD384" i="6" s="1"/>
  <c r="DE384" i="6" s="1"/>
  <c r="K390" i="6"/>
  <c r="L390" i="6" s="1"/>
  <c r="M390" i="6" s="1"/>
  <c r="N390" i="6" s="1"/>
  <c r="O390" i="6" s="1"/>
  <c r="P390" i="6" s="1"/>
  <c r="Q390" i="6" s="1"/>
  <c r="R390" i="6" s="1"/>
  <c r="S390" i="6" s="1"/>
  <c r="T390" i="6" s="1"/>
  <c r="U390" i="6" s="1"/>
  <c r="V390" i="6" s="1"/>
  <c r="W390" i="6" s="1"/>
  <c r="X390" i="6" s="1"/>
  <c r="Y390" i="6" s="1"/>
  <c r="Z390" i="6" s="1"/>
  <c r="AA390" i="6" s="1"/>
  <c r="AB390" i="6" s="1"/>
  <c r="AC390" i="6" s="1"/>
  <c r="AD390" i="6" s="1"/>
  <c r="AE390" i="6" s="1"/>
  <c r="AF390" i="6" s="1"/>
  <c r="AG390" i="6" s="1"/>
  <c r="AH390" i="6" s="1"/>
  <c r="AI390" i="6" s="1"/>
  <c r="AJ390" i="6" s="1"/>
  <c r="AK390" i="6" s="1"/>
  <c r="AL390" i="6" s="1"/>
  <c r="AM390" i="6" s="1"/>
  <c r="AN390" i="6" s="1"/>
  <c r="AO390" i="6" s="1"/>
  <c r="AP390" i="6" s="1"/>
  <c r="AQ390" i="6" s="1"/>
  <c r="AR390" i="6" s="1"/>
  <c r="AS390" i="6" s="1"/>
  <c r="AT390" i="6" s="1"/>
  <c r="AU390" i="6" s="1"/>
  <c r="AV390" i="6" s="1"/>
  <c r="AW390" i="6" s="1"/>
  <c r="AX390" i="6" s="1"/>
  <c r="AY390" i="6" s="1"/>
  <c r="AZ390" i="6" s="1"/>
  <c r="BA390" i="6" s="1"/>
  <c r="BB390" i="6" s="1"/>
  <c r="BC390" i="6" s="1"/>
  <c r="BD390" i="6" s="1"/>
  <c r="BE390" i="6" s="1"/>
  <c r="BF390" i="6" s="1"/>
  <c r="BG390" i="6" s="1"/>
  <c r="BH390" i="6" s="1"/>
  <c r="BI390" i="6" s="1"/>
  <c r="BJ390" i="6" s="1"/>
  <c r="BK390" i="6" s="1"/>
  <c r="BL390" i="6" s="1"/>
  <c r="BM390" i="6" s="1"/>
  <c r="BN390" i="6" s="1"/>
  <c r="BO390" i="6" s="1"/>
  <c r="BP390" i="6" s="1"/>
  <c r="BQ390" i="6" s="1"/>
  <c r="BR390" i="6" s="1"/>
  <c r="BS390" i="6" s="1"/>
  <c r="BT390" i="6" s="1"/>
  <c r="BU390" i="6" s="1"/>
  <c r="BV390" i="6" s="1"/>
  <c r="BW390" i="6" s="1"/>
  <c r="BX390" i="6" s="1"/>
  <c r="BY390" i="6" s="1"/>
  <c r="BZ390" i="6" s="1"/>
  <c r="CA390" i="6" s="1"/>
  <c r="CB390" i="6" s="1"/>
  <c r="CC390" i="6" s="1"/>
  <c r="CD390" i="6" s="1"/>
  <c r="CE390" i="6" s="1"/>
  <c r="CF390" i="6" s="1"/>
  <c r="CG390" i="6" s="1"/>
  <c r="CH390" i="6" s="1"/>
  <c r="CI390" i="6" s="1"/>
  <c r="CJ390" i="6" s="1"/>
  <c r="CK390" i="6" s="1"/>
  <c r="CL390" i="6" s="1"/>
  <c r="CM390" i="6" s="1"/>
  <c r="CN390" i="6" s="1"/>
  <c r="CO390" i="6" s="1"/>
  <c r="CP390" i="6" s="1"/>
  <c r="CQ390" i="6" s="1"/>
  <c r="CR390" i="6" s="1"/>
  <c r="CS390" i="6" s="1"/>
  <c r="CT390" i="6" s="1"/>
  <c r="CU390" i="6" s="1"/>
  <c r="CV390" i="6" s="1"/>
  <c r="CW390" i="6" s="1"/>
  <c r="CX390" i="6" s="1"/>
  <c r="CY390" i="6" s="1"/>
  <c r="CZ390" i="6" s="1"/>
  <c r="DA390" i="6" s="1"/>
  <c r="DB390" i="6" s="1"/>
  <c r="DC390" i="6" s="1"/>
  <c r="DD390" i="6" s="1"/>
  <c r="DE390" i="6" s="1"/>
  <c r="K370" i="6"/>
  <c r="L370" i="6" s="1"/>
  <c r="M370" i="6" s="1"/>
  <c r="N370" i="6" s="1"/>
  <c r="O370" i="6" s="1"/>
  <c r="P370" i="6" s="1"/>
  <c r="Q370" i="6" s="1"/>
  <c r="R370" i="6" s="1"/>
  <c r="S370" i="6" s="1"/>
  <c r="T370" i="6" s="1"/>
  <c r="U370" i="6" s="1"/>
  <c r="V370" i="6" s="1"/>
  <c r="W370" i="6" s="1"/>
  <c r="X370" i="6" s="1"/>
  <c r="Y370" i="6" s="1"/>
  <c r="Z370" i="6" s="1"/>
  <c r="AA370" i="6" s="1"/>
  <c r="AB370" i="6" s="1"/>
  <c r="AC370" i="6" s="1"/>
  <c r="AD370" i="6" s="1"/>
  <c r="AE370" i="6" s="1"/>
  <c r="AF370" i="6" s="1"/>
  <c r="AG370" i="6" s="1"/>
  <c r="AH370" i="6" s="1"/>
  <c r="AI370" i="6" s="1"/>
  <c r="AJ370" i="6" s="1"/>
  <c r="AK370" i="6" s="1"/>
  <c r="AL370" i="6" s="1"/>
  <c r="AM370" i="6" s="1"/>
  <c r="AN370" i="6" s="1"/>
  <c r="AO370" i="6" s="1"/>
  <c r="AP370" i="6" s="1"/>
  <c r="AQ370" i="6" s="1"/>
  <c r="AR370" i="6" s="1"/>
  <c r="AS370" i="6" s="1"/>
  <c r="AT370" i="6" s="1"/>
  <c r="AU370" i="6" s="1"/>
  <c r="AV370" i="6" s="1"/>
  <c r="AW370" i="6" s="1"/>
  <c r="AX370" i="6" s="1"/>
  <c r="AY370" i="6" s="1"/>
  <c r="AZ370" i="6" s="1"/>
  <c r="BA370" i="6" s="1"/>
  <c r="BB370" i="6" s="1"/>
  <c r="BC370" i="6" s="1"/>
  <c r="BD370" i="6" s="1"/>
  <c r="BE370" i="6" s="1"/>
  <c r="BF370" i="6" s="1"/>
  <c r="BG370" i="6" s="1"/>
  <c r="BH370" i="6" s="1"/>
  <c r="BI370" i="6" s="1"/>
  <c r="BJ370" i="6" s="1"/>
  <c r="BK370" i="6" s="1"/>
  <c r="BL370" i="6" s="1"/>
  <c r="BM370" i="6" s="1"/>
  <c r="BN370" i="6" s="1"/>
  <c r="BO370" i="6" s="1"/>
  <c r="BP370" i="6" s="1"/>
  <c r="BQ370" i="6" s="1"/>
  <c r="BR370" i="6" s="1"/>
  <c r="BS370" i="6" s="1"/>
  <c r="BT370" i="6" s="1"/>
  <c r="BU370" i="6" s="1"/>
  <c r="BV370" i="6" s="1"/>
  <c r="BW370" i="6" s="1"/>
  <c r="BX370" i="6" s="1"/>
  <c r="BY370" i="6" s="1"/>
  <c r="BZ370" i="6" s="1"/>
  <c r="CA370" i="6" s="1"/>
  <c r="CB370" i="6" s="1"/>
  <c r="CC370" i="6" s="1"/>
  <c r="CD370" i="6" s="1"/>
  <c r="CE370" i="6" s="1"/>
  <c r="CF370" i="6" s="1"/>
  <c r="CG370" i="6" s="1"/>
  <c r="CH370" i="6" s="1"/>
  <c r="CI370" i="6" s="1"/>
  <c r="CJ370" i="6" s="1"/>
  <c r="CK370" i="6" s="1"/>
  <c r="CL370" i="6" s="1"/>
  <c r="CM370" i="6" s="1"/>
  <c r="CN370" i="6" s="1"/>
  <c r="CO370" i="6" s="1"/>
  <c r="CP370" i="6" s="1"/>
  <c r="CQ370" i="6" s="1"/>
  <c r="CR370" i="6" s="1"/>
  <c r="CS370" i="6" s="1"/>
  <c r="CT370" i="6" s="1"/>
  <c r="CU370" i="6" s="1"/>
  <c r="CV370" i="6" s="1"/>
  <c r="CW370" i="6" s="1"/>
  <c r="CX370" i="6" s="1"/>
  <c r="CY370" i="6" s="1"/>
  <c r="CZ370" i="6" s="1"/>
  <c r="DA370" i="6" s="1"/>
  <c r="DB370" i="6" s="1"/>
  <c r="DC370" i="6" s="1"/>
  <c r="DD370" i="6" s="1"/>
  <c r="DE370" i="6" s="1"/>
  <c r="O175" i="6"/>
  <c r="P175" i="6" s="1"/>
  <c r="Q175" i="6" s="1"/>
  <c r="R175" i="6" s="1"/>
  <c r="S175" i="6" s="1"/>
  <c r="T175" i="6" s="1"/>
  <c r="U175" i="6" s="1"/>
  <c r="V175" i="6" s="1"/>
  <c r="W175" i="6" s="1"/>
  <c r="X175" i="6" s="1"/>
  <c r="Y175" i="6" s="1"/>
  <c r="Z175" i="6" s="1"/>
  <c r="AA175" i="6" s="1"/>
  <c r="AB175" i="6" s="1"/>
  <c r="AC175" i="6" s="1"/>
  <c r="AD175" i="6" s="1"/>
  <c r="AE175" i="6" s="1"/>
  <c r="AF175" i="6" s="1"/>
  <c r="AG175" i="6" s="1"/>
  <c r="AH175" i="6" s="1"/>
  <c r="AI175" i="6" s="1"/>
  <c r="AJ175" i="6" s="1"/>
  <c r="AK175" i="6" s="1"/>
  <c r="AL175" i="6" s="1"/>
  <c r="AM175" i="6" s="1"/>
  <c r="AN175" i="6" s="1"/>
  <c r="AO175" i="6" s="1"/>
  <c r="AP175" i="6" s="1"/>
  <c r="AQ175" i="6" s="1"/>
  <c r="AR175" i="6" s="1"/>
  <c r="AS175" i="6" s="1"/>
  <c r="AT175" i="6" s="1"/>
  <c r="AU175" i="6" s="1"/>
  <c r="AV175" i="6" s="1"/>
  <c r="AW175" i="6" s="1"/>
  <c r="AX175" i="6" s="1"/>
  <c r="AY175" i="6" s="1"/>
  <c r="AZ175" i="6" s="1"/>
  <c r="BA175" i="6" s="1"/>
  <c r="BB175" i="6" s="1"/>
  <c r="BC175" i="6" s="1"/>
  <c r="BD175" i="6" s="1"/>
  <c r="BE175" i="6" s="1"/>
  <c r="BF175" i="6" s="1"/>
  <c r="BG175" i="6" s="1"/>
  <c r="BH175" i="6" s="1"/>
  <c r="BI175" i="6" s="1"/>
  <c r="BJ175" i="6" s="1"/>
  <c r="BK175" i="6" s="1"/>
  <c r="BL175" i="6" s="1"/>
  <c r="BM175" i="6" s="1"/>
  <c r="BN175" i="6" s="1"/>
  <c r="BO175" i="6" s="1"/>
  <c r="BP175" i="6" s="1"/>
  <c r="BQ175" i="6" s="1"/>
  <c r="BR175" i="6" s="1"/>
  <c r="BS175" i="6" s="1"/>
  <c r="BT175" i="6" s="1"/>
  <c r="BU175" i="6" s="1"/>
  <c r="BV175" i="6" s="1"/>
  <c r="BW175" i="6" s="1"/>
  <c r="BX175" i="6" s="1"/>
  <c r="BY175" i="6" s="1"/>
  <c r="BZ175" i="6" s="1"/>
  <c r="CA175" i="6" s="1"/>
  <c r="CB175" i="6" s="1"/>
  <c r="CC175" i="6" s="1"/>
  <c r="CD175" i="6" s="1"/>
  <c r="CE175" i="6" s="1"/>
  <c r="CF175" i="6" s="1"/>
  <c r="CG175" i="6" s="1"/>
  <c r="CH175" i="6" s="1"/>
  <c r="CI175" i="6" s="1"/>
  <c r="CJ175" i="6" s="1"/>
  <c r="CK175" i="6" s="1"/>
  <c r="CL175" i="6" s="1"/>
  <c r="CM175" i="6" s="1"/>
  <c r="CN175" i="6" s="1"/>
  <c r="CO175" i="6" s="1"/>
  <c r="CP175" i="6" s="1"/>
  <c r="CQ175" i="6" s="1"/>
  <c r="CR175" i="6" s="1"/>
  <c r="CS175" i="6" s="1"/>
  <c r="CT175" i="6" s="1"/>
  <c r="CU175" i="6" s="1"/>
  <c r="CV175" i="6" s="1"/>
  <c r="CW175" i="6" s="1"/>
  <c r="CX175" i="6" s="1"/>
  <c r="CY175" i="6" s="1"/>
  <c r="CZ175" i="6" s="1"/>
  <c r="DA175" i="6" s="1"/>
  <c r="DB175" i="6" s="1"/>
  <c r="DC175" i="6" s="1"/>
  <c r="DD175" i="6" s="1"/>
  <c r="DE175" i="6" s="1"/>
  <c r="DF175" i="6" s="1"/>
  <c r="W309" i="6"/>
  <c r="X309" i="6" s="1"/>
  <c r="Y309" i="6" s="1"/>
  <c r="Z309" i="6" s="1"/>
  <c r="AA309" i="6" s="1"/>
  <c r="AB309" i="6" s="1"/>
  <c r="AC309" i="6" s="1"/>
  <c r="AD309" i="6" s="1"/>
  <c r="AE309" i="6" s="1"/>
  <c r="AF309" i="6" s="1"/>
  <c r="AG309" i="6" s="1"/>
  <c r="AH309" i="6" s="1"/>
  <c r="AI309" i="6" s="1"/>
  <c r="AJ309" i="6" s="1"/>
  <c r="AK309" i="6" s="1"/>
  <c r="AL309" i="6" s="1"/>
  <c r="AM309" i="6" s="1"/>
  <c r="AN309" i="6" s="1"/>
  <c r="AO309" i="6" s="1"/>
  <c r="AP309" i="6" s="1"/>
  <c r="AQ309" i="6" s="1"/>
  <c r="AR309" i="6" s="1"/>
  <c r="AS309" i="6" s="1"/>
  <c r="AT309" i="6" s="1"/>
  <c r="AU309" i="6" s="1"/>
  <c r="AV309" i="6" s="1"/>
  <c r="AW309" i="6" s="1"/>
  <c r="AX309" i="6" s="1"/>
  <c r="AY309" i="6" s="1"/>
  <c r="AZ309" i="6" s="1"/>
  <c r="BA309" i="6" s="1"/>
  <c r="BB309" i="6" s="1"/>
  <c r="BC309" i="6" s="1"/>
  <c r="BD309" i="6" s="1"/>
  <c r="BE309" i="6" s="1"/>
  <c r="BF309" i="6" s="1"/>
  <c r="BG309" i="6" s="1"/>
  <c r="BH309" i="6" s="1"/>
  <c r="BI309" i="6" s="1"/>
  <c r="BJ309" i="6" s="1"/>
  <c r="BK309" i="6" s="1"/>
  <c r="BL309" i="6" s="1"/>
  <c r="BM309" i="6" s="1"/>
  <c r="BN309" i="6" s="1"/>
  <c r="BO309" i="6" s="1"/>
  <c r="BP309" i="6" s="1"/>
  <c r="BQ309" i="6" s="1"/>
  <c r="BR309" i="6" s="1"/>
  <c r="BS309" i="6" s="1"/>
  <c r="BT309" i="6" s="1"/>
  <c r="BU309" i="6" s="1"/>
  <c r="BV309" i="6" s="1"/>
  <c r="BW309" i="6" s="1"/>
  <c r="BX309" i="6" s="1"/>
  <c r="BY309" i="6" s="1"/>
  <c r="BZ309" i="6" s="1"/>
  <c r="CA309" i="6" s="1"/>
  <c r="CB309" i="6" s="1"/>
  <c r="CC309" i="6" s="1"/>
  <c r="CD309" i="6" s="1"/>
  <c r="CE309" i="6" s="1"/>
  <c r="CF309" i="6" s="1"/>
  <c r="CG309" i="6" s="1"/>
  <c r="CH309" i="6" s="1"/>
  <c r="CI309" i="6" s="1"/>
  <c r="CJ309" i="6" s="1"/>
  <c r="CK309" i="6" s="1"/>
  <c r="CL309" i="6" s="1"/>
  <c r="CM309" i="6" s="1"/>
  <c r="CN309" i="6" s="1"/>
  <c r="CO309" i="6" s="1"/>
  <c r="CP309" i="6" s="1"/>
  <c r="CQ309" i="6" s="1"/>
  <c r="CR309" i="6" s="1"/>
  <c r="CS309" i="6" s="1"/>
  <c r="CT309" i="6" s="1"/>
  <c r="CU309" i="6" s="1"/>
  <c r="CV309" i="6" s="1"/>
  <c r="CW309" i="6" s="1"/>
  <c r="CX309" i="6" s="1"/>
  <c r="CY309" i="6" s="1"/>
  <c r="CZ309" i="6" s="1"/>
  <c r="DA309" i="6" s="1"/>
  <c r="DB309" i="6" s="1"/>
  <c r="DC309" i="6" s="1"/>
  <c r="DD309" i="6" s="1"/>
  <c r="DE309" i="6" s="1"/>
  <c r="K394" i="6"/>
  <c r="L394" i="6" s="1"/>
  <c r="M394" i="6" s="1"/>
  <c r="N394" i="6" s="1"/>
  <c r="O394" i="6" s="1"/>
  <c r="P394" i="6" s="1"/>
  <c r="Q394" i="6" s="1"/>
  <c r="R394" i="6" s="1"/>
  <c r="S394" i="6" s="1"/>
  <c r="T394" i="6" s="1"/>
  <c r="U394" i="6" s="1"/>
  <c r="V394" i="6" s="1"/>
  <c r="W394" i="6" s="1"/>
  <c r="X394" i="6" s="1"/>
  <c r="Y394" i="6" s="1"/>
  <c r="Z394" i="6" s="1"/>
  <c r="AA394" i="6" s="1"/>
  <c r="AB394" i="6" s="1"/>
  <c r="AC394" i="6" s="1"/>
  <c r="AD394" i="6" s="1"/>
  <c r="AE394" i="6" s="1"/>
  <c r="AF394" i="6" s="1"/>
  <c r="AG394" i="6" s="1"/>
  <c r="AH394" i="6" s="1"/>
  <c r="AI394" i="6" s="1"/>
  <c r="AJ394" i="6" s="1"/>
  <c r="AK394" i="6" s="1"/>
  <c r="AL394" i="6" s="1"/>
  <c r="AM394" i="6" s="1"/>
  <c r="AN394" i="6" s="1"/>
  <c r="AO394" i="6" s="1"/>
  <c r="AP394" i="6" s="1"/>
  <c r="AQ394" i="6" s="1"/>
  <c r="AR394" i="6" s="1"/>
  <c r="AS394" i="6" s="1"/>
  <c r="AT394" i="6" s="1"/>
  <c r="AU394" i="6" s="1"/>
  <c r="AV394" i="6" s="1"/>
  <c r="AW394" i="6" s="1"/>
  <c r="AX394" i="6" s="1"/>
  <c r="AY394" i="6" s="1"/>
  <c r="AZ394" i="6" s="1"/>
  <c r="BA394" i="6" s="1"/>
  <c r="BB394" i="6" s="1"/>
  <c r="BC394" i="6" s="1"/>
  <c r="BD394" i="6" s="1"/>
  <c r="BE394" i="6" s="1"/>
  <c r="BF394" i="6" s="1"/>
  <c r="BG394" i="6" s="1"/>
  <c r="BH394" i="6" s="1"/>
  <c r="BI394" i="6" s="1"/>
  <c r="BJ394" i="6" s="1"/>
  <c r="BK394" i="6" s="1"/>
  <c r="BL394" i="6" s="1"/>
  <c r="BM394" i="6" s="1"/>
  <c r="BN394" i="6" s="1"/>
  <c r="BO394" i="6" s="1"/>
  <c r="BP394" i="6" s="1"/>
  <c r="BQ394" i="6" s="1"/>
  <c r="BR394" i="6" s="1"/>
  <c r="BS394" i="6" s="1"/>
  <c r="BT394" i="6" s="1"/>
  <c r="BU394" i="6" s="1"/>
  <c r="BV394" i="6" s="1"/>
  <c r="BW394" i="6" s="1"/>
  <c r="BX394" i="6" s="1"/>
  <c r="BY394" i="6" s="1"/>
  <c r="BZ394" i="6" s="1"/>
  <c r="CA394" i="6" s="1"/>
  <c r="CB394" i="6" s="1"/>
  <c r="CC394" i="6" s="1"/>
  <c r="CD394" i="6" s="1"/>
  <c r="CE394" i="6" s="1"/>
  <c r="CF394" i="6" s="1"/>
  <c r="CG394" i="6" s="1"/>
  <c r="CH394" i="6" s="1"/>
  <c r="CI394" i="6" s="1"/>
  <c r="CJ394" i="6" s="1"/>
  <c r="CK394" i="6" s="1"/>
  <c r="CL394" i="6" s="1"/>
  <c r="CM394" i="6" s="1"/>
  <c r="CN394" i="6" s="1"/>
  <c r="CO394" i="6" s="1"/>
  <c r="CP394" i="6" s="1"/>
  <c r="CQ394" i="6" s="1"/>
  <c r="CR394" i="6" s="1"/>
  <c r="CS394" i="6" s="1"/>
  <c r="CT394" i="6" s="1"/>
  <c r="CU394" i="6" s="1"/>
  <c r="CV394" i="6" s="1"/>
  <c r="CW394" i="6" s="1"/>
  <c r="CY394" i="6" s="1"/>
  <c r="CZ394" i="6" s="1"/>
  <c r="DA394" i="6" s="1"/>
  <c r="O332" i="6"/>
  <c r="P332" i="6" s="1"/>
  <c r="Q332" i="6" s="1"/>
  <c r="R332" i="6" s="1"/>
  <c r="S332" i="6" s="1"/>
  <c r="T332" i="6" s="1"/>
  <c r="U332" i="6" s="1"/>
  <c r="V332" i="6" s="1"/>
  <c r="W332" i="6" s="1"/>
  <c r="X332" i="6" s="1"/>
  <c r="Y332" i="6" s="1"/>
  <c r="Z332" i="6" s="1"/>
  <c r="AA332" i="6" s="1"/>
  <c r="AB332" i="6" s="1"/>
  <c r="AC332" i="6" s="1"/>
  <c r="AD332" i="6" s="1"/>
  <c r="AE332" i="6" s="1"/>
  <c r="AF332" i="6" s="1"/>
  <c r="AG332" i="6" s="1"/>
  <c r="AH332" i="6" s="1"/>
  <c r="AI332" i="6" s="1"/>
  <c r="AJ332" i="6" s="1"/>
  <c r="AK332" i="6" s="1"/>
  <c r="AL332" i="6" s="1"/>
  <c r="AM332" i="6" s="1"/>
  <c r="AN332" i="6" s="1"/>
  <c r="AO332" i="6" s="1"/>
  <c r="AP332" i="6" s="1"/>
  <c r="AQ332" i="6" s="1"/>
  <c r="AR332" i="6" s="1"/>
  <c r="AS332" i="6" s="1"/>
  <c r="AT332" i="6" s="1"/>
  <c r="AU332" i="6" s="1"/>
  <c r="AV332" i="6" s="1"/>
  <c r="AW332" i="6" s="1"/>
  <c r="AX332" i="6" s="1"/>
  <c r="AY332" i="6" s="1"/>
  <c r="AZ332" i="6" s="1"/>
  <c r="BA332" i="6" s="1"/>
  <c r="BB332" i="6" s="1"/>
  <c r="BC332" i="6" s="1"/>
  <c r="BD332" i="6" s="1"/>
  <c r="BE332" i="6" s="1"/>
  <c r="BF332" i="6" s="1"/>
  <c r="BG332" i="6" s="1"/>
  <c r="BH332" i="6" s="1"/>
  <c r="BI332" i="6" s="1"/>
  <c r="BJ332" i="6" s="1"/>
  <c r="BK332" i="6" s="1"/>
  <c r="BL332" i="6" s="1"/>
  <c r="BM332" i="6" s="1"/>
  <c r="BN332" i="6" s="1"/>
  <c r="BO332" i="6" s="1"/>
  <c r="BP332" i="6" s="1"/>
  <c r="BQ332" i="6" s="1"/>
  <c r="BR332" i="6" s="1"/>
  <c r="BS332" i="6" s="1"/>
  <c r="BT332" i="6" s="1"/>
  <c r="BU332" i="6" s="1"/>
  <c r="BV332" i="6" s="1"/>
  <c r="BW332" i="6" s="1"/>
  <c r="BX332" i="6" s="1"/>
  <c r="BY332" i="6" s="1"/>
  <c r="BZ332" i="6" s="1"/>
  <c r="CA332" i="6" s="1"/>
  <c r="CB332" i="6" s="1"/>
  <c r="CC332" i="6" s="1"/>
  <c r="CD332" i="6" s="1"/>
  <c r="CE332" i="6" s="1"/>
  <c r="CF332" i="6" s="1"/>
  <c r="CG332" i="6" s="1"/>
  <c r="CH332" i="6" s="1"/>
  <c r="CI332" i="6" s="1"/>
  <c r="CJ332" i="6" s="1"/>
  <c r="CK332" i="6" s="1"/>
  <c r="CL332" i="6" s="1"/>
  <c r="CM332" i="6" s="1"/>
  <c r="CN332" i="6" s="1"/>
  <c r="CO332" i="6" s="1"/>
  <c r="CP332" i="6" s="1"/>
  <c r="CQ332" i="6" s="1"/>
  <c r="CR332" i="6" s="1"/>
  <c r="CS332" i="6" s="1"/>
  <c r="CT332" i="6" s="1"/>
  <c r="CU332" i="6" s="1"/>
  <c r="CV332" i="6" s="1"/>
  <c r="CW332" i="6" s="1"/>
  <c r="CX332" i="6" s="1"/>
  <c r="CY332" i="6" s="1"/>
  <c r="CZ332" i="6" s="1"/>
  <c r="DA332" i="6" s="1"/>
  <c r="DB332" i="6" s="1"/>
  <c r="DC332" i="6" s="1"/>
  <c r="DD332" i="6" s="1"/>
  <c r="DE332" i="6" s="1"/>
  <c r="S88" i="6"/>
  <c r="T88" i="6" s="1"/>
  <c r="U88" i="6" s="1"/>
  <c r="V88" i="6" s="1"/>
  <c r="W88" i="6" s="1"/>
  <c r="X88" i="6" s="1"/>
  <c r="Y88" i="6" s="1"/>
  <c r="Z88" i="6" s="1"/>
  <c r="AA88" i="6" s="1"/>
  <c r="AB88" i="6" s="1"/>
  <c r="AC88" i="6" s="1"/>
  <c r="AD88" i="6" s="1"/>
  <c r="AE88" i="6" s="1"/>
  <c r="AF88" i="6" s="1"/>
  <c r="AG88" i="6" s="1"/>
  <c r="AH88" i="6" s="1"/>
  <c r="AI88" i="6" s="1"/>
  <c r="AJ88" i="6" s="1"/>
  <c r="AK88" i="6" s="1"/>
  <c r="AL88" i="6" s="1"/>
  <c r="AM88" i="6" s="1"/>
  <c r="AN88" i="6" s="1"/>
  <c r="AO88" i="6" s="1"/>
  <c r="AP88" i="6" s="1"/>
  <c r="AQ88" i="6" s="1"/>
  <c r="AR88" i="6" s="1"/>
  <c r="AS88" i="6" s="1"/>
  <c r="AT88" i="6" s="1"/>
  <c r="AU88" i="6" s="1"/>
  <c r="AV88" i="6" s="1"/>
  <c r="AW88" i="6" s="1"/>
  <c r="AX88" i="6" s="1"/>
  <c r="AY88" i="6" s="1"/>
  <c r="AZ88" i="6" s="1"/>
  <c r="BA88" i="6" s="1"/>
  <c r="BB88" i="6" s="1"/>
  <c r="BC88" i="6" s="1"/>
  <c r="BD88" i="6" s="1"/>
  <c r="BE88" i="6" s="1"/>
  <c r="BF88" i="6" s="1"/>
  <c r="BG88" i="6" s="1"/>
  <c r="BH88" i="6" s="1"/>
  <c r="BI88" i="6" s="1"/>
  <c r="BJ88" i="6" s="1"/>
  <c r="BK88" i="6" s="1"/>
  <c r="BL88" i="6" s="1"/>
  <c r="BM88" i="6" s="1"/>
  <c r="BN88" i="6" s="1"/>
  <c r="BO88" i="6" s="1"/>
  <c r="BP88" i="6" s="1"/>
  <c r="BQ88" i="6" s="1"/>
  <c r="BR88" i="6" s="1"/>
  <c r="BS88" i="6" s="1"/>
  <c r="BT88" i="6" s="1"/>
  <c r="BU88" i="6" s="1"/>
  <c r="BV88" i="6" s="1"/>
  <c r="BW88" i="6" s="1"/>
  <c r="BX88" i="6" s="1"/>
  <c r="BY88" i="6" s="1"/>
  <c r="BZ88" i="6" s="1"/>
  <c r="CA88" i="6" s="1"/>
  <c r="CB88" i="6" s="1"/>
  <c r="CC88" i="6" s="1"/>
  <c r="CD88" i="6" s="1"/>
  <c r="CE88" i="6" s="1"/>
  <c r="CF88" i="6" s="1"/>
  <c r="CG88" i="6" s="1"/>
  <c r="CH88" i="6" s="1"/>
  <c r="CI88" i="6" s="1"/>
  <c r="CJ88" i="6" s="1"/>
  <c r="CK88" i="6" s="1"/>
  <c r="CL88" i="6" s="1"/>
  <c r="CM88" i="6" s="1"/>
  <c r="CN88" i="6" s="1"/>
  <c r="CO88" i="6" s="1"/>
  <c r="CP88" i="6" s="1"/>
  <c r="CQ88" i="6" s="1"/>
  <c r="CR88" i="6" s="1"/>
  <c r="CS88" i="6" s="1"/>
  <c r="CT88" i="6" s="1"/>
  <c r="CU88" i="6" s="1"/>
  <c r="CV88" i="6" s="1"/>
  <c r="CW88" i="6" s="1"/>
  <c r="CX88" i="6" s="1"/>
  <c r="CY88" i="6" s="1"/>
  <c r="CZ88" i="6" s="1"/>
  <c r="DA88" i="6" s="1"/>
  <c r="DB88" i="6" s="1"/>
  <c r="DC88" i="6" s="1"/>
  <c r="DD88" i="6" s="1"/>
  <c r="DE88" i="6" s="1"/>
  <c r="DF88" i="6" s="1"/>
  <c r="K372" i="6"/>
  <c r="L372" i="6" s="1"/>
  <c r="M372" i="6" s="1"/>
  <c r="N372" i="6" s="1"/>
  <c r="O372" i="6" s="1"/>
  <c r="P372" i="6" s="1"/>
  <c r="Q372" i="6" s="1"/>
  <c r="R372" i="6" s="1"/>
  <c r="S372" i="6" s="1"/>
  <c r="T372" i="6" s="1"/>
  <c r="U372" i="6" s="1"/>
  <c r="V372" i="6" s="1"/>
  <c r="W372" i="6" s="1"/>
  <c r="X372" i="6" s="1"/>
  <c r="Y372" i="6" s="1"/>
  <c r="Z372" i="6" s="1"/>
  <c r="AA372" i="6" s="1"/>
  <c r="AB372" i="6" s="1"/>
  <c r="AC372" i="6" s="1"/>
  <c r="AD372" i="6" s="1"/>
  <c r="AE372" i="6" s="1"/>
  <c r="AF372" i="6" s="1"/>
  <c r="AG372" i="6" s="1"/>
  <c r="AH372" i="6" s="1"/>
  <c r="AI372" i="6" s="1"/>
  <c r="AJ372" i="6" s="1"/>
  <c r="AK372" i="6" s="1"/>
  <c r="AL372" i="6" s="1"/>
  <c r="AM372" i="6" s="1"/>
  <c r="AN372" i="6" s="1"/>
  <c r="AO372" i="6" s="1"/>
  <c r="AP372" i="6" s="1"/>
  <c r="AQ372" i="6" s="1"/>
  <c r="AR372" i="6" s="1"/>
  <c r="AS372" i="6" s="1"/>
  <c r="AT372" i="6" s="1"/>
  <c r="AU372" i="6" s="1"/>
  <c r="AV372" i="6" s="1"/>
  <c r="AW372" i="6" s="1"/>
  <c r="AX372" i="6" s="1"/>
  <c r="AY372" i="6" s="1"/>
  <c r="AZ372" i="6" s="1"/>
  <c r="BA372" i="6" s="1"/>
  <c r="BB372" i="6" s="1"/>
  <c r="BC372" i="6" s="1"/>
  <c r="BD372" i="6" s="1"/>
  <c r="BE372" i="6" s="1"/>
  <c r="BF372" i="6" s="1"/>
  <c r="BG372" i="6" s="1"/>
  <c r="BH372" i="6" s="1"/>
  <c r="BI372" i="6" s="1"/>
  <c r="BJ372" i="6" s="1"/>
  <c r="BK372" i="6" s="1"/>
  <c r="BL372" i="6" s="1"/>
  <c r="BM372" i="6" s="1"/>
  <c r="BN372" i="6" s="1"/>
  <c r="BO372" i="6" s="1"/>
  <c r="BP372" i="6" s="1"/>
  <c r="BQ372" i="6" s="1"/>
  <c r="BR372" i="6" s="1"/>
  <c r="BS372" i="6" s="1"/>
  <c r="BT372" i="6" s="1"/>
  <c r="BU372" i="6" s="1"/>
  <c r="BV372" i="6" s="1"/>
  <c r="BW372" i="6" s="1"/>
  <c r="BX372" i="6" s="1"/>
  <c r="BY372" i="6" s="1"/>
  <c r="BZ372" i="6" s="1"/>
  <c r="CA372" i="6" s="1"/>
  <c r="CB372" i="6" s="1"/>
  <c r="CC372" i="6" s="1"/>
  <c r="CD372" i="6" s="1"/>
  <c r="CE372" i="6" s="1"/>
  <c r="CF372" i="6" s="1"/>
  <c r="CG372" i="6" s="1"/>
  <c r="CH372" i="6" s="1"/>
  <c r="CI372" i="6" s="1"/>
  <c r="CJ372" i="6" s="1"/>
  <c r="CK372" i="6" s="1"/>
  <c r="CL372" i="6" s="1"/>
  <c r="CM372" i="6" s="1"/>
  <c r="CN372" i="6" s="1"/>
  <c r="CO372" i="6" s="1"/>
  <c r="CP372" i="6" s="1"/>
  <c r="CQ372" i="6" s="1"/>
  <c r="CR372" i="6" s="1"/>
  <c r="CS372" i="6" s="1"/>
  <c r="CT372" i="6" s="1"/>
  <c r="CU372" i="6" s="1"/>
  <c r="CV372" i="6" s="1"/>
  <c r="CW372" i="6" s="1"/>
  <c r="CX372" i="6" s="1"/>
  <c r="CY372" i="6" s="1"/>
  <c r="CZ372" i="6" s="1"/>
  <c r="DA372" i="6" s="1"/>
  <c r="DB372" i="6" s="1"/>
  <c r="DC372" i="6" s="1"/>
  <c r="DD372" i="6" s="1"/>
  <c r="DE372" i="6" s="1"/>
  <c r="K374" i="6"/>
  <c r="L374" i="6" s="1"/>
  <c r="M374" i="6" s="1"/>
  <c r="N374" i="6" s="1"/>
  <c r="O374" i="6" s="1"/>
  <c r="P374" i="6" s="1"/>
  <c r="Q374" i="6" s="1"/>
  <c r="R374" i="6" s="1"/>
  <c r="S374" i="6" s="1"/>
  <c r="T374" i="6" s="1"/>
  <c r="U374" i="6" s="1"/>
  <c r="V374" i="6" s="1"/>
  <c r="W374" i="6" s="1"/>
  <c r="X374" i="6" s="1"/>
  <c r="Y374" i="6" s="1"/>
  <c r="Z374" i="6" s="1"/>
  <c r="AA374" i="6" s="1"/>
  <c r="AB374" i="6" s="1"/>
  <c r="AC374" i="6" s="1"/>
  <c r="AD374" i="6" s="1"/>
  <c r="AE374" i="6" s="1"/>
  <c r="AF374" i="6" s="1"/>
  <c r="AG374" i="6" s="1"/>
  <c r="AH374" i="6" s="1"/>
  <c r="AI374" i="6" s="1"/>
  <c r="AJ374" i="6" s="1"/>
  <c r="AK374" i="6" s="1"/>
  <c r="AL374" i="6" s="1"/>
  <c r="AM374" i="6" s="1"/>
  <c r="AN374" i="6" s="1"/>
  <c r="AO374" i="6" s="1"/>
  <c r="AP374" i="6" s="1"/>
  <c r="AQ374" i="6" s="1"/>
  <c r="AR374" i="6" s="1"/>
  <c r="AS374" i="6" s="1"/>
  <c r="AT374" i="6" s="1"/>
  <c r="AU374" i="6" s="1"/>
  <c r="AV374" i="6" s="1"/>
  <c r="AW374" i="6" s="1"/>
  <c r="AX374" i="6" s="1"/>
  <c r="AY374" i="6" s="1"/>
  <c r="AZ374" i="6" s="1"/>
  <c r="BA374" i="6" s="1"/>
  <c r="BB374" i="6" s="1"/>
  <c r="BC374" i="6" s="1"/>
  <c r="BD374" i="6" s="1"/>
  <c r="BE374" i="6" s="1"/>
  <c r="BF374" i="6" s="1"/>
  <c r="BG374" i="6" s="1"/>
  <c r="BH374" i="6" s="1"/>
  <c r="BI374" i="6" s="1"/>
  <c r="BJ374" i="6" s="1"/>
  <c r="BK374" i="6" s="1"/>
  <c r="BL374" i="6" s="1"/>
  <c r="BM374" i="6" s="1"/>
  <c r="BN374" i="6" s="1"/>
  <c r="BO374" i="6" s="1"/>
  <c r="BP374" i="6" s="1"/>
  <c r="BQ374" i="6" s="1"/>
  <c r="BR374" i="6" s="1"/>
  <c r="BS374" i="6" s="1"/>
  <c r="BT374" i="6" s="1"/>
  <c r="BU374" i="6" s="1"/>
  <c r="BV374" i="6" s="1"/>
  <c r="BW374" i="6" s="1"/>
  <c r="BX374" i="6" s="1"/>
  <c r="BY374" i="6" s="1"/>
  <c r="BZ374" i="6" s="1"/>
  <c r="CA374" i="6" s="1"/>
  <c r="CB374" i="6" s="1"/>
  <c r="CC374" i="6" s="1"/>
  <c r="CD374" i="6" s="1"/>
  <c r="CE374" i="6" s="1"/>
  <c r="CF374" i="6" s="1"/>
  <c r="CG374" i="6" s="1"/>
  <c r="CH374" i="6" s="1"/>
  <c r="CI374" i="6" s="1"/>
  <c r="CJ374" i="6" s="1"/>
  <c r="CK374" i="6" s="1"/>
  <c r="CL374" i="6" s="1"/>
  <c r="CM374" i="6" s="1"/>
  <c r="CN374" i="6" s="1"/>
  <c r="CO374" i="6" s="1"/>
  <c r="CP374" i="6" s="1"/>
  <c r="CQ374" i="6" s="1"/>
  <c r="CR374" i="6" s="1"/>
  <c r="CS374" i="6" s="1"/>
  <c r="CT374" i="6" s="1"/>
  <c r="CU374" i="6" s="1"/>
  <c r="CV374" i="6" s="1"/>
  <c r="CW374" i="6" s="1"/>
  <c r="CX374" i="6" s="1"/>
  <c r="CY374" i="6" s="1"/>
  <c r="CZ374" i="6" s="1"/>
  <c r="DA374" i="6" s="1"/>
  <c r="DB374" i="6" s="1"/>
  <c r="DC374" i="6" s="1"/>
  <c r="DD374" i="6" s="1"/>
  <c r="DE374" i="6" s="1"/>
  <c r="K376" i="6"/>
  <c r="L376" i="6" s="1"/>
  <c r="M376" i="6" s="1"/>
  <c r="N376" i="6" s="1"/>
  <c r="O376" i="6" s="1"/>
  <c r="P376" i="6" s="1"/>
  <c r="Q376" i="6" s="1"/>
  <c r="R376" i="6" s="1"/>
  <c r="S376" i="6" s="1"/>
  <c r="T376" i="6" s="1"/>
  <c r="U376" i="6" s="1"/>
  <c r="V376" i="6" s="1"/>
  <c r="W376" i="6" s="1"/>
  <c r="X376" i="6" s="1"/>
  <c r="Y376" i="6" s="1"/>
  <c r="Z376" i="6" s="1"/>
  <c r="AA376" i="6" s="1"/>
  <c r="AB376" i="6" s="1"/>
  <c r="AC376" i="6" s="1"/>
  <c r="AD376" i="6" s="1"/>
  <c r="AE376" i="6" s="1"/>
  <c r="AF376" i="6" s="1"/>
  <c r="AG376" i="6" s="1"/>
  <c r="AH376" i="6" s="1"/>
  <c r="AI376" i="6" s="1"/>
  <c r="AJ376" i="6" s="1"/>
  <c r="AK376" i="6" s="1"/>
  <c r="AL376" i="6" s="1"/>
  <c r="AM376" i="6" s="1"/>
  <c r="AN376" i="6" s="1"/>
  <c r="AO376" i="6" s="1"/>
  <c r="AP376" i="6" s="1"/>
  <c r="AQ376" i="6" s="1"/>
  <c r="AR376" i="6" s="1"/>
  <c r="AS376" i="6" s="1"/>
  <c r="AT376" i="6" s="1"/>
  <c r="AU376" i="6" s="1"/>
  <c r="AV376" i="6" s="1"/>
  <c r="AW376" i="6" s="1"/>
  <c r="AX376" i="6" s="1"/>
  <c r="AY376" i="6" s="1"/>
  <c r="AZ376" i="6" s="1"/>
  <c r="BA376" i="6" s="1"/>
  <c r="BB376" i="6" s="1"/>
  <c r="BC376" i="6" s="1"/>
  <c r="BD376" i="6" s="1"/>
  <c r="BE376" i="6" s="1"/>
  <c r="BF376" i="6" s="1"/>
  <c r="BG376" i="6" s="1"/>
  <c r="BH376" i="6" s="1"/>
  <c r="BI376" i="6" s="1"/>
  <c r="BJ376" i="6" s="1"/>
  <c r="BK376" i="6" s="1"/>
  <c r="BL376" i="6" s="1"/>
  <c r="BM376" i="6" s="1"/>
  <c r="BN376" i="6" s="1"/>
  <c r="BO376" i="6" s="1"/>
  <c r="BP376" i="6" s="1"/>
  <c r="BQ376" i="6" s="1"/>
  <c r="BR376" i="6" s="1"/>
  <c r="BS376" i="6" s="1"/>
  <c r="BT376" i="6" s="1"/>
  <c r="BU376" i="6" s="1"/>
  <c r="BV376" i="6" s="1"/>
  <c r="BW376" i="6" s="1"/>
  <c r="BX376" i="6" s="1"/>
  <c r="BY376" i="6" s="1"/>
  <c r="BZ376" i="6" s="1"/>
  <c r="CA376" i="6" s="1"/>
  <c r="CB376" i="6" s="1"/>
  <c r="CC376" i="6" s="1"/>
  <c r="CD376" i="6" s="1"/>
  <c r="CE376" i="6" s="1"/>
  <c r="CF376" i="6" s="1"/>
  <c r="CG376" i="6" s="1"/>
  <c r="CH376" i="6" s="1"/>
  <c r="CI376" i="6" s="1"/>
  <c r="CJ376" i="6" s="1"/>
  <c r="CK376" i="6" s="1"/>
  <c r="CL376" i="6" s="1"/>
  <c r="CM376" i="6" s="1"/>
  <c r="CN376" i="6" s="1"/>
  <c r="CO376" i="6" s="1"/>
  <c r="CP376" i="6" s="1"/>
  <c r="CQ376" i="6" s="1"/>
  <c r="CR376" i="6" s="1"/>
  <c r="CS376" i="6" s="1"/>
  <c r="CT376" i="6" s="1"/>
  <c r="CU376" i="6" s="1"/>
  <c r="CV376" i="6" s="1"/>
  <c r="CW376" i="6" s="1"/>
  <c r="CX376" i="6" s="1"/>
  <c r="CY376" i="6" s="1"/>
  <c r="CZ376" i="6" s="1"/>
  <c r="DA376" i="6" s="1"/>
  <c r="DB376" i="6" s="1"/>
  <c r="DC376" i="6" s="1"/>
  <c r="DD376" i="6" s="1"/>
  <c r="DE376" i="6" s="1"/>
  <c r="K386" i="6"/>
  <c r="L386" i="6" s="1"/>
  <c r="M386" i="6" s="1"/>
  <c r="N386" i="6" s="1"/>
  <c r="O386" i="6" s="1"/>
  <c r="P386" i="6" s="1"/>
  <c r="Q386" i="6" s="1"/>
  <c r="R386" i="6" s="1"/>
  <c r="S386" i="6" s="1"/>
  <c r="T386" i="6" s="1"/>
  <c r="U386" i="6" s="1"/>
  <c r="V386" i="6" s="1"/>
  <c r="W386" i="6" s="1"/>
  <c r="X386" i="6" s="1"/>
  <c r="Y386" i="6" s="1"/>
  <c r="Z386" i="6" s="1"/>
  <c r="AA386" i="6" s="1"/>
  <c r="AB386" i="6" s="1"/>
  <c r="AC386" i="6" s="1"/>
  <c r="AD386" i="6" s="1"/>
  <c r="AE386" i="6" s="1"/>
  <c r="AF386" i="6" s="1"/>
  <c r="AG386" i="6" s="1"/>
  <c r="AH386" i="6" s="1"/>
  <c r="AI386" i="6" s="1"/>
  <c r="AJ386" i="6" s="1"/>
  <c r="AK386" i="6" s="1"/>
  <c r="AL386" i="6" s="1"/>
  <c r="AM386" i="6" s="1"/>
  <c r="AN386" i="6" s="1"/>
  <c r="AO386" i="6" s="1"/>
  <c r="AP386" i="6" s="1"/>
  <c r="AQ386" i="6" s="1"/>
  <c r="AR386" i="6" s="1"/>
  <c r="AS386" i="6" s="1"/>
  <c r="AT386" i="6" s="1"/>
  <c r="AU386" i="6" s="1"/>
  <c r="AV386" i="6" s="1"/>
  <c r="AW386" i="6" s="1"/>
  <c r="AX386" i="6" s="1"/>
  <c r="AY386" i="6" s="1"/>
  <c r="AZ386" i="6" s="1"/>
  <c r="BA386" i="6" s="1"/>
  <c r="BB386" i="6" s="1"/>
  <c r="BC386" i="6" s="1"/>
  <c r="BD386" i="6" s="1"/>
  <c r="BE386" i="6" s="1"/>
  <c r="BF386" i="6" s="1"/>
  <c r="BG386" i="6" s="1"/>
  <c r="BH386" i="6" s="1"/>
  <c r="BI386" i="6" s="1"/>
  <c r="BJ386" i="6" s="1"/>
  <c r="BK386" i="6" s="1"/>
  <c r="BL386" i="6" s="1"/>
  <c r="BM386" i="6" s="1"/>
  <c r="BN386" i="6" s="1"/>
  <c r="BO386" i="6" s="1"/>
  <c r="BP386" i="6" s="1"/>
  <c r="BQ386" i="6" s="1"/>
  <c r="BR386" i="6" s="1"/>
  <c r="BS386" i="6" s="1"/>
  <c r="BT386" i="6" s="1"/>
  <c r="BU386" i="6" s="1"/>
  <c r="BV386" i="6" s="1"/>
  <c r="BW386" i="6" s="1"/>
  <c r="BX386" i="6" s="1"/>
  <c r="BY386" i="6" s="1"/>
  <c r="BZ386" i="6" s="1"/>
  <c r="CA386" i="6" s="1"/>
  <c r="CB386" i="6" s="1"/>
  <c r="CC386" i="6" s="1"/>
  <c r="CD386" i="6" s="1"/>
  <c r="CE386" i="6" s="1"/>
  <c r="CF386" i="6" s="1"/>
  <c r="CG386" i="6" s="1"/>
  <c r="CH386" i="6" s="1"/>
  <c r="CI386" i="6" s="1"/>
  <c r="CJ386" i="6" s="1"/>
  <c r="CK386" i="6" s="1"/>
  <c r="CL386" i="6" s="1"/>
  <c r="CM386" i="6" s="1"/>
  <c r="CN386" i="6" s="1"/>
  <c r="CO386" i="6" s="1"/>
  <c r="CP386" i="6" s="1"/>
  <c r="CQ386" i="6" s="1"/>
  <c r="CR386" i="6" s="1"/>
  <c r="CS386" i="6" s="1"/>
  <c r="CT386" i="6" s="1"/>
  <c r="CU386" i="6" s="1"/>
  <c r="CV386" i="6" s="1"/>
  <c r="CW386" i="6" s="1"/>
  <c r="CX386" i="6" s="1"/>
  <c r="CY386" i="6" s="1"/>
  <c r="CZ386" i="6" s="1"/>
  <c r="DA386" i="6" s="1"/>
  <c r="DB386" i="6" s="1"/>
  <c r="DC386" i="6" s="1"/>
  <c r="DD386" i="6" s="1"/>
  <c r="DE386" i="6" s="1"/>
  <c r="K396" i="6"/>
  <c r="L396" i="6" s="1"/>
  <c r="M396" i="6" s="1"/>
  <c r="N251" i="6"/>
  <c r="N257" i="6"/>
  <c r="N340" i="6"/>
  <c r="N318" i="6"/>
  <c r="J388" i="6"/>
  <c r="J368" i="6"/>
  <c r="J382" i="6"/>
  <c r="J380" i="6"/>
  <c r="J392" i="6"/>
  <c r="J378" i="6"/>
  <c r="N336" i="6"/>
  <c r="V82" i="6"/>
  <c r="R328" i="6"/>
  <c r="N334" i="6"/>
  <c r="V338" i="6"/>
  <c r="N344" i="6"/>
  <c r="O344" i="6" s="1"/>
  <c r="P344" i="6" s="1"/>
  <c r="Q344" i="6" s="1"/>
  <c r="R344" i="6" s="1"/>
  <c r="S344" i="6" s="1"/>
  <c r="T344" i="6" s="1"/>
  <c r="U344" i="6" s="1"/>
  <c r="V344" i="6" s="1"/>
  <c r="W344" i="6" s="1"/>
  <c r="X344" i="6" s="1"/>
  <c r="Y344" i="6" s="1"/>
  <c r="Z344" i="6" s="1"/>
  <c r="AA344" i="6" s="1"/>
  <c r="AB344" i="6" s="1"/>
  <c r="AC344" i="6" s="1"/>
  <c r="AD344" i="6" s="1"/>
  <c r="AE344" i="6" s="1"/>
  <c r="AF344" i="6" s="1"/>
  <c r="AG344" i="6" s="1"/>
  <c r="AH344" i="6" s="1"/>
  <c r="AI344" i="6" s="1"/>
  <c r="AJ344" i="6" s="1"/>
  <c r="AK344" i="6" s="1"/>
  <c r="AL344" i="6" s="1"/>
  <c r="AM344" i="6" s="1"/>
  <c r="AN344" i="6" s="1"/>
  <c r="AO344" i="6" s="1"/>
  <c r="AP344" i="6" s="1"/>
  <c r="AQ344" i="6" s="1"/>
  <c r="AR344" i="6" s="1"/>
  <c r="AS344" i="6" s="1"/>
  <c r="AT344" i="6" s="1"/>
  <c r="AU344" i="6" s="1"/>
  <c r="AV344" i="6" s="1"/>
  <c r="AW344" i="6" s="1"/>
  <c r="AX344" i="6" s="1"/>
  <c r="AY344" i="6" s="1"/>
  <c r="AZ344" i="6" s="1"/>
  <c r="BA344" i="6" s="1"/>
  <c r="BB344" i="6" s="1"/>
  <c r="BC344" i="6" s="1"/>
  <c r="BD344" i="6" s="1"/>
  <c r="BE344" i="6" s="1"/>
  <c r="BF344" i="6" s="1"/>
  <c r="BG344" i="6" s="1"/>
  <c r="BH344" i="6" s="1"/>
  <c r="BI344" i="6" s="1"/>
  <c r="BJ344" i="6" s="1"/>
  <c r="BK344" i="6" s="1"/>
  <c r="BL344" i="6" s="1"/>
  <c r="BM344" i="6" s="1"/>
  <c r="BN344" i="6" s="1"/>
  <c r="BO344" i="6" s="1"/>
  <c r="BP344" i="6" s="1"/>
  <c r="BQ344" i="6" s="1"/>
  <c r="BR344" i="6" s="1"/>
  <c r="BS344" i="6" s="1"/>
  <c r="BT344" i="6" s="1"/>
  <c r="BU344" i="6" s="1"/>
  <c r="BV344" i="6" s="1"/>
  <c r="BW344" i="6" s="1"/>
  <c r="BX344" i="6" s="1"/>
  <c r="BY344" i="6" s="1"/>
  <c r="BZ344" i="6" s="1"/>
  <c r="CA344" i="6" s="1"/>
  <c r="CB344" i="6" s="1"/>
  <c r="CC344" i="6" s="1"/>
  <c r="CD344" i="6" s="1"/>
  <c r="CE344" i="6" s="1"/>
  <c r="CF344" i="6" s="1"/>
  <c r="CG344" i="6" s="1"/>
  <c r="CH344" i="6" s="1"/>
  <c r="CI344" i="6" s="1"/>
  <c r="CJ344" i="6" s="1"/>
  <c r="CK344" i="6" s="1"/>
  <c r="CL344" i="6" s="1"/>
  <c r="CM344" i="6" s="1"/>
  <c r="CN344" i="6" s="1"/>
  <c r="CO344" i="6" s="1"/>
  <c r="CP344" i="6" s="1"/>
  <c r="CQ344" i="6" s="1"/>
  <c r="CR344" i="6" s="1"/>
  <c r="CS344" i="6" s="1"/>
  <c r="CT344" i="6" s="1"/>
  <c r="CU344" i="6" s="1"/>
  <c r="CV344" i="6" s="1"/>
  <c r="CW344" i="6" s="1"/>
  <c r="CX344" i="6" s="1"/>
  <c r="CY344" i="6" s="1"/>
  <c r="CZ344" i="6" s="1"/>
  <c r="DA344" i="6" s="1"/>
  <c r="DB344" i="6" s="1"/>
  <c r="DC344" i="6" s="1"/>
  <c r="DD344" i="6" s="1"/>
  <c r="DE344" i="6" s="1"/>
  <c r="DF344" i="6" s="1"/>
  <c r="V326" i="6"/>
  <c r="N352" i="6"/>
  <c r="R172" i="6"/>
  <c r="V330" i="6"/>
  <c r="R342" i="6"/>
  <c r="R84" i="6"/>
  <c r="N170" i="6"/>
  <c r="J7" i="5"/>
  <c r="O23" i="4"/>
  <c r="P23" i="4" s="1"/>
  <c r="Q23" i="4" s="1"/>
  <c r="R23" i="4" s="1"/>
  <c r="S23" i="4" s="1"/>
  <c r="T23" i="4" s="1"/>
  <c r="U23" i="4" s="1"/>
  <c r="V23" i="4" s="1"/>
  <c r="W23" i="4" s="1"/>
  <c r="X23" i="4" s="1"/>
  <c r="Y23" i="4" s="1"/>
  <c r="Z23" i="4" s="1"/>
  <c r="AA23" i="4" s="1"/>
  <c r="AB23" i="4" s="1"/>
  <c r="AC23" i="4" s="1"/>
  <c r="AD23" i="4" s="1"/>
  <c r="AE23" i="4" s="1"/>
  <c r="AF23" i="4" s="1"/>
  <c r="AG23" i="4" s="1"/>
  <c r="AH23" i="4" s="1"/>
  <c r="AI23" i="4" s="1"/>
  <c r="AJ23" i="4" s="1"/>
  <c r="AK23" i="4" s="1"/>
  <c r="AL23" i="4" s="1"/>
  <c r="AM23" i="4" s="1"/>
  <c r="AN23" i="4" s="1"/>
  <c r="AO23" i="4" s="1"/>
  <c r="AP23" i="4" s="1"/>
  <c r="AQ23" i="4" s="1"/>
  <c r="AR23" i="4" s="1"/>
  <c r="AS23" i="4" s="1"/>
  <c r="AT23" i="4" s="1"/>
  <c r="AU23" i="4" s="1"/>
  <c r="AV23" i="4" s="1"/>
  <c r="AW23" i="4" s="1"/>
  <c r="AX23" i="4" s="1"/>
  <c r="AY23" i="4" s="1"/>
  <c r="AZ23" i="4" s="1"/>
  <c r="BA23" i="4" s="1"/>
  <c r="BB23" i="4" s="1"/>
  <c r="BC23" i="4" s="1"/>
  <c r="BD23" i="4" s="1"/>
  <c r="BE23" i="4" s="1"/>
  <c r="BF23" i="4" s="1"/>
  <c r="BG23" i="4" s="1"/>
  <c r="BH23" i="4" s="1"/>
  <c r="BI23" i="4" s="1"/>
  <c r="BJ23" i="4" s="1"/>
  <c r="BK23" i="4" s="1"/>
  <c r="BL23" i="4" s="1"/>
  <c r="BM23" i="4" s="1"/>
  <c r="BN23" i="4" s="1"/>
  <c r="BO23" i="4" s="1"/>
  <c r="BP23" i="4" s="1"/>
  <c r="BQ23" i="4" s="1"/>
  <c r="BR23" i="4" s="1"/>
  <c r="BS23" i="4" s="1"/>
  <c r="BT23" i="4" s="1"/>
  <c r="BU23" i="4" s="1"/>
  <c r="BV23" i="4" s="1"/>
  <c r="BW23" i="4" s="1"/>
  <c r="BX23" i="4" s="1"/>
  <c r="BY23" i="4" s="1"/>
  <c r="BZ23" i="4" s="1"/>
  <c r="CA23" i="4" s="1"/>
  <c r="CB23" i="4" s="1"/>
  <c r="CC23" i="4" s="1"/>
  <c r="CD23" i="4" s="1"/>
  <c r="CE23" i="4" s="1"/>
  <c r="CF23" i="4" s="1"/>
  <c r="CG23" i="4" s="1"/>
  <c r="CH23" i="4" s="1"/>
  <c r="CI23" i="4" s="1"/>
  <c r="CJ23" i="4" s="1"/>
  <c r="CK23" i="4" s="1"/>
  <c r="CL23" i="4" s="1"/>
  <c r="CM23" i="4" s="1"/>
  <c r="CN23" i="4" s="1"/>
  <c r="CO23" i="4" s="1"/>
  <c r="CP23" i="4" s="1"/>
  <c r="CQ23" i="4" s="1"/>
  <c r="CR23" i="4" s="1"/>
  <c r="CS23" i="4" s="1"/>
  <c r="CT23" i="4" s="1"/>
  <c r="CU23" i="4" s="1"/>
  <c r="CV23" i="4" s="1"/>
  <c r="CW23" i="4" s="1"/>
  <c r="CX23" i="4" s="1"/>
  <c r="CY23" i="4" s="1"/>
  <c r="CZ23" i="4" s="1"/>
  <c r="DA23" i="4" s="1"/>
  <c r="DB23" i="4" s="1"/>
  <c r="DC23" i="4" s="1"/>
  <c r="DD23" i="4" s="1"/>
  <c r="DE23" i="4" s="1"/>
  <c r="DF23" i="4" s="1"/>
  <c r="DG23" i="4" s="1"/>
  <c r="DH23" i="4" s="1"/>
  <c r="DI23" i="4" s="1"/>
  <c r="DJ23" i="4" s="1"/>
  <c r="DK23" i="4" s="1"/>
  <c r="DL23" i="4" s="1"/>
  <c r="DM23" i="4" s="1"/>
  <c r="DN23" i="4" s="1"/>
  <c r="DO23" i="4" s="1"/>
  <c r="DP23" i="4" s="1"/>
  <c r="DQ23" i="4" s="1"/>
  <c r="DR23" i="4" s="1"/>
  <c r="DS23" i="4" s="1"/>
  <c r="DT23" i="4" s="1"/>
  <c r="DU23" i="4" s="1"/>
  <c r="DV23" i="4" s="1"/>
  <c r="DW23" i="4" s="1"/>
  <c r="DX23" i="4" s="1"/>
  <c r="DY23" i="4" s="1"/>
  <c r="DZ23" i="4" s="1"/>
  <c r="EA23" i="4" s="1"/>
  <c r="EB23" i="4" s="1"/>
  <c r="EC23" i="4" s="1"/>
  <c r="ED23" i="4" s="1"/>
  <c r="EE23" i="4" s="1"/>
  <c r="EF23" i="4" s="1"/>
  <c r="EG23" i="4" s="1"/>
  <c r="EH23" i="4" s="1"/>
  <c r="EI23" i="4" s="1"/>
  <c r="EJ23" i="4" s="1"/>
  <c r="EK23" i="4" s="1"/>
  <c r="EL23" i="4" s="1"/>
  <c r="EM23" i="4" s="1"/>
  <c r="EN23" i="4" s="1"/>
  <c r="EO23" i="4" s="1"/>
  <c r="EP23" i="4" s="1"/>
  <c r="EQ23" i="4" s="1"/>
  <c r="ER23" i="4" s="1"/>
  <c r="ES23" i="4" s="1"/>
  <c r="K81" i="4"/>
  <c r="L81" i="4" s="1"/>
  <c r="M81" i="4" s="1"/>
  <c r="N81" i="4" s="1"/>
  <c r="O81" i="4" s="1"/>
  <c r="P81" i="4" s="1"/>
  <c r="Q81" i="4" s="1"/>
  <c r="R81" i="4" s="1"/>
  <c r="S81" i="4" s="1"/>
  <c r="T81" i="4" s="1"/>
  <c r="U81" i="4" s="1"/>
  <c r="V81" i="4" s="1"/>
  <c r="W81" i="4" s="1"/>
  <c r="X81" i="4" s="1"/>
  <c r="Y81" i="4" s="1"/>
  <c r="Z81" i="4" s="1"/>
  <c r="AA81" i="4" s="1"/>
  <c r="AB81" i="4" s="1"/>
  <c r="AC81" i="4" s="1"/>
  <c r="AD81" i="4" s="1"/>
  <c r="AE81" i="4" s="1"/>
  <c r="AF81" i="4" s="1"/>
  <c r="AG81" i="4" s="1"/>
  <c r="AH81" i="4" s="1"/>
  <c r="AI81" i="4" s="1"/>
  <c r="AJ81" i="4" s="1"/>
  <c r="AK81" i="4" s="1"/>
  <c r="AL81" i="4" s="1"/>
  <c r="AM81" i="4" s="1"/>
  <c r="AN81" i="4" s="1"/>
  <c r="AO81" i="4" s="1"/>
  <c r="AP81" i="4" s="1"/>
  <c r="AQ81" i="4" s="1"/>
  <c r="AR81" i="4" s="1"/>
  <c r="AS81" i="4" s="1"/>
  <c r="AT81" i="4" s="1"/>
  <c r="AU81" i="4" s="1"/>
  <c r="AV81" i="4" s="1"/>
  <c r="AW81" i="4" s="1"/>
  <c r="AX81" i="4" s="1"/>
  <c r="AY81" i="4" s="1"/>
  <c r="AZ81" i="4" s="1"/>
  <c r="BA81" i="4" s="1"/>
  <c r="BB81" i="4" s="1"/>
  <c r="BC81" i="4" s="1"/>
  <c r="BD81" i="4" s="1"/>
  <c r="BE81" i="4" s="1"/>
  <c r="BF81" i="4" s="1"/>
  <c r="BG81" i="4" s="1"/>
  <c r="BH81" i="4" s="1"/>
  <c r="BI81" i="4" s="1"/>
  <c r="BJ81" i="4" s="1"/>
  <c r="BK81" i="4" s="1"/>
  <c r="BL81" i="4" s="1"/>
  <c r="BM81" i="4" s="1"/>
  <c r="BN81" i="4" s="1"/>
  <c r="BO81" i="4" s="1"/>
  <c r="BP81" i="4" s="1"/>
  <c r="BQ81" i="4" s="1"/>
  <c r="BR81" i="4" s="1"/>
  <c r="BS81" i="4" s="1"/>
  <c r="BT81" i="4" s="1"/>
  <c r="BU81" i="4" s="1"/>
  <c r="BV81" i="4" s="1"/>
  <c r="BW81" i="4" s="1"/>
  <c r="BX81" i="4" s="1"/>
  <c r="BY81" i="4" s="1"/>
  <c r="BZ81" i="4" s="1"/>
  <c r="CA81" i="4" s="1"/>
  <c r="CB81" i="4" s="1"/>
  <c r="CC81" i="4" s="1"/>
  <c r="CD81" i="4" s="1"/>
  <c r="CE81" i="4" s="1"/>
  <c r="CF81" i="4" s="1"/>
  <c r="CG81" i="4" s="1"/>
  <c r="CH81" i="4" s="1"/>
  <c r="CI81" i="4" s="1"/>
  <c r="O5" i="4"/>
  <c r="P5" i="4" s="1"/>
  <c r="Q5" i="4" s="1"/>
  <c r="R5" i="4" s="1"/>
  <c r="S5" i="4" s="1"/>
  <c r="T5" i="4" s="1"/>
  <c r="U5" i="4" s="1"/>
  <c r="V5" i="4" s="1"/>
  <c r="W5" i="4" s="1"/>
  <c r="X5" i="4" s="1"/>
  <c r="Y5" i="4" s="1"/>
  <c r="Z5" i="4" s="1"/>
  <c r="AA5" i="4" s="1"/>
  <c r="AB5" i="4" s="1"/>
  <c r="AC5" i="4" s="1"/>
  <c r="AD5" i="4" s="1"/>
  <c r="AE5" i="4" s="1"/>
  <c r="AF5" i="4" s="1"/>
  <c r="AG5" i="4" s="1"/>
  <c r="AH5" i="4" s="1"/>
  <c r="AI5" i="4" s="1"/>
  <c r="AJ5" i="4" s="1"/>
  <c r="AK5" i="4" s="1"/>
  <c r="AL5" i="4" s="1"/>
  <c r="AM5" i="4" s="1"/>
  <c r="AN5" i="4" s="1"/>
  <c r="AO5" i="4" s="1"/>
  <c r="AP5" i="4" s="1"/>
  <c r="AQ5" i="4" s="1"/>
  <c r="AR5" i="4" s="1"/>
  <c r="AS5" i="4" s="1"/>
  <c r="AT5" i="4" s="1"/>
  <c r="AU5" i="4" s="1"/>
  <c r="AV5" i="4" s="1"/>
  <c r="AW5" i="4" s="1"/>
  <c r="AX5" i="4" s="1"/>
  <c r="AY5" i="4" s="1"/>
  <c r="AZ5" i="4" s="1"/>
  <c r="BA5" i="4" s="1"/>
  <c r="BB5" i="4" s="1"/>
  <c r="BC5" i="4" s="1"/>
  <c r="BD5" i="4" s="1"/>
  <c r="BE5" i="4" s="1"/>
  <c r="BF5" i="4" s="1"/>
  <c r="BG5" i="4" s="1"/>
  <c r="BH5" i="4" s="1"/>
  <c r="BI5" i="4" s="1"/>
  <c r="BJ5" i="4" s="1"/>
  <c r="BK5" i="4" s="1"/>
  <c r="BL5" i="4" s="1"/>
  <c r="BM5" i="4" s="1"/>
  <c r="BN5" i="4" s="1"/>
  <c r="BO5" i="4" s="1"/>
  <c r="BP5" i="4" s="1"/>
  <c r="BQ5" i="4" s="1"/>
  <c r="BR5" i="4" s="1"/>
  <c r="BS5" i="4" s="1"/>
  <c r="BT5" i="4" s="1"/>
  <c r="BU5" i="4" s="1"/>
  <c r="BV5" i="4" s="1"/>
  <c r="BW5" i="4" s="1"/>
  <c r="BX5" i="4" s="1"/>
  <c r="BY5" i="4" s="1"/>
  <c r="BZ5" i="4" s="1"/>
  <c r="CA5" i="4" s="1"/>
  <c r="CB5" i="4" s="1"/>
  <c r="CC5" i="4" s="1"/>
  <c r="CD5" i="4" s="1"/>
  <c r="CE5" i="4" s="1"/>
  <c r="CF5" i="4" s="1"/>
  <c r="CG5" i="4" s="1"/>
  <c r="CH5" i="4" s="1"/>
  <c r="CI5" i="4" s="1"/>
  <c r="CJ5" i="4" s="1"/>
  <c r="CK5" i="4" s="1"/>
  <c r="CL5" i="4" s="1"/>
  <c r="CM5" i="4" s="1"/>
  <c r="CN5" i="4" s="1"/>
  <c r="CO5" i="4" s="1"/>
  <c r="CP5" i="4" s="1"/>
  <c r="CQ5" i="4" s="1"/>
  <c r="CR5" i="4" s="1"/>
  <c r="CS5" i="4" s="1"/>
  <c r="CT5" i="4" s="1"/>
  <c r="CU5" i="4" s="1"/>
  <c r="CV5" i="4" s="1"/>
  <c r="CW5" i="4" s="1"/>
  <c r="CX5" i="4" s="1"/>
  <c r="CY5" i="4" s="1"/>
  <c r="CZ5" i="4" s="1"/>
  <c r="DA5" i="4" s="1"/>
  <c r="DB5" i="4" s="1"/>
  <c r="DC5" i="4" s="1"/>
  <c r="DD5" i="4" s="1"/>
  <c r="DE5" i="4" s="1"/>
  <c r="DF5" i="4" s="1"/>
  <c r="DG5" i="4" s="1"/>
  <c r="DH5" i="4" s="1"/>
  <c r="DI5" i="4" s="1"/>
  <c r="DJ5" i="4" s="1"/>
  <c r="DK5" i="4" s="1"/>
  <c r="DL5" i="4" s="1"/>
  <c r="DM5" i="4" s="1"/>
  <c r="DN5" i="4" s="1"/>
  <c r="DO5" i="4" s="1"/>
  <c r="DP5" i="4" s="1"/>
  <c r="DQ5" i="4" s="1"/>
  <c r="DR5" i="4" s="1"/>
  <c r="DS5" i="4" s="1"/>
  <c r="DT5" i="4" s="1"/>
  <c r="DU5" i="4" s="1"/>
  <c r="DV5" i="4" s="1"/>
  <c r="DW5" i="4" s="1"/>
  <c r="DX5" i="4" s="1"/>
  <c r="DY5" i="4" s="1"/>
  <c r="DZ5" i="4" s="1"/>
  <c r="EA5" i="4" s="1"/>
  <c r="EB5" i="4" s="1"/>
  <c r="EC5" i="4" s="1"/>
  <c r="ED5" i="4" s="1"/>
  <c r="EE5" i="4" s="1"/>
  <c r="EF5" i="4" s="1"/>
  <c r="EG5" i="4" s="1"/>
  <c r="EH5" i="4" s="1"/>
  <c r="EI5" i="4" s="1"/>
  <c r="EJ5" i="4" s="1"/>
  <c r="EK5" i="4" s="1"/>
  <c r="EL5" i="4" s="1"/>
  <c r="EM5" i="4" s="1"/>
  <c r="EN5" i="4" s="1"/>
  <c r="EO5" i="4" s="1"/>
  <c r="EP5" i="4" s="1"/>
  <c r="EQ5" i="4" s="1"/>
  <c r="ER5" i="4" s="1"/>
  <c r="ES5" i="4" s="1"/>
  <c r="N305" i="6"/>
  <c r="N173" i="6"/>
  <c r="N179" i="6"/>
  <c r="CP59" i="1"/>
  <c r="N76" i="6"/>
  <c r="N310" i="6"/>
  <c r="R259" i="6"/>
  <c r="N316" i="6"/>
  <c r="J72" i="1"/>
  <c r="J73" i="1" s="1"/>
  <c r="N396" i="6"/>
  <c r="O396" i="6" s="1"/>
  <c r="P396" i="6" s="1"/>
  <c r="Q396" i="6" s="1"/>
  <c r="R396" i="6" s="1"/>
  <c r="S396" i="6" s="1"/>
  <c r="T396" i="6" s="1"/>
  <c r="U396" i="6" s="1"/>
  <c r="V396" i="6" s="1"/>
  <c r="W396" i="6" s="1"/>
  <c r="X396" i="6" s="1"/>
  <c r="Y396" i="6" s="1"/>
  <c r="Z396" i="6" s="1"/>
  <c r="AA396" i="6" s="1"/>
  <c r="AB396" i="6" s="1"/>
  <c r="AC396" i="6" s="1"/>
  <c r="AD396" i="6" s="1"/>
  <c r="AE396" i="6" s="1"/>
  <c r="AF396" i="6" s="1"/>
  <c r="AG396" i="6" s="1"/>
  <c r="AH396" i="6" s="1"/>
  <c r="AI396" i="6" s="1"/>
  <c r="AJ396" i="6" s="1"/>
  <c r="AK396" i="6" s="1"/>
  <c r="AL396" i="6" s="1"/>
  <c r="AM396" i="6" s="1"/>
  <c r="AN396" i="6" s="1"/>
  <c r="AO396" i="6" s="1"/>
  <c r="AP396" i="6" s="1"/>
  <c r="AQ396" i="6" s="1"/>
  <c r="AR396" i="6" s="1"/>
  <c r="AS396" i="6" s="1"/>
  <c r="AT396" i="6" s="1"/>
  <c r="AU396" i="6" s="1"/>
  <c r="AV396" i="6" s="1"/>
  <c r="AW396" i="6" s="1"/>
  <c r="AX396" i="6" s="1"/>
  <c r="AY396" i="6" s="1"/>
  <c r="AZ396" i="6" s="1"/>
  <c r="BA396" i="6" s="1"/>
  <c r="BB396" i="6" s="1"/>
  <c r="BC396" i="6" s="1"/>
  <c r="BD396" i="6" s="1"/>
  <c r="BE396" i="6" s="1"/>
  <c r="BF396" i="6" s="1"/>
  <c r="BG396" i="6" s="1"/>
  <c r="BH396" i="6" s="1"/>
  <c r="BI396" i="6" s="1"/>
  <c r="BJ396" i="6" s="1"/>
  <c r="BK396" i="6" s="1"/>
  <c r="BL396" i="6" s="1"/>
  <c r="BM396" i="6" s="1"/>
  <c r="BN396" i="6" s="1"/>
  <c r="BO396" i="6" s="1"/>
  <c r="BP396" i="6" s="1"/>
  <c r="BQ396" i="6" s="1"/>
  <c r="BR396" i="6" s="1"/>
  <c r="BS396" i="6" s="1"/>
  <c r="BT396" i="6" s="1"/>
  <c r="BU396" i="6" s="1"/>
  <c r="BV396" i="6" s="1"/>
  <c r="BW396" i="6" s="1"/>
  <c r="BX396" i="6" s="1"/>
  <c r="BY396" i="6" s="1"/>
  <c r="BZ396" i="6" s="1"/>
  <c r="CA396" i="6" s="1"/>
  <c r="CB396" i="6" s="1"/>
  <c r="CC396" i="6" s="1"/>
  <c r="CD396" i="6" s="1"/>
  <c r="CE396" i="6" s="1"/>
  <c r="CF396" i="6" s="1"/>
  <c r="CG396" i="6" s="1"/>
  <c r="CH396" i="6" s="1"/>
  <c r="CI396" i="6" s="1"/>
  <c r="CJ396" i="6" s="1"/>
  <c r="CK396" i="6" s="1"/>
  <c r="CL396" i="6" s="1"/>
  <c r="CM396" i="6" s="1"/>
  <c r="CN396" i="6" s="1"/>
  <c r="CO396" i="6" s="1"/>
  <c r="CP396" i="6" s="1"/>
  <c r="CQ396" i="6" s="1"/>
  <c r="CR396" i="6" s="1"/>
  <c r="CS396" i="6" s="1"/>
  <c r="CT396" i="6" s="1"/>
  <c r="CU396" i="6" s="1"/>
  <c r="CV396" i="6" s="1"/>
  <c r="CW396" i="6" s="1"/>
  <c r="N256" i="6"/>
  <c r="N254" i="6"/>
  <c r="N252" i="6"/>
  <c r="N181" i="6"/>
  <c r="N312" i="6"/>
  <c r="N322" i="6"/>
  <c r="N261" i="6"/>
  <c r="N308" i="6"/>
  <c r="N320" i="6"/>
  <c r="R306" i="6"/>
  <c r="N80" i="6"/>
  <c r="N307" i="6"/>
  <c r="N314" i="6"/>
  <c r="N71" i="6"/>
  <c r="N168" i="6"/>
  <c r="N86" i="6"/>
  <c r="N164" i="6"/>
  <c r="N74" i="6"/>
  <c r="N72" i="6"/>
  <c r="N162" i="6"/>
  <c r="R90" i="6"/>
  <c r="N166" i="6"/>
  <c r="O177" i="6"/>
  <c r="P177" i="6" s="1"/>
  <c r="Q177" i="6" s="1"/>
  <c r="R177" i="6" s="1"/>
  <c r="S177" i="6" s="1"/>
  <c r="T177" i="6" s="1"/>
  <c r="U177" i="6" s="1"/>
  <c r="V177" i="6" s="1"/>
  <c r="W177" i="6" s="1"/>
  <c r="X177" i="6" s="1"/>
  <c r="Y177" i="6" s="1"/>
  <c r="Z177" i="6" s="1"/>
  <c r="AA177" i="6" s="1"/>
  <c r="AB177" i="6" s="1"/>
  <c r="AC177" i="6" s="1"/>
  <c r="AD177" i="6" s="1"/>
  <c r="AE177" i="6" s="1"/>
  <c r="AF177" i="6" s="1"/>
  <c r="AG177" i="6" s="1"/>
  <c r="AH177" i="6" s="1"/>
  <c r="AI177" i="6" s="1"/>
  <c r="AJ177" i="6" s="1"/>
  <c r="AK177" i="6" s="1"/>
  <c r="AL177" i="6" s="1"/>
  <c r="AM177" i="6" s="1"/>
  <c r="AN177" i="6" s="1"/>
  <c r="AO177" i="6" s="1"/>
  <c r="AP177" i="6" s="1"/>
  <c r="AQ177" i="6" s="1"/>
  <c r="AR177" i="6" s="1"/>
  <c r="AS177" i="6" s="1"/>
  <c r="AT177" i="6" s="1"/>
  <c r="AU177" i="6" s="1"/>
  <c r="AV177" i="6" s="1"/>
  <c r="AW177" i="6" s="1"/>
  <c r="AX177" i="6" s="1"/>
  <c r="AY177" i="6" s="1"/>
  <c r="AZ177" i="6" s="1"/>
  <c r="BA177" i="6" s="1"/>
  <c r="BB177" i="6" s="1"/>
  <c r="BC177" i="6" s="1"/>
  <c r="BD177" i="6" s="1"/>
  <c r="BE177" i="6" s="1"/>
  <c r="BF177" i="6" s="1"/>
  <c r="BG177" i="6" s="1"/>
  <c r="BH177" i="6" s="1"/>
  <c r="BI177" i="6" s="1"/>
  <c r="BJ177" i="6" s="1"/>
  <c r="BK177" i="6" s="1"/>
  <c r="BL177" i="6" s="1"/>
  <c r="BM177" i="6" s="1"/>
  <c r="BN177" i="6" s="1"/>
  <c r="BO177" i="6" s="1"/>
  <c r="BP177" i="6" s="1"/>
  <c r="BQ177" i="6" s="1"/>
  <c r="BR177" i="6" s="1"/>
  <c r="BS177" i="6" s="1"/>
  <c r="BT177" i="6" s="1"/>
  <c r="BU177" i="6" s="1"/>
  <c r="BV177" i="6" s="1"/>
  <c r="BW177" i="6" s="1"/>
  <c r="BX177" i="6" s="1"/>
  <c r="BY177" i="6" s="1"/>
  <c r="BZ177" i="6" s="1"/>
  <c r="CA177" i="6" s="1"/>
  <c r="CB177" i="6" s="1"/>
  <c r="CC177" i="6" s="1"/>
  <c r="CD177" i="6" s="1"/>
  <c r="CE177" i="6" s="1"/>
  <c r="CF177" i="6" s="1"/>
  <c r="CG177" i="6" s="1"/>
  <c r="CH177" i="6" s="1"/>
  <c r="CI177" i="6" s="1"/>
  <c r="CJ177" i="6" s="1"/>
  <c r="CK177" i="6" s="1"/>
  <c r="CL177" i="6" s="1"/>
  <c r="CM177" i="6" s="1"/>
  <c r="CN177" i="6" s="1"/>
  <c r="CO177" i="6" s="1"/>
  <c r="CP177" i="6" s="1"/>
  <c r="CQ177" i="6" s="1"/>
  <c r="CR177" i="6" s="1"/>
  <c r="CS177" i="6" s="1"/>
  <c r="CT177" i="6" s="1"/>
  <c r="CU177" i="6" s="1"/>
  <c r="CV177" i="6" s="1"/>
  <c r="CW177" i="6" s="1"/>
  <c r="CX177" i="6" s="1"/>
  <c r="CY177" i="6" s="1"/>
  <c r="CZ177" i="6" s="1"/>
  <c r="DA177" i="6" s="1"/>
  <c r="DB177" i="6" s="1"/>
  <c r="DC177" i="6" s="1"/>
  <c r="DD177" i="6" s="1"/>
  <c r="DE177" i="6" s="1"/>
  <c r="J8" i="5" l="1"/>
  <c r="E14" i="5" s="1"/>
  <c r="ET23" i="4"/>
  <c r="ET5" i="4"/>
  <c r="O76" i="6"/>
  <c r="P76" i="6" s="1"/>
  <c r="Q76" i="6" s="1"/>
  <c r="R76" i="6" s="1"/>
  <c r="S76" i="6" s="1"/>
  <c r="T76" i="6" s="1"/>
  <c r="U76" i="6" s="1"/>
  <c r="V76" i="6" s="1"/>
  <c r="W76" i="6" s="1"/>
  <c r="X76" i="6" s="1"/>
  <c r="Y76" i="6" s="1"/>
  <c r="Z76" i="6" s="1"/>
  <c r="AA76" i="6" s="1"/>
  <c r="AB76" i="6" s="1"/>
  <c r="AC76" i="6" s="1"/>
  <c r="AD76" i="6" s="1"/>
  <c r="AE76" i="6" s="1"/>
  <c r="AF76" i="6" s="1"/>
  <c r="AG76" i="6" s="1"/>
  <c r="AH76" i="6" s="1"/>
  <c r="AI76" i="6" s="1"/>
  <c r="AJ76" i="6" s="1"/>
  <c r="AK76" i="6" s="1"/>
  <c r="AL76" i="6" s="1"/>
  <c r="AM76" i="6" s="1"/>
  <c r="AN76" i="6" s="1"/>
  <c r="AO76" i="6" s="1"/>
  <c r="AP76" i="6" s="1"/>
  <c r="AQ76" i="6" s="1"/>
  <c r="AR76" i="6" s="1"/>
  <c r="AS76" i="6" s="1"/>
  <c r="AT76" i="6" s="1"/>
  <c r="AU76" i="6" s="1"/>
  <c r="AV76" i="6" s="1"/>
  <c r="AW76" i="6" s="1"/>
  <c r="AX76" i="6" s="1"/>
  <c r="AY76" i="6" s="1"/>
  <c r="AZ76" i="6" s="1"/>
  <c r="BA76" i="6" s="1"/>
  <c r="BB76" i="6" s="1"/>
  <c r="BC76" i="6" s="1"/>
  <c r="BD76" i="6" s="1"/>
  <c r="BE76" i="6" s="1"/>
  <c r="BF76" i="6" s="1"/>
  <c r="BG76" i="6" s="1"/>
  <c r="BH76" i="6" s="1"/>
  <c r="BI76" i="6" s="1"/>
  <c r="BJ76" i="6" s="1"/>
  <c r="BK76" i="6" s="1"/>
  <c r="BL76" i="6" s="1"/>
  <c r="BM76" i="6" s="1"/>
  <c r="BN76" i="6" s="1"/>
  <c r="BO76" i="6" s="1"/>
  <c r="BP76" i="6" s="1"/>
  <c r="BQ76" i="6" s="1"/>
  <c r="BR76" i="6" s="1"/>
  <c r="BS76" i="6" s="1"/>
  <c r="BT76" i="6" s="1"/>
  <c r="BU76" i="6" s="1"/>
  <c r="BV76" i="6" s="1"/>
  <c r="BW76" i="6" s="1"/>
  <c r="BX76" i="6" s="1"/>
  <c r="BY76" i="6" s="1"/>
  <c r="BZ76" i="6" s="1"/>
  <c r="CA76" i="6" s="1"/>
  <c r="CB76" i="6" s="1"/>
  <c r="CC76" i="6" s="1"/>
  <c r="CD76" i="6" s="1"/>
  <c r="CE76" i="6" s="1"/>
  <c r="CF76" i="6" s="1"/>
  <c r="CG76" i="6" s="1"/>
  <c r="CH76" i="6" s="1"/>
  <c r="CI76" i="6" s="1"/>
  <c r="CJ76" i="6" s="1"/>
  <c r="CK76" i="6" s="1"/>
  <c r="CL76" i="6" s="1"/>
  <c r="CM76" i="6" s="1"/>
  <c r="CN76" i="6" s="1"/>
  <c r="CO76" i="6" s="1"/>
  <c r="CP76" i="6" s="1"/>
  <c r="CQ76" i="6" s="1"/>
  <c r="CR76" i="6" s="1"/>
  <c r="CS76" i="6" s="1"/>
  <c r="CT76" i="6" s="1"/>
  <c r="CU76" i="6" s="1"/>
  <c r="CV76" i="6" s="1"/>
  <c r="CW76" i="6" s="1"/>
  <c r="CX76" i="6" s="1"/>
  <c r="CY76" i="6" s="1"/>
  <c r="CZ76" i="6" s="1"/>
  <c r="DA76" i="6" s="1"/>
  <c r="DB76" i="6" s="1"/>
  <c r="DC76" i="6" s="1"/>
  <c r="DD76" i="6" s="1"/>
  <c r="DE76" i="6" s="1"/>
  <c r="S84" i="6"/>
  <c r="T84" i="6" s="1"/>
  <c r="U84" i="6" s="1"/>
  <c r="V84" i="6" s="1"/>
  <c r="W84" i="6" s="1"/>
  <c r="X84" i="6" s="1"/>
  <c r="Y84" i="6" s="1"/>
  <c r="Z84" i="6" s="1"/>
  <c r="AA84" i="6" s="1"/>
  <c r="AB84" i="6" s="1"/>
  <c r="AC84" i="6" s="1"/>
  <c r="AD84" i="6" s="1"/>
  <c r="AE84" i="6" s="1"/>
  <c r="AF84" i="6" s="1"/>
  <c r="AG84" i="6" s="1"/>
  <c r="AH84" i="6" s="1"/>
  <c r="AI84" i="6" s="1"/>
  <c r="AJ84" i="6" s="1"/>
  <c r="AK84" i="6" s="1"/>
  <c r="AL84" i="6" s="1"/>
  <c r="AM84" i="6" s="1"/>
  <c r="AN84" i="6" s="1"/>
  <c r="AO84" i="6" s="1"/>
  <c r="AP84" i="6" s="1"/>
  <c r="AQ84" i="6" s="1"/>
  <c r="AR84" i="6" s="1"/>
  <c r="AS84" i="6" s="1"/>
  <c r="AT84" i="6" s="1"/>
  <c r="AU84" i="6" s="1"/>
  <c r="AV84" i="6" s="1"/>
  <c r="AW84" i="6" s="1"/>
  <c r="AX84" i="6" s="1"/>
  <c r="AY84" i="6" s="1"/>
  <c r="AZ84" i="6" s="1"/>
  <c r="BA84" i="6" s="1"/>
  <c r="BB84" i="6" s="1"/>
  <c r="BC84" i="6" s="1"/>
  <c r="BD84" i="6" s="1"/>
  <c r="BE84" i="6" s="1"/>
  <c r="BF84" i="6" s="1"/>
  <c r="BG84" i="6" s="1"/>
  <c r="BH84" i="6" s="1"/>
  <c r="BI84" i="6" s="1"/>
  <c r="BJ84" i="6" s="1"/>
  <c r="BK84" i="6" s="1"/>
  <c r="BL84" i="6" s="1"/>
  <c r="BM84" i="6" s="1"/>
  <c r="BN84" i="6" s="1"/>
  <c r="BO84" i="6" s="1"/>
  <c r="BP84" i="6" s="1"/>
  <c r="BQ84" i="6" s="1"/>
  <c r="BR84" i="6" s="1"/>
  <c r="BS84" i="6" s="1"/>
  <c r="BT84" i="6" s="1"/>
  <c r="BU84" i="6" s="1"/>
  <c r="BV84" i="6" s="1"/>
  <c r="BW84" i="6" s="1"/>
  <c r="BX84" i="6" s="1"/>
  <c r="BY84" i="6" s="1"/>
  <c r="BZ84" i="6" s="1"/>
  <c r="CA84" i="6" s="1"/>
  <c r="CB84" i="6" s="1"/>
  <c r="CC84" i="6" s="1"/>
  <c r="CD84" i="6" s="1"/>
  <c r="CE84" i="6" s="1"/>
  <c r="CF84" i="6" s="1"/>
  <c r="CG84" i="6" s="1"/>
  <c r="CH84" i="6" s="1"/>
  <c r="CI84" i="6" s="1"/>
  <c r="CJ84" i="6" s="1"/>
  <c r="CK84" i="6" s="1"/>
  <c r="CL84" i="6" s="1"/>
  <c r="CM84" i="6" s="1"/>
  <c r="CN84" i="6" s="1"/>
  <c r="CO84" i="6" s="1"/>
  <c r="CP84" i="6" s="1"/>
  <c r="CQ84" i="6" s="1"/>
  <c r="CR84" i="6" s="1"/>
  <c r="CS84" i="6" s="1"/>
  <c r="CT84" i="6" s="1"/>
  <c r="CU84" i="6" s="1"/>
  <c r="CV84" i="6" s="1"/>
  <c r="CW84" i="6" s="1"/>
  <c r="CX84" i="6" s="1"/>
  <c r="CY84" i="6" s="1"/>
  <c r="CZ84" i="6" s="1"/>
  <c r="DA84" i="6" s="1"/>
  <c r="DB84" i="6" s="1"/>
  <c r="DC84" i="6" s="1"/>
  <c r="DD84" i="6" s="1"/>
  <c r="DE84" i="6" s="1"/>
  <c r="DF376" i="6"/>
  <c r="DF372" i="6"/>
  <c r="DF390" i="6"/>
  <c r="DF78" i="6"/>
  <c r="CX396" i="6"/>
  <c r="CY396" i="6" s="1"/>
  <c r="CZ396" i="6" s="1"/>
  <c r="DA396" i="6" s="1"/>
  <c r="DB396" i="6" s="1"/>
  <c r="DC396" i="6" s="1"/>
  <c r="DD396" i="6" s="1"/>
  <c r="DE396" i="6" s="1"/>
  <c r="DF386" i="6"/>
  <c r="DF374" i="6"/>
  <c r="DF332" i="6"/>
  <c r="DF309" i="6"/>
  <c r="DF370" i="6"/>
  <c r="DF384" i="6"/>
  <c r="DF177" i="6"/>
  <c r="S90" i="6"/>
  <c r="T90" i="6" s="1"/>
  <c r="U90" i="6" s="1"/>
  <c r="V90" i="6" s="1"/>
  <c r="W90" i="6" s="1"/>
  <c r="X90" i="6" s="1"/>
  <c r="Y90" i="6" s="1"/>
  <c r="Z90" i="6" s="1"/>
  <c r="AA90" i="6" s="1"/>
  <c r="AB90" i="6" s="1"/>
  <c r="AC90" i="6" s="1"/>
  <c r="AD90" i="6" s="1"/>
  <c r="AE90" i="6" s="1"/>
  <c r="AF90" i="6" s="1"/>
  <c r="AG90" i="6" s="1"/>
  <c r="AH90" i="6" s="1"/>
  <c r="AI90" i="6" s="1"/>
  <c r="AJ90" i="6" s="1"/>
  <c r="AK90" i="6" s="1"/>
  <c r="AL90" i="6" s="1"/>
  <c r="AM90" i="6" s="1"/>
  <c r="AN90" i="6" s="1"/>
  <c r="AO90" i="6" s="1"/>
  <c r="AP90" i="6" s="1"/>
  <c r="AQ90" i="6" s="1"/>
  <c r="AR90" i="6" s="1"/>
  <c r="AS90" i="6" s="1"/>
  <c r="AT90" i="6" s="1"/>
  <c r="AU90" i="6" s="1"/>
  <c r="AV90" i="6" s="1"/>
  <c r="AW90" i="6" s="1"/>
  <c r="AX90" i="6" s="1"/>
  <c r="AY90" i="6" s="1"/>
  <c r="AZ90" i="6" s="1"/>
  <c r="BA90" i="6" s="1"/>
  <c r="BB90" i="6" s="1"/>
  <c r="BC90" i="6" s="1"/>
  <c r="BD90" i="6" s="1"/>
  <c r="BE90" i="6" s="1"/>
  <c r="BF90" i="6" s="1"/>
  <c r="BG90" i="6" s="1"/>
  <c r="BH90" i="6" s="1"/>
  <c r="BI90" i="6" s="1"/>
  <c r="BJ90" i="6" s="1"/>
  <c r="BK90" i="6" s="1"/>
  <c r="BL90" i="6" s="1"/>
  <c r="BM90" i="6" s="1"/>
  <c r="BN90" i="6" s="1"/>
  <c r="BO90" i="6" s="1"/>
  <c r="BP90" i="6" s="1"/>
  <c r="BQ90" i="6" s="1"/>
  <c r="BR90" i="6" s="1"/>
  <c r="BS90" i="6" s="1"/>
  <c r="BT90" i="6" s="1"/>
  <c r="BU90" i="6" s="1"/>
  <c r="BV90" i="6" s="1"/>
  <c r="BW90" i="6" s="1"/>
  <c r="BX90" i="6" s="1"/>
  <c r="BY90" i="6" s="1"/>
  <c r="BZ90" i="6" s="1"/>
  <c r="CA90" i="6" s="1"/>
  <c r="CB90" i="6" s="1"/>
  <c r="CC90" i="6" s="1"/>
  <c r="CD90" i="6" s="1"/>
  <c r="CE90" i="6" s="1"/>
  <c r="CF90" i="6" s="1"/>
  <c r="CG90" i="6" s="1"/>
  <c r="CH90" i="6" s="1"/>
  <c r="CI90" i="6" s="1"/>
  <c r="CJ90" i="6" s="1"/>
  <c r="CK90" i="6" s="1"/>
  <c r="CL90" i="6" s="1"/>
  <c r="CM90" i="6" s="1"/>
  <c r="CN90" i="6" s="1"/>
  <c r="CO90" i="6" s="1"/>
  <c r="CP90" i="6" s="1"/>
  <c r="CQ90" i="6" s="1"/>
  <c r="CR90" i="6" s="1"/>
  <c r="CS90" i="6" s="1"/>
  <c r="CT90" i="6" s="1"/>
  <c r="CU90" i="6" s="1"/>
  <c r="CV90" i="6" s="1"/>
  <c r="CW90" i="6" s="1"/>
  <c r="CX90" i="6" s="1"/>
  <c r="CY90" i="6" s="1"/>
  <c r="CZ90" i="6" s="1"/>
  <c r="DA90" i="6" s="1"/>
  <c r="DB90" i="6" s="1"/>
  <c r="DC90" i="6" s="1"/>
  <c r="DD90" i="6" s="1"/>
  <c r="DE90" i="6" s="1"/>
  <c r="DF90" i="6" s="1"/>
  <c r="O72" i="6"/>
  <c r="P72" i="6" s="1"/>
  <c r="Q72" i="6" s="1"/>
  <c r="R72" i="6" s="1"/>
  <c r="S72" i="6" s="1"/>
  <c r="T72" i="6" s="1"/>
  <c r="U72" i="6" s="1"/>
  <c r="V72" i="6" s="1"/>
  <c r="W72" i="6" s="1"/>
  <c r="X72" i="6" s="1"/>
  <c r="Y72" i="6" s="1"/>
  <c r="Z72" i="6" s="1"/>
  <c r="AA72" i="6" s="1"/>
  <c r="AB72" i="6" s="1"/>
  <c r="AC72" i="6" s="1"/>
  <c r="AD72" i="6" s="1"/>
  <c r="AE72" i="6" s="1"/>
  <c r="AF72" i="6" s="1"/>
  <c r="AG72" i="6" s="1"/>
  <c r="AH72" i="6" s="1"/>
  <c r="AI72" i="6" s="1"/>
  <c r="AJ72" i="6" s="1"/>
  <c r="AK72" i="6" s="1"/>
  <c r="AL72" i="6" s="1"/>
  <c r="AM72" i="6" s="1"/>
  <c r="AN72" i="6" s="1"/>
  <c r="AO72" i="6" s="1"/>
  <c r="AP72" i="6" s="1"/>
  <c r="AQ72" i="6" s="1"/>
  <c r="AR72" i="6" s="1"/>
  <c r="AS72" i="6" s="1"/>
  <c r="AT72" i="6" s="1"/>
  <c r="AU72" i="6" s="1"/>
  <c r="AV72" i="6" s="1"/>
  <c r="AW72" i="6" s="1"/>
  <c r="AX72" i="6" s="1"/>
  <c r="AY72" i="6" s="1"/>
  <c r="AZ72" i="6" s="1"/>
  <c r="BA72" i="6" s="1"/>
  <c r="BB72" i="6" s="1"/>
  <c r="BC72" i="6" s="1"/>
  <c r="BD72" i="6" s="1"/>
  <c r="BE72" i="6" s="1"/>
  <c r="BF72" i="6" s="1"/>
  <c r="BG72" i="6" s="1"/>
  <c r="BH72" i="6" s="1"/>
  <c r="BI72" i="6" s="1"/>
  <c r="BJ72" i="6" s="1"/>
  <c r="BK72" i="6" s="1"/>
  <c r="BL72" i="6" s="1"/>
  <c r="BM72" i="6" s="1"/>
  <c r="BN72" i="6" s="1"/>
  <c r="BO72" i="6" s="1"/>
  <c r="BP72" i="6" s="1"/>
  <c r="BQ72" i="6" s="1"/>
  <c r="BR72" i="6" s="1"/>
  <c r="BS72" i="6" s="1"/>
  <c r="BT72" i="6" s="1"/>
  <c r="BU72" i="6" s="1"/>
  <c r="BV72" i="6" s="1"/>
  <c r="BW72" i="6" s="1"/>
  <c r="BX72" i="6" s="1"/>
  <c r="BY72" i="6" s="1"/>
  <c r="BZ72" i="6" s="1"/>
  <c r="CA72" i="6" s="1"/>
  <c r="CB72" i="6" s="1"/>
  <c r="CC72" i="6" s="1"/>
  <c r="CD72" i="6" s="1"/>
  <c r="CE72" i="6" s="1"/>
  <c r="CF72" i="6" s="1"/>
  <c r="CG72" i="6" s="1"/>
  <c r="CH72" i="6" s="1"/>
  <c r="CI72" i="6" s="1"/>
  <c r="CJ72" i="6" s="1"/>
  <c r="CK72" i="6" s="1"/>
  <c r="CL72" i="6" s="1"/>
  <c r="CM72" i="6" s="1"/>
  <c r="CN72" i="6" s="1"/>
  <c r="CO72" i="6" s="1"/>
  <c r="CP72" i="6" s="1"/>
  <c r="CQ72" i="6" s="1"/>
  <c r="CR72" i="6" s="1"/>
  <c r="CS72" i="6" s="1"/>
  <c r="CT72" i="6" s="1"/>
  <c r="CU72" i="6" s="1"/>
  <c r="CV72" i="6" s="1"/>
  <c r="CW72" i="6" s="1"/>
  <c r="CX72" i="6" s="1"/>
  <c r="CY72" i="6" s="1"/>
  <c r="CZ72" i="6" s="1"/>
  <c r="DA72" i="6" s="1"/>
  <c r="DB72" i="6" s="1"/>
  <c r="DC72" i="6" s="1"/>
  <c r="DD72" i="6" s="1"/>
  <c r="DE72" i="6" s="1"/>
  <c r="O164" i="6"/>
  <c r="P164" i="6" s="1"/>
  <c r="Q164" i="6" s="1"/>
  <c r="R164" i="6" s="1"/>
  <c r="S164" i="6" s="1"/>
  <c r="T164" i="6" s="1"/>
  <c r="U164" i="6" s="1"/>
  <c r="V164" i="6" s="1"/>
  <c r="W164" i="6" s="1"/>
  <c r="X164" i="6" s="1"/>
  <c r="Y164" i="6" s="1"/>
  <c r="Z164" i="6" s="1"/>
  <c r="AA164" i="6" s="1"/>
  <c r="AB164" i="6" s="1"/>
  <c r="AC164" i="6" s="1"/>
  <c r="AD164" i="6" s="1"/>
  <c r="AE164" i="6" s="1"/>
  <c r="AF164" i="6" s="1"/>
  <c r="AG164" i="6" s="1"/>
  <c r="AH164" i="6" s="1"/>
  <c r="AI164" i="6" s="1"/>
  <c r="AJ164" i="6" s="1"/>
  <c r="AK164" i="6" s="1"/>
  <c r="AL164" i="6" s="1"/>
  <c r="AM164" i="6" s="1"/>
  <c r="AN164" i="6" s="1"/>
  <c r="AO164" i="6" s="1"/>
  <c r="AP164" i="6" s="1"/>
  <c r="AQ164" i="6" s="1"/>
  <c r="AR164" i="6" s="1"/>
  <c r="AS164" i="6" s="1"/>
  <c r="AT164" i="6" s="1"/>
  <c r="AU164" i="6" s="1"/>
  <c r="AV164" i="6" s="1"/>
  <c r="AW164" i="6" s="1"/>
  <c r="AX164" i="6" s="1"/>
  <c r="AY164" i="6" s="1"/>
  <c r="AZ164" i="6" s="1"/>
  <c r="BA164" i="6" s="1"/>
  <c r="BB164" i="6" s="1"/>
  <c r="BC164" i="6" s="1"/>
  <c r="BD164" i="6" s="1"/>
  <c r="BE164" i="6" s="1"/>
  <c r="BF164" i="6" s="1"/>
  <c r="BG164" i="6" s="1"/>
  <c r="BH164" i="6" s="1"/>
  <c r="BI164" i="6" s="1"/>
  <c r="BJ164" i="6" s="1"/>
  <c r="BK164" i="6" s="1"/>
  <c r="BL164" i="6" s="1"/>
  <c r="BM164" i="6" s="1"/>
  <c r="BN164" i="6" s="1"/>
  <c r="BO164" i="6" s="1"/>
  <c r="BP164" i="6" s="1"/>
  <c r="BQ164" i="6" s="1"/>
  <c r="BR164" i="6" s="1"/>
  <c r="BS164" i="6" s="1"/>
  <c r="BT164" i="6" s="1"/>
  <c r="BU164" i="6" s="1"/>
  <c r="BV164" i="6" s="1"/>
  <c r="BW164" i="6" s="1"/>
  <c r="BX164" i="6" s="1"/>
  <c r="BY164" i="6" s="1"/>
  <c r="BZ164" i="6" s="1"/>
  <c r="CA164" i="6" s="1"/>
  <c r="CB164" i="6" s="1"/>
  <c r="CC164" i="6" s="1"/>
  <c r="CD164" i="6" s="1"/>
  <c r="CE164" i="6" s="1"/>
  <c r="CF164" i="6" s="1"/>
  <c r="CG164" i="6" s="1"/>
  <c r="CH164" i="6" s="1"/>
  <c r="CI164" i="6" s="1"/>
  <c r="CJ164" i="6" s="1"/>
  <c r="CK164" i="6" s="1"/>
  <c r="CL164" i="6" s="1"/>
  <c r="CM164" i="6" s="1"/>
  <c r="CN164" i="6" s="1"/>
  <c r="CO164" i="6" s="1"/>
  <c r="CP164" i="6" s="1"/>
  <c r="CQ164" i="6" s="1"/>
  <c r="CR164" i="6" s="1"/>
  <c r="CS164" i="6" s="1"/>
  <c r="CT164" i="6" s="1"/>
  <c r="CU164" i="6" s="1"/>
  <c r="CV164" i="6" s="1"/>
  <c r="CW164" i="6" s="1"/>
  <c r="CX164" i="6" s="1"/>
  <c r="CY164" i="6" s="1"/>
  <c r="CZ164" i="6" s="1"/>
  <c r="DA164" i="6" s="1"/>
  <c r="DB164" i="6" s="1"/>
  <c r="DC164" i="6" s="1"/>
  <c r="DD164" i="6" s="1"/>
  <c r="DE164" i="6" s="1"/>
  <c r="O168" i="6"/>
  <c r="O314" i="6"/>
  <c r="P314" i="6" s="1"/>
  <c r="Q314" i="6" s="1"/>
  <c r="R314" i="6" s="1"/>
  <c r="S314" i="6" s="1"/>
  <c r="T314" i="6" s="1"/>
  <c r="U314" i="6" s="1"/>
  <c r="V314" i="6" s="1"/>
  <c r="W314" i="6" s="1"/>
  <c r="X314" i="6" s="1"/>
  <c r="Y314" i="6" s="1"/>
  <c r="Z314" i="6" s="1"/>
  <c r="AA314" i="6" s="1"/>
  <c r="AB314" i="6" s="1"/>
  <c r="AC314" i="6" s="1"/>
  <c r="AD314" i="6" s="1"/>
  <c r="AE314" i="6" s="1"/>
  <c r="AF314" i="6" s="1"/>
  <c r="AG314" i="6" s="1"/>
  <c r="AH314" i="6" s="1"/>
  <c r="AI314" i="6" s="1"/>
  <c r="AJ314" i="6" s="1"/>
  <c r="AK314" i="6" s="1"/>
  <c r="AL314" i="6" s="1"/>
  <c r="AM314" i="6" s="1"/>
  <c r="AN314" i="6" s="1"/>
  <c r="AO314" i="6" s="1"/>
  <c r="AP314" i="6" s="1"/>
  <c r="AQ314" i="6" s="1"/>
  <c r="AR314" i="6" s="1"/>
  <c r="AS314" i="6" s="1"/>
  <c r="AT314" i="6" s="1"/>
  <c r="AU314" i="6" s="1"/>
  <c r="AV314" i="6" s="1"/>
  <c r="AW314" i="6" s="1"/>
  <c r="AX314" i="6" s="1"/>
  <c r="AY314" i="6" s="1"/>
  <c r="AZ314" i="6" s="1"/>
  <c r="BA314" i="6" s="1"/>
  <c r="BB314" i="6" s="1"/>
  <c r="BC314" i="6" s="1"/>
  <c r="BD314" i="6" s="1"/>
  <c r="BE314" i="6" s="1"/>
  <c r="BF314" i="6" s="1"/>
  <c r="BG314" i="6" s="1"/>
  <c r="BH314" i="6" s="1"/>
  <c r="BI314" i="6" s="1"/>
  <c r="BJ314" i="6" s="1"/>
  <c r="BK314" i="6" s="1"/>
  <c r="BL314" i="6" s="1"/>
  <c r="BM314" i="6" s="1"/>
  <c r="BN314" i="6" s="1"/>
  <c r="BO314" i="6" s="1"/>
  <c r="BP314" i="6" s="1"/>
  <c r="BQ314" i="6" s="1"/>
  <c r="BR314" i="6" s="1"/>
  <c r="BS314" i="6" s="1"/>
  <c r="BT314" i="6" s="1"/>
  <c r="BU314" i="6" s="1"/>
  <c r="BV314" i="6" s="1"/>
  <c r="BW314" i="6" s="1"/>
  <c r="BX314" i="6" s="1"/>
  <c r="BY314" i="6" s="1"/>
  <c r="BZ314" i="6" s="1"/>
  <c r="CA314" i="6" s="1"/>
  <c r="CB314" i="6" s="1"/>
  <c r="CC314" i="6" s="1"/>
  <c r="CD314" i="6" s="1"/>
  <c r="CE314" i="6" s="1"/>
  <c r="CF314" i="6" s="1"/>
  <c r="CG314" i="6" s="1"/>
  <c r="CH314" i="6" s="1"/>
  <c r="CI314" i="6" s="1"/>
  <c r="CJ314" i="6" s="1"/>
  <c r="CK314" i="6" s="1"/>
  <c r="CL314" i="6" s="1"/>
  <c r="CM314" i="6" s="1"/>
  <c r="CN314" i="6" s="1"/>
  <c r="CO314" i="6" s="1"/>
  <c r="CP314" i="6" s="1"/>
  <c r="CQ314" i="6" s="1"/>
  <c r="CR314" i="6" s="1"/>
  <c r="CS314" i="6" s="1"/>
  <c r="CT314" i="6" s="1"/>
  <c r="CU314" i="6" s="1"/>
  <c r="CV314" i="6" s="1"/>
  <c r="CW314" i="6" s="1"/>
  <c r="CX314" i="6" s="1"/>
  <c r="CY314" i="6" s="1"/>
  <c r="CZ314" i="6" s="1"/>
  <c r="DA314" i="6" s="1"/>
  <c r="DB314" i="6" s="1"/>
  <c r="DC314" i="6" s="1"/>
  <c r="DD314" i="6" s="1"/>
  <c r="DE314" i="6" s="1"/>
  <c r="DF314" i="6" s="1"/>
  <c r="O80" i="6"/>
  <c r="P80" i="6" s="1"/>
  <c r="Q80" i="6" s="1"/>
  <c r="R80" i="6" s="1"/>
  <c r="S80" i="6" s="1"/>
  <c r="T80" i="6" s="1"/>
  <c r="U80" i="6" s="1"/>
  <c r="V80" i="6" s="1"/>
  <c r="W80" i="6" s="1"/>
  <c r="X80" i="6" s="1"/>
  <c r="Y80" i="6" s="1"/>
  <c r="Z80" i="6" s="1"/>
  <c r="AA80" i="6" s="1"/>
  <c r="AB80" i="6" s="1"/>
  <c r="AC80" i="6" s="1"/>
  <c r="AD80" i="6" s="1"/>
  <c r="AE80" i="6" s="1"/>
  <c r="AF80" i="6" s="1"/>
  <c r="AG80" i="6" s="1"/>
  <c r="AH80" i="6" s="1"/>
  <c r="AI80" i="6" s="1"/>
  <c r="AJ80" i="6" s="1"/>
  <c r="AK80" i="6" s="1"/>
  <c r="AL80" i="6" s="1"/>
  <c r="AM80" i="6" s="1"/>
  <c r="AN80" i="6" s="1"/>
  <c r="AO80" i="6" s="1"/>
  <c r="AP80" i="6" s="1"/>
  <c r="AQ80" i="6" s="1"/>
  <c r="AR80" i="6" s="1"/>
  <c r="AS80" i="6" s="1"/>
  <c r="AT80" i="6" s="1"/>
  <c r="AU80" i="6" s="1"/>
  <c r="AV80" i="6" s="1"/>
  <c r="AW80" i="6" s="1"/>
  <c r="AX80" i="6" s="1"/>
  <c r="AY80" i="6" s="1"/>
  <c r="AZ80" i="6" s="1"/>
  <c r="BA80" i="6" s="1"/>
  <c r="BB80" i="6" s="1"/>
  <c r="BC80" i="6" s="1"/>
  <c r="BD80" i="6" s="1"/>
  <c r="BE80" i="6" s="1"/>
  <c r="BF80" i="6" s="1"/>
  <c r="BG80" i="6" s="1"/>
  <c r="BH80" i="6" s="1"/>
  <c r="BI80" i="6" s="1"/>
  <c r="BJ80" i="6" s="1"/>
  <c r="BK80" i="6" s="1"/>
  <c r="BL80" i="6" s="1"/>
  <c r="BM80" i="6" s="1"/>
  <c r="BN80" i="6" s="1"/>
  <c r="BO80" i="6" s="1"/>
  <c r="BP80" i="6" s="1"/>
  <c r="BQ80" i="6" s="1"/>
  <c r="BR80" i="6" s="1"/>
  <c r="BS80" i="6" s="1"/>
  <c r="BT80" i="6" s="1"/>
  <c r="BU80" i="6" s="1"/>
  <c r="BV80" i="6" s="1"/>
  <c r="BW80" i="6" s="1"/>
  <c r="BX80" i="6" s="1"/>
  <c r="BY80" i="6" s="1"/>
  <c r="BZ80" i="6" s="1"/>
  <c r="CA80" i="6" s="1"/>
  <c r="CB80" i="6" s="1"/>
  <c r="CC80" i="6" s="1"/>
  <c r="CD80" i="6" s="1"/>
  <c r="CE80" i="6" s="1"/>
  <c r="CF80" i="6" s="1"/>
  <c r="CG80" i="6" s="1"/>
  <c r="CH80" i="6" s="1"/>
  <c r="CI80" i="6" s="1"/>
  <c r="CJ80" i="6" s="1"/>
  <c r="CK80" i="6" s="1"/>
  <c r="CL80" i="6" s="1"/>
  <c r="CM80" i="6" s="1"/>
  <c r="CN80" i="6" s="1"/>
  <c r="CO80" i="6" s="1"/>
  <c r="CP80" i="6" s="1"/>
  <c r="CQ80" i="6" s="1"/>
  <c r="CR80" i="6" s="1"/>
  <c r="CS80" i="6" s="1"/>
  <c r="CT80" i="6" s="1"/>
  <c r="CU80" i="6" s="1"/>
  <c r="CV80" i="6" s="1"/>
  <c r="CW80" i="6" s="1"/>
  <c r="CX80" i="6" s="1"/>
  <c r="CY80" i="6" s="1"/>
  <c r="CZ80" i="6" s="1"/>
  <c r="DA80" i="6" s="1"/>
  <c r="DB80" i="6" s="1"/>
  <c r="DC80" i="6" s="1"/>
  <c r="DD80" i="6" s="1"/>
  <c r="DE80" i="6" s="1"/>
  <c r="O320" i="6"/>
  <c r="P320" i="6" s="1"/>
  <c r="Q320" i="6" s="1"/>
  <c r="R320" i="6" s="1"/>
  <c r="S320" i="6" s="1"/>
  <c r="T320" i="6" s="1"/>
  <c r="U320" i="6" s="1"/>
  <c r="V320" i="6" s="1"/>
  <c r="W320" i="6" s="1"/>
  <c r="X320" i="6" s="1"/>
  <c r="Y320" i="6" s="1"/>
  <c r="Z320" i="6" s="1"/>
  <c r="AA320" i="6" s="1"/>
  <c r="AB320" i="6" s="1"/>
  <c r="AC320" i="6" s="1"/>
  <c r="AD320" i="6" s="1"/>
  <c r="AE320" i="6" s="1"/>
  <c r="AF320" i="6" s="1"/>
  <c r="AG320" i="6" s="1"/>
  <c r="AH320" i="6" s="1"/>
  <c r="AI320" i="6" s="1"/>
  <c r="AJ320" i="6" s="1"/>
  <c r="AK320" i="6" s="1"/>
  <c r="AL320" i="6" s="1"/>
  <c r="AM320" i="6" s="1"/>
  <c r="AN320" i="6" s="1"/>
  <c r="AO320" i="6" s="1"/>
  <c r="AP320" i="6" s="1"/>
  <c r="AQ320" i="6" s="1"/>
  <c r="AR320" i="6" s="1"/>
  <c r="AS320" i="6" s="1"/>
  <c r="AT320" i="6" s="1"/>
  <c r="AU320" i="6" s="1"/>
  <c r="AV320" i="6" s="1"/>
  <c r="AW320" i="6" s="1"/>
  <c r="AX320" i="6" s="1"/>
  <c r="AY320" i="6" s="1"/>
  <c r="AZ320" i="6" s="1"/>
  <c r="BA320" i="6" s="1"/>
  <c r="BB320" i="6" s="1"/>
  <c r="BC320" i="6" s="1"/>
  <c r="BD320" i="6" s="1"/>
  <c r="BE320" i="6" s="1"/>
  <c r="BF320" i="6" s="1"/>
  <c r="BG320" i="6" s="1"/>
  <c r="BH320" i="6" s="1"/>
  <c r="BI320" i="6" s="1"/>
  <c r="BJ320" i="6" s="1"/>
  <c r="BK320" i="6" s="1"/>
  <c r="BL320" i="6" s="1"/>
  <c r="BM320" i="6" s="1"/>
  <c r="BN320" i="6" s="1"/>
  <c r="BO320" i="6" s="1"/>
  <c r="BP320" i="6" s="1"/>
  <c r="BQ320" i="6" s="1"/>
  <c r="BR320" i="6" s="1"/>
  <c r="BS320" i="6" s="1"/>
  <c r="BT320" i="6" s="1"/>
  <c r="BU320" i="6" s="1"/>
  <c r="BV320" i="6" s="1"/>
  <c r="BW320" i="6" s="1"/>
  <c r="BX320" i="6" s="1"/>
  <c r="BY320" i="6" s="1"/>
  <c r="BZ320" i="6" s="1"/>
  <c r="CA320" i="6" s="1"/>
  <c r="CB320" i="6" s="1"/>
  <c r="CC320" i="6" s="1"/>
  <c r="CD320" i="6" s="1"/>
  <c r="CE320" i="6" s="1"/>
  <c r="CF320" i="6" s="1"/>
  <c r="CG320" i="6" s="1"/>
  <c r="CH320" i="6" s="1"/>
  <c r="CI320" i="6" s="1"/>
  <c r="CJ320" i="6" s="1"/>
  <c r="CK320" i="6" s="1"/>
  <c r="CL320" i="6" s="1"/>
  <c r="CM320" i="6" s="1"/>
  <c r="CN320" i="6" s="1"/>
  <c r="CO320" i="6" s="1"/>
  <c r="CP320" i="6" s="1"/>
  <c r="CQ320" i="6" s="1"/>
  <c r="CR320" i="6" s="1"/>
  <c r="CS320" i="6" s="1"/>
  <c r="CT320" i="6" s="1"/>
  <c r="CU320" i="6" s="1"/>
  <c r="CV320" i="6" s="1"/>
  <c r="CW320" i="6" s="1"/>
  <c r="CX320" i="6" s="1"/>
  <c r="CY320" i="6" s="1"/>
  <c r="CZ320" i="6" s="1"/>
  <c r="DA320" i="6" s="1"/>
  <c r="DB320" i="6" s="1"/>
  <c r="DC320" i="6" s="1"/>
  <c r="DD320" i="6" s="1"/>
  <c r="DE320" i="6" s="1"/>
  <c r="O261" i="6"/>
  <c r="P261" i="6" s="1"/>
  <c r="Q261" i="6" s="1"/>
  <c r="R261" i="6" s="1"/>
  <c r="S261" i="6" s="1"/>
  <c r="T261" i="6" s="1"/>
  <c r="U261" i="6" s="1"/>
  <c r="V261" i="6" s="1"/>
  <c r="W261" i="6" s="1"/>
  <c r="X261" i="6" s="1"/>
  <c r="Y261" i="6" s="1"/>
  <c r="Z261" i="6" s="1"/>
  <c r="AA261" i="6" s="1"/>
  <c r="AB261" i="6" s="1"/>
  <c r="AC261" i="6" s="1"/>
  <c r="AD261" i="6" s="1"/>
  <c r="AE261" i="6" s="1"/>
  <c r="AF261" i="6" s="1"/>
  <c r="AG261" i="6" s="1"/>
  <c r="AH261" i="6" s="1"/>
  <c r="AI261" i="6" s="1"/>
  <c r="AJ261" i="6" s="1"/>
  <c r="AK261" i="6" s="1"/>
  <c r="AL261" i="6" s="1"/>
  <c r="AM261" i="6" s="1"/>
  <c r="AN261" i="6" s="1"/>
  <c r="AO261" i="6" s="1"/>
  <c r="AP261" i="6" s="1"/>
  <c r="AQ261" i="6" s="1"/>
  <c r="AR261" i="6" s="1"/>
  <c r="AS261" i="6" s="1"/>
  <c r="AT261" i="6" s="1"/>
  <c r="AU261" i="6" s="1"/>
  <c r="AV261" i="6" s="1"/>
  <c r="AW261" i="6" s="1"/>
  <c r="AX261" i="6" s="1"/>
  <c r="AY261" i="6" s="1"/>
  <c r="AZ261" i="6" s="1"/>
  <c r="BA261" i="6" s="1"/>
  <c r="BB261" i="6" s="1"/>
  <c r="BC261" i="6" s="1"/>
  <c r="BD261" i="6" s="1"/>
  <c r="BE261" i="6" s="1"/>
  <c r="BF261" i="6" s="1"/>
  <c r="BG261" i="6" s="1"/>
  <c r="BH261" i="6" s="1"/>
  <c r="BI261" i="6" s="1"/>
  <c r="BJ261" i="6" s="1"/>
  <c r="BK261" i="6" s="1"/>
  <c r="BL261" i="6" s="1"/>
  <c r="BM261" i="6" s="1"/>
  <c r="BN261" i="6" s="1"/>
  <c r="BO261" i="6" s="1"/>
  <c r="BP261" i="6" s="1"/>
  <c r="BQ261" i="6" s="1"/>
  <c r="BR261" i="6" s="1"/>
  <c r="BS261" i="6" s="1"/>
  <c r="BT261" i="6" s="1"/>
  <c r="BU261" i="6" s="1"/>
  <c r="BV261" i="6" s="1"/>
  <c r="BW261" i="6" s="1"/>
  <c r="BX261" i="6" s="1"/>
  <c r="BY261" i="6" s="1"/>
  <c r="BZ261" i="6" s="1"/>
  <c r="CA261" i="6" s="1"/>
  <c r="CB261" i="6" s="1"/>
  <c r="CC261" i="6" s="1"/>
  <c r="CD261" i="6" s="1"/>
  <c r="CE261" i="6" s="1"/>
  <c r="CF261" i="6" s="1"/>
  <c r="CG261" i="6" s="1"/>
  <c r="CH261" i="6" s="1"/>
  <c r="CI261" i="6" s="1"/>
  <c r="CJ261" i="6" s="1"/>
  <c r="CK261" i="6" s="1"/>
  <c r="CL261" i="6" s="1"/>
  <c r="CM261" i="6" s="1"/>
  <c r="CN261" i="6" s="1"/>
  <c r="CO261" i="6" s="1"/>
  <c r="CP261" i="6" s="1"/>
  <c r="CQ261" i="6" s="1"/>
  <c r="CR261" i="6" s="1"/>
  <c r="CS261" i="6" s="1"/>
  <c r="CT261" i="6" s="1"/>
  <c r="CU261" i="6" s="1"/>
  <c r="CV261" i="6" s="1"/>
  <c r="CW261" i="6" s="1"/>
  <c r="CX261" i="6" s="1"/>
  <c r="CY261" i="6" s="1"/>
  <c r="CZ261" i="6" s="1"/>
  <c r="DA261" i="6" s="1"/>
  <c r="DB261" i="6" s="1"/>
  <c r="DC261" i="6" s="1"/>
  <c r="DD261" i="6" s="1"/>
  <c r="DE261" i="6" s="1"/>
  <c r="DF261" i="6" s="1"/>
  <c r="O312" i="6"/>
  <c r="P312" i="6" s="1"/>
  <c r="Q312" i="6" s="1"/>
  <c r="R312" i="6" s="1"/>
  <c r="S312" i="6" s="1"/>
  <c r="T312" i="6" s="1"/>
  <c r="U312" i="6" s="1"/>
  <c r="V312" i="6" s="1"/>
  <c r="W312" i="6" s="1"/>
  <c r="X312" i="6" s="1"/>
  <c r="Y312" i="6" s="1"/>
  <c r="Z312" i="6" s="1"/>
  <c r="AA312" i="6" s="1"/>
  <c r="AB312" i="6" s="1"/>
  <c r="AC312" i="6" s="1"/>
  <c r="AD312" i="6" s="1"/>
  <c r="AE312" i="6" s="1"/>
  <c r="AF312" i="6" s="1"/>
  <c r="AG312" i="6" s="1"/>
  <c r="AH312" i="6" s="1"/>
  <c r="AI312" i="6" s="1"/>
  <c r="AJ312" i="6" s="1"/>
  <c r="AK312" i="6" s="1"/>
  <c r="AL312" i="6" s="1"/>
  <c r="AM312" i="6" s="1"/>
  <c r="AN312" i="6" s="1"/>
  <c r="AO312" i="6" s="1"/>
  <c r="AP312" i="6" s="1"/>
  <c r="AQ312" i="6" s="1"/>
  <c r="AR312" i="6" s="1"/>
  <c r="AS312" i="6" s="1"/>
  <c r="AT312" i="6" s="1"/>
  <c r="AU312" i="6" s="1"/>
  <c r="AV312" i="6" s="1"/>
  <c r="AW312" i="6" s="1"/>
  <c r="AX312" i="6" s="1"/>
  <c r="AY312" i="6" s="1"/>
  <c r="AZ312" i="6" s="1"/>
  <c r="BA312" i="6" s="1"/>
  <c r="BB312" i="6" s="1"/>
  <c r="BC312" i="6" s="1"/>
  <c r="BD312" i="6" s="1"/>
  <c r="BE312" i="6" s="1"/>
  <c r="BF312" i="6" s="1"/>
  <c r="BG312" i="6" s="1"/>
  <c r="BH312" i="6" s="1"/>
  <c r="BI312" i="6" s="1"/>
  <c r="BJ312" i="6" s="1"/>
  <c r="BK312" i="6" s="1"/>
  <c r="BL312" i="6" s="1"/>
  <c r="BM312" i="6" s="1"/>
  <c r="BN312" i="6" s="1"/>
  <c r="BO312" i="6" s="1"/>
  <c r="BP312" i="6" s="1"/>
  <c r="BQ312" i="6" s="1"/>
  <c r="BR312" i="6" s="1"/>
  <c r="BS312" i="6" s="1"/>
  <c r="BT312" i="6" s="1"/>
  <c r="BU312" i="6" s="1"/>
  <c r="BV312" i="6" s="1"/>
  <c r="BW312" i="6" s="1"/>
  <c r="BX312" i="6" s="1"/>
  <c r="BY312" i="6" s="1"/>
  <c r="BZ312" i="6" s="1"/>
  <c r="CA312" i="6" s="1"/>
  <c r="CB312" i="6" s="1"/>
  <c r="CC312" i="6" s="1"/>
  <c r="CD312" i="6" s="1"/>
  <c r="CE312" i="6" s="1"/>
  <c r="CF312" i="6" s="1"/>
  <c r="CG312" i="6" s="1"/>
  <c r="CH312" i="6" s="1"/>
  <c r="CI312" i="6" s="1"/>
  <c r="CJ312" i="6" s="1"/>
  <c r="CK312" i="6" s="1"/>
  <c r="CL312" i="6" s="1"/>
  <c r="CM312" i="6" s="1"/>
  <c r="CN312" i="6" s="1"/>
  <c r="CO312" i="6" s="1"/>
  <c r="CP312" i="6" s="1"/>
  <c r="CQ312" i="6" s="1"/>
  <c r="CR312" i="6" s="1"/>
  <c r="CS312" i="6" s="1"/>
  <c r="CT312" i="6" s="1"/>
  <c r="CU312" i="6" s="1"/>
  <c r="CV312" i="6" s="1"/>
  <c r="CW312" i="6" s="1"/>
  <c r="CX312" i="6" s="1"/>
  <c r="CY312" i="6" s="1"/>
  <c r="CZ312" i="6" s="1"/>
  <c r="DA312" i="6" s="1"/>
  <c r="DB312" i="6" s="1"/>
  <c r="DC312" i="6" s="1"/>
  <c r="DD312" i="6" s="1"/>
  <c r="DE312" i="6" s="1"/>
  <c r="O252" i="6"/>
  <c r="P252" i="6" s="1"/>
  <c r="Q252" i="6" s="1"/>
  <c r="R252" i="6" s="1"/>
  <c r="S252" i="6" s="1"/>
  <c r="T252" i="6" s="1"/>
  <c r="U252" i="6" s="1"/>
  <c r="V252" i="6" s="1"/>
  <c r="W252" i="6" s="1"/>
  <c r="X252" i="6" s="1"/>
  <c r="Y252" i="6" s="1"/>
  <c r="Z252" i="6" s="1"/>
  <c r="AA252" i="6" s="1"/>
  <c r="AB252" i="6" s="1"/>
  <c r="AC252" i="6" s="1"/>
  <c r="AD252" i="6" s="1"/>
  <c r="AE252" i="6" s="1"/>
  <c r="AF252" i="6" s="1"/>
  <c r="AG252" i="6" s="1"/>
  <c r="AH252" i="6" s="1"/>
  <c r="AI252" i="6" s="1"/>
  <c r="AJ252" i="6" s="1"/>
  <c r="AK252" i="6" s="1"/>
  <c r="AL252" i="6" s="1"/>
  <c r="AM252" i="6" s="1"/>
  <c r="AN252" i="6" s="1"/>
  <c r="AO252" i="6" s="1"/>
  <c r="AP252" i="6" s="1"/>
  <c r="AQ252" i="6" s="1"/>
  <c r="AR252" i="6" s="1"/>
  <c r="AS252" i="6" s="1"/>
  <c r="AT252" i="6" s="1"/>
  <c r="AU252" i="6" s="1"/>
  <c r="AV252" i="6" s="1"/>
  <c r="AW252" i="6" s="1"/>
  <c r="AX252" i="6" s="1"/>
  <c r="AY252" i="6" s="1"/>
  <c r="AZ252" i="6" s="1"/>
  <c r="BA252" i="6" s="1"/>
  <c r="BB252" i="6" s="1"/>
  <c r="BC252" i="6" s="1"/>
  <c r="BD252" i="6" s="1"/>
  <c r="BE252" i="6" s="1"/>
  <c r="BF252" i="6" s="1"/>
  <c r="BG252" i="6" s="1"/>
  <c r="BH252" i="6" s="1"/>
  <c r="BI252" i="6" s="1"/>
  <c r="BJ252" i="6" s="1"/>
  <c r="BK252" i="6" s="1"/>
  <c r="BL252" i="6" s="1"/>
  <c r="BM252" i="6" s="1"/>
  <c r="BN252" i="6" s="1"/>
  <c r="BO252" i="6" s="1"/>
  <c r="BP252" i="6" s="1"/>
  <c r="BQ252" i="6" s="1"/>
  <c r="BR252" i="6" s="1"/>
  <c r="BS252" i="6" s="1"/>
  <c r="BT252" i="6" s="1"/>
  <c r="BU252" i="6" s="1"/>
  <c r="BV252" i="6" s="1"/>
  <c r="BW252" i="6" s="1"/>
  <c r="BX252" i="6" s="1"/>
  <c r="BY252" i="6" s="1"/>
  <c r="BZ252" i="6" s="1"/>
  <c r="CA252" i="6" s="1"/>
  <c r="CB252" i="6" s="1"/>
  <c r="CC252" i="6" s="1"/>
  <c r="CD252" i="6" s="1"/>
  <c r="CE252" i="6" s="1"/>
  <c r="CF252" i="6" s="1"/>
  <c r="CG252" i="6" s="1"/>
  <c r="CH252" i="6" s="1"/>
  <c r="CI252" i="6" s="1"/>
  <c r="CJ252" i="6" s="1"/>
  <c r="CK252" i="6" s="1"/>
  <c r="CL252" i="6" s="1"/>
  <c r="CM252" i="6" s="1"/>
  <c r="CN252" i="6" s="1"/>
  <c r="CO252" i="6" s="1"/>
  <c r="CP252" i="6" s="1"/>
  <c r="CQ252" i="6" s="1"/>
  <c r="CR252" i="6" s="1"/>
  <c r="CS252" i="6" s="1"/>
  <c r="CT252" i="6" s="1"/>
  <c r="CU252" i="6" s="1"/>
  <c r="CV252" i="6" s="1"/>
  <c r="CW252" i="6" s="1"/>
  <c r="CX252" i="6" s="1"/>
  <c r="CY252" i="6" s="1"/>
  <c r="CZ252" i="6" s="1"/>
  <c r="DA252" i="6" s="1"/>
  <c r="DB252" i="6" s="1"/>
  <c r="DC252" i="6" s="1"/>
  <c r="DD252" i="6" s="1"/>
  <c r="DE252" i="6" s="1"/>
  <c r="O256" i="6"/>
  <c r="P256" i="6" s="1"/>
  <c r="Q256" i="6" s="1"/>
  <c r="R256" i="6" s="1"/>
  <c r="S256" i="6" s="1"/>
  <c r="T256" i="6" s="1"/>
  <c r="U256" i="6" s="1"/>
  <c r="V256" i="6" s="1"/>
  <c r="W256" i="6" s="1"/>
  <c r="X256" i="6" s="1"/>
  <c r="Y256" i="6" s="1"/>
  <c r="Z256" i="6" s="1"/>
  <c r="AA256" i="6" s="1"/>
  <c r="AB256" i="6" s="1"/>
  <c r="AC256" i="6" s="1"/>
  <c r="AD256" i="6" s="1"/>
  <c r="AE256" i="6" s="1"/>
  <c r="AF256" i="6" s="1"/>
  <c r="AG256" i="6" s="1"/>
  <c r="AH256" i="6" s="1"/>
  <c r="AI256" i="6" s="1"/>
  <c r="AJ256" i="6" s="1"/>
  <c r="AK256" i="6" s="1"/>
  <c r="AL256" i="6" s="1"/>
  <c r="AM256" i="6" s="1"/>
  <c r="AN256" i="6" s="1"/>
  <c r="AO256" i="6" s="1"/>
  <c r="AP256" i="6" s="1"/>
  <c r="AQ256" i="6" s="1"/>
  <c r="AR256" i="6" s="1"/>
  <c r="AS256" i="6" s="1"/>
  <c r="AT256" i="6" s="1"/>
  <c r="AU256" i="6" s="1"/>
  <c r="AV256" i="6" s="1"/>
  <c r="AW256" i="6" s="1"/>
  <c r="AX256" i="6" s="1"/>
  <c r="AY256" i="6" s="1"/>
  <c r="AZ256" i="6" s="1"/>
  <c r="BA256" i="6" s="1"/>
  <c r="BB256" i="6" s="1"/>
  <c r="BC256" i="6" s="1"/>
  <c r="BD256" i="6" s="1"/>
  <c r="BE256" i="6" s="1"/>
  <c r="BF256" i="6" s="1"/>
  <c r="BG256" i="6" s="1"/>
  <c r="BH256" i="6" s="1"/>
  <c r="BI256" i="6" s="1"/>
  <c r="BJ256" i="6" s="1"/>
  <c r="BK256" i="6" s="1"/>
  <c r="BL256" i="6" s="1"/>
  <c r="BM256" i="6" s="1"/>
  <c r="BN256" i="6" s="1"/>
  <c r="BO256" i="6" s="1"/>
  <c r="BP256" i="6" s="1"/>
  <c r="BQ256" i="6" s="1"/>
  <c r="BR256" i="6" s="1"/>
  <c r="BS256" i="6" s="1"/>
  <c r="BT256" i="6" s="1"/>
  <c r="BU256" i="6" s="1"/>
  <c r="BV256" i="6" s="1"/>
  <c r="BW256" i="6" s="1"/>
  <c r="BX256" i="6" s="1"/>
  <c r="BY256" i="6" s="1"/>
  <c r="BZ256" i="6" s="1"/>
  <c r="CA256" i="6" s="1"/>
  <c r="CB256" i="6" s="1"/>
  <c r="CC256" i="6" s="1"/>
  <c r="CD256" i="6" s="1"/>
  <c r="CE256" i="6" s="1"/>
  <c r="CF256" i="6" s="1"/>
  <c r="CG256" i="6" s="1"/>
  <c r="CH256" i="6" s="1"/>
  <c r="CI256" i="6" s="1"/>
  <c r="CJ256" i="6" s="1"/>
  <c r="CK256" i="6" s="1"/>
  <c r="CL256" i="6" s="1"/>
  <c r="CM256" i="6" s="1"/>
  <c r="CN256" i="6" s="1"/>
  <c r="CO256" i="6" s="1"/>
  <c r="CP256" i="6" s="1"/>
  <c r="CQ256" i="6" s="1"/>
  <c r="CR256" i="6" s="1"/>
  <c r="CS256" i="6" s="1"/>
  <c r="CT256" i="6" s="1"/>
  <c r="CU256" i="6" s="1"/>
  <c r="CV256" i="6" s="1"/>
  <c r="CW256" i="6" s="1"/>
  <c r="CX256" i="6" s="1"/>
  <c r="CY256" i="6" s="1"/>
  <c r="CZ256" i="6" s="1"/>
  <c r="DA256" i="6" s="1"/>
  <c r="DB256" i="6" s="1"/>
  <c r="DC256" i="6" s="1"/>
  <c r="DD256" i="6" s="1"/>
  <c r="DE256" i="6" s="1"/>
  <c r="S259" i="6"/>
  <c r="T259" i="6" s="1"/>
  <c r="U259" i="6" s="1"/>
  <c r="V259" i="6" s="1"/>
  <c r="W259" i="6" s="1"/>
  <c r="X259" i="6" s="1"/>
  <c r="Y259" i="6" s="1"/>
  <c r="Z259" i="6" s="1"/>
  <c r="AA259" i="6" s="1"/>
  <c r="AB259" i="6" s="1"/>
  <c r="AC259" i="6" s="1"/>
  <c r="AD259" i="6" s="1"/>
  <c r="AE259" i="6" s="1"/>
  <c r="AF259" i="6" s="1"/>
  <c r="AG259" i="6" s="1"/>
  <c r="AH259" i="6" s="1"/>
  <c r="AI259" i="6" s="1"/>
  <c r="AJ259" i="6" s="1"/>
  <c r="AK259" i="6" s="1"/>
  <c r="AL259" i="6" s="1"/>
  <c r="AM259" i="6" s="1"/>
  <c r="AN259" i="6" s="1"/>
  <c r="AO259" i="6" s="1"/>
  <c r="AP259" i="6" s="1"/>
  <c r="AQ259" i="6" s="1"/>
  <c r="AR259" i="6" s="1"/>
  <c r="AS259" i="6" s="1"/>
  <c r="AT259" i="6" s="1"/>
  <c r="AU259" i="6" s="1"/>
  <c r="AV259" i="6" s="1"/>
  <c r="AW259" i="6" s="1"/>
  <c r="AX259" i="6" s="1"/>
  <c r="AY259" i="6" s="1"/>
  <c r="AZ259" i="6" s="1"/>
  <c r="BA259" i="6" s="1"/>
  <c r="BB259" i="6" s="1"/>
  <c r="BC259" i="6" s="1"/>
  <c r="BD259" i="6" s="1"/>
  <c r="BE259" i="6" s="1"/>
  <c r="BF259" i="6" s="1"/>
  <c r="BG259" i="6" s="1"/>
  <c r="BH259" i="6" s="1"/>
  <c r="BI259" i="6" s="1"/>
  <c r="BJ259" i="6" s="1"/>
  <c r="BK259" i="6" s="1"/>
  <c r="BL259" i="6" s="1"/>
  <c r="BM259" i="6" s="1"/>
  <c r="BN259" i="6" s="1"/>
  <c r="BO259" i="6" s="1"/>
  <c r="BP259" i="6" s="1"/>
  <c r="BQ259" i="6" s="1"/>
  <c r="BR259" i="6" s="1"/>
  <c r="BS259" i="6" s="1"/>
  <c r="BT259" i="6" s="1"/>
  <c r="BU259" i="6" s="1"/>
  <c r="BV259" i="6" s="1"/>
  <c r="BW259" i="6" s="1"/>
  <c r="BX259" i="6" s="1"/>
  <c r="BY259" i="6" s="1"/>
  <c r="BZ259" i="6" s="1"/>
  <c r="CA259" i="6" s="1"/>
  <c r="CB259" i="6" s="1"/>
  <c r="CC259" i="6" s="1"/>
  <c r="CD259" i="6" s="1"/>
  <c r="CE259" i="6" s="1"/>
  <c r="CF259" i="6" s="1"/>
  <c r="CG259" i="6" s="1"/>
  <c r="CH259" i="6" s="1"/>
  <c r="CI259" i="6" s="1"/>
  <c r="CJ259" i="6" s="1"/>
  <c r="CK259" i="6" s="1"/>
  <c r="CL259" i="6" s="1"/>
  <c r="CM259" i="6" s="1"/>
  <c r="CN259" i="6" s="1"/>
  <c r="CO259" i="6" s="1"/>
  <c r="CP259" i="6" s="1"/>
  <c r="CQ259" i="6" s="1"/>
  <c r="CR259" i="6" s="1"/>
  <c r="CS259" i="6" s="1"/>
  <c r="CT259" i="6" s="1"/>
  <c r="CU259" i="6" s="1"/>
  <c r="CV259" i="6" s="1"/>
  <c r="CW259" i="6" s="1"/>
  <c r="CX259" i="6" s="1"/>
  <c r="CY259" i="6" s="1"/>
  <c r="CZ259" i="6" s="1"/>
  <c r="DA259" i="6" s="1"/>
  <c r="DB259" i="6" s="1"/>
  <c r="DC259" i="6" s="1"/>
  <c r="DD259" i="6" s="1"/>
  <c r="DE259" i="6" s="1"/>
  <c r="DF259" i="6" s="1"/>
  <c r="O179" i="6"/>
  <c r="P179" i="6" s="1"/>
  <c r="Q179" i="6" s="1"/>
  <c r="R179" i="6" s="1"/>
  <c r="S179" i="6" s="1"/>
  <c r="T179" i="6" s="1"/>
  <c r="U179" i="6" s="1"/>
  <c r="V179" i="6" s="1"/>
  <c r="W179" i="6" s="1"/>
  <c r="X179" i="6" s="1"/>
  <c r="Y179" i="6" s="1"/>
  <c r="Z179" i="6" s="1"/>
  <c r="AA179" i="6" s="1"/>
  <c r="AB179" i="6" s="1"/>
  <c r="AC179" i="6" s="1"/>
  <c r="AD179" i="6" s="1"/>
  <c r="AE179" i="6" s="1"/>
  <c r="AF179" i="6" s="1"/>
  <c r="AG179" i="6" s="1"/>
  <c r="AH179" i="6" s="1"/>
  <c r="AI179" i="6" s="1"/>
  <c r="AJ179" i="6" s="1"/>
  <c r="AK179" i="6" s="1"/>
  <c r="AL179" i="6" s="1"/>
  <c r="AM179" i="6" s="1"/>
  <c r="AN179" i="6" s="1"/>
  <c r="AO179" i="6" s="1"/>
  <c r="AP179" i="6" s="1"/>
  <c r="AQ179" i="6" s="1"/>
  <c r="AR179" i="6" s="1"/>
  <c r="AS179" i="6" s="1"/>
  <c r="AT179" i="6" s="1"/>
  <c r="AU179" i="6" s="1"/>
  <c r="AV179" i="6" s="1"/>
  <c r="AW179" i="6" s="1"/>
  <c r="AX179" i="6" s="1"/>
  <c r="AY179" i="6" s="1"/>
  <c r="AZ179" i="6" s="1"/>
  <c r="BA179" i="6" s="1"/>
  <c r="BB179" i="6" s="1"/>
  <c r="BC179" i="6" s="1"/>
  <c r="BD179" i="6" s="1"/>
  <c r="BE179" i="6" s="1"/>
  <c r="BF179" i="6" s="1"/>
  <c r="BG179" i="6" s="1"/>
  <c r="BH179" i="6" s="1"/>
  <c r="BI179" i="6" s="1"/>
  <c r="BJ179" i="6" s="1"/>
  <c r="BK179" i="6" s="1"/>
  <c r="BL179" i="6" s="1"/>
  <c r="BM179" i="6" s="1"/>
  <c r="BN179" i="6" s="1"/>
  <c r="BO179" i="6" s="1"/>
  <c r="BP179" i="6" s="1"/>
  <c r="BQ179" i="6" s="1"/>
  <c r="BR179" i="6" s="1"/>
  <c r="BS179" i="6" s="1"/>
  <c r="BT179" i="6" s="1"/>
  <c r="BU179" i="6" s="1"/>
  <c r="BV179" i="6" s="1"/>
  <c r="BW179" i="6" s="1"/>
  <c r="BX179" i="6" s="1"/>
  <c r="BY179" i="6" s="1"/>
  <c r="BZ179" i="6" s="1"/>
  <c r="CA179" i="6" s="1"/>
  <c r="CB179" i="6" s="1"/>
  <c r="CC179" i="6" s="1"/>
  <c r="CD179" i="6" s="1"/>
  <c r="CE179" i="6" s="1"/>
  <c r="CF179" i="6" s="1"/>
  <c r="CG179" i="6" s="1"/>
  <c r="CH179" i="6" s="1"/>
  <c r="CI179" i="6" s="1"/>
  <c r="CJ179" i="6" s="1"/>
  <c r="CK179" i="6" s="1"/>
  <c r="CL179" i="6" s="1"/>
  <c r="CM179" i="6" s="1"/>
  <c r="CN179" i="6" s="1"/>
  <c r="CO179" i="6" s="1"/>
  <c r="CP179" i="6" s="1"/>
  <c r="CQ179" i="6" s="1"/>
  <c r="CR179" i="6" s="1"/>
  <c r="CS179" i="6" s="1"/>
  <c r="CT179" i="6" s="1"/>
  <c r="CU179" i="6" s="1"/>
  <c r="CV179" i="6" s="1"/>
  <c r="CW179" i="6" s="1"/>
  <c r="CX179" i="6" s="1"/>
  <c r="CY179" i="6" s="1"/>
  <c r="CZ179" i="6" s="1"/>
  <c r="DA179" i="6" s="1"/>
  <c r="DB179" i="6" s="1"/>
  <c r="DC179" i="6" s="1"/>
  <c r="DD179" i="6" s="1"/>
  <c r="DE179" i="6" s="1"/>
  <c r="O305" i="6"/>
  <c r="P305" i="6" s="1"/>
  <c r="Q305" i="6" s="1"/>
  <c r="R305" i="6" s="1"/>
  <c r="S305" i="6" s="1"/>
  <c r="T305" i="6" s="1"/>
  <c r="U305" i="6" s="1"/>
  <c r="V305" i="6" s="1"/>
  <c r="W305" i="6" s="1"/>
  <c r="X305" i="6" s="1"/>
  <c r="Y305" i="6" s="1"/>
  <c r="Z305" i="6" s="1"/>
  <c r="AA305" i="6" s="1"/>
  <c r="AB305" i="6" s="1"/>
  <c r="AC305" i="6" s="1"/>
  <c r="AD305" i="6" s="1"/>
  <c r="AE305" i="6" s="1"/>
  <c r="AF305" i="6" s="1"/>
  <c r="AG305" i="6" s="1"/>
  <c r="AH305" i="6" s="1"/>
  <c r="AI305" i="6" s="1"/>
  <c r="AJ305" i="6" s="1"/>
  <c r="AK305" i="6" s="1"/>
  <c r="AL305" i="6" s="1"/>
  <c r="AM305" i="6" s="1"/>
  <c r="AN305" i="6" s="1"/>
  <c r="AO305" i="6" s="1"/>
  <c r="AP305" i="6" s="1"/>
  <c r="AQ305" i="6" s="1"/>
  <c r="AR305" i="6" s="1"/>
  <c r="AS305" i="6" s="1"/>
  <c r="AT305" i="6" s="1"/>
  <c r="AU305" i="6" s="1"/>
  <c r="AV305" i="6" s="1"/>
  <c r="AW305" i="6" s="1"/>
  <c r="AX305" i="6" s="1"/>
  <c r="AY305" i="6" s="1"/>
  <c r="AZ305" i="6" s="1"/>
  <c r="BA305" i="6" s="1"/>
  <c r="BB305" i="6" s="1"/>
  <c r="BC305" i="6" s="1"/>
  <c r="BD305" i="6" s="1"/>
  <c r="BE305" i="6" s="1"/>
  <c r="BF305" i="6" s="1"/>
  <c r="BG305" i="6" s="1"/>
  <c r="BH305" i="6" s="1"/>
  <c r="BI305" i="6" s="1"/>
  <c r="BJ305" i="6" s="1"/>
  <c r="BK305" i="6" s="1"/>
  <c r="BL305" i="6" s="1"/>
  <c r="BM305" i="6" s="1"/>
  <c r="BN305" i="6" s="1"/>
  <c r="BO305" i="6" s="1"/>
  <c r="BP305" i="6" s="1"/>
  <c r="BQ305" i="6" s="1"/>
  <c r="BR305" i="6" s="1"/>
  <c r="BS305" i="6" s="1"/>
  <c r="BT305" i="6" s="1"/>
  <c r="BU305" i="6" s="1"/>
  <c r="BV305" i="6" s="1"/>
  <c r="BW305" i="6" s="1"/>
  <c r="BX305" i="6" s="1"/>
  <c r="BY305" i="6" s="1"/>
  <c r="BZ305" i="6" s="1"/>
  <c r="CA305" i="6" s="1"/>
  <c r="CB305" i="6" s="1"/>
  <c r="CC305" i="6" s="1"/>
  <c r="CD305" i="6" s="1"/>
  <c r="CE305" i="6" s="1"/>
  <c r="CF305" i="6" s="1"/>
  <c r="CG305" i="6" s="1"/>
  <c r="CH305" i="6" s="1"/>
  <c r="CI305" i="6" s="1"/>
  <c r="CJ305" i="6" s="1"/>
  <c r="CK305" i="6" s="1"/>
  <c r="CL305" i="6" s="1"/>
  <c r="CM305" i="6" s="1"/>
  <c r="CN305" i="6" s="1"/>
  <c r="CO305" i="6" s="1"/>
  <c r="CP305" i="6" s="1"/>
  <c r="CQ305" i="6" s="1"/>
  <c r="CR305" i="6" s="1"/>
  <c r="CS305" i="6" s="1"/>
  <c r="CT305" i="6" s="1"/>
  <c r="CU305" i="6" s="1"/>
  <c r="CV305" i="6" s="1"/>
  <c r="CW305" i="6" s="1"/>
  <c r="CX305" i="6" s="1"/>
  <c r="CY305" i="6" s="1"/>
  <c r="CZ305" i="6" s="1"/>
  <c r="DA305" i="6" s="1"/>
  <c r="DB305" i="6" s="1"/>
  <c r="DC305" i="6" s="1"/>
  <c r="DD305" i="6" s="1"/>
  <c r="DE305" i="6" s="1"/>
  <c r="DF305" i="6" s="1"/>
  <c r="O170" i="6"/>
  <c r="P170" i="6" s="1"/>
  <c r="Q170" i="6" s="1"/>
  <c r="R170" i="6" s="1"/>
  <c r="S170" i="6" s="1"/>
  <c r="T170" i="6" s="1"/>
  <c r="U170" i="6" s="1"/>
  <c r="V170" i="6" s="1"/>
  <c r="W170" i="6" s="1"/>
  <c r="X170" i="6" s="1"/>
  <c r="Y170" i="6" s="1"/>
  <c r="Z170" i="6" s="1"/>
  <c r="AA170" i="6" s="1"/>
  <c r="AB170" i="6" s="1"/>
  <c r="AC170" i="6" s="1"/>
  <c r="AD170" i="6" s="1"/>
  <c r="AE170" i="6" s="1"/>
  <c r="AF170" i="6" s="1"/>
  <c r="AG170" i="6" s="1"/>
  <c r="AH170" i="6" s="1"/>
  <c r="AI170" i="6" s="1"/>
  <c r="AJ170" i="6" s="1"/>
  <c r="AK170" i="6" s="1"/>
  <c r="AL170" i="6" s="1"/>
  <c r="AM170" i="6" s="1"/>
  <c r="AN170" i="6" s="1"/>
  <c r="AO170" i="6" s="1"/>
  <c r="AP170" i="6" s="1"/>
  <c r="AQ170" i="6" s="1"/>
  <c r="AR170" i="6" s="1"/>
  <c r="AS170" i="6" s="1"/>
  <c r="AT170" i="6" s="1"/>
  <c r="AU170" i="6" s="1"/>
  <c r="AV170" i="6" s="1"/>
  <c r="AW170" i="6" s="1"/>
  <c r="AX170" i="6" s="1"/>
  <c r="AY170" i="6" s="1"/>
  <c r="AZ170" i="6" s="1"/>
  <c r="BA170" i="6" s="1"/>
  <c r="BB170" i="6" s="1"/>
  <c r="BC170" i="6" s="1"/>
  <c r="BD170" i="6" s="1"/>
  <c r="BE170" i="6" s="1"/>
  <c r="BF170" i="6" s="1"/>
  <c r="BG170" i="6" s="1"/>
  <c r="BH170" i="6" s="1"/>
  <c r="BI170" i="6" s="1"/>
  <c r="BJ170" i="6" s="1"/>
  <c r="BK170" i="6" s="1"/>
  <c r="BL170" i="6" s="1"/>
  <c r="BM170" i="6" s="1"/>
  <c r="BN170" i="6" s="1"/>
  <c r="BO170" i="6" s="1"/>
  <c r="BP170" i="6" s="1"/>
  <c r="BQ170" i="6" s="1"/>
  <c r="BR170" i="6" s="1"/>
  <c r="BS170" i="6" s="1"/>
  <c r="BT170" i="6" s="1"/>
  <c r="BU170" i="6" s="1"/>
  <c r="BV170" i="6" s="1"/>
  <c r="BW170" i="6" s="1"/>
  <c r="BX170" i="6" s="1"/>
  <c r="BY170" i="6" s="1"/>
  <c r="BZ170" i="6" s="1"/>
  <c r="CA170" i="6" s="1"/>
  <c r="CB170" i="6" s="1"/>
  <c r="CC170" i="6" s="1"/>
  <c r="CD170" i="6" s="1"/>
  <c r="CE170" i="6" s="1"/>
  <c r="CF170" i="6" s="1"/>
  <c r="CG170" i="6" s="1"/>
  <c r="CH170" i="6" s="1"/>
  <c r="CI170" i="6" s="1"/>
  <c r="CJ170" i="6" s="1"/>
  <c r="CK170" i="6" s="1"/>
  <c r="CL170" i="6" s="1"/>
  <c r="CM170" i="6" s="1"/>
  <c r="CN170" i="6" s="1"/>
  <c r="CO170" i="6" s="1"/>
  <c r="CP170" i="6" s="1"/>
  <c r="CQ170" i="6" s="1"/>
  <c r="CR170" i="6" s="1"/>
  <c r="CS170" i="6" s="1"/>
  <c r="CT170" i="6" s="1"/>
  <c r="CU170" i="6" s="1"/>
  <c r="CV170" i="6" s="1"/>
  <c r="CW170" i="6" s="1"/>
  <c r="CX170" i="6" s="1"/>
  <c r="CY170" i="6" s="1"/>
  <c r="CZ170" i="6" s="1"/>
  <c r="DA170" i="6" s="1"/>
  <c r="DB170" i="6" s="1"/>
  <c r="DC170" i="6" s="1"/>
  <c r="DD170" i="6" s="1"/>
  <c r="DE170" i="6" s="1"/>
  <c r="S342" i="6"/>
  <c r="T342" i="6" s="1"/>
  <c r="U342" i="6" s="1"/>
  <c r="V342" i="6" s="1"/>
  <c r="W342" i="6" s="1"/>
  <c r="X342" i="6" s="1"/>
  <c r="Y342" i="6" s="1"/>
  <c r="Z342" i="6" s="1"/>
  <c r="AA342" i="6" s="1"/>
  <c r="AB342" i="6" s="1"/>
  <c r="AC342" i="6" s="1"/>
  <c r="AD342" i="6" s="1"/>
  <c r="AE342" i="6" s="1"/>
  <c r="AF342" i="6" s="1"/>
  <c r="AG342" i="6" s="1"/>
  <c r="AH342" i="6" s="1"/>
  <c r="AI342" i="6" s="1"/>
  <c r="AJ342" i="6" s="1"/>
  <c r="AK342" i="6" s="1"/>
  <c r="AL342" i="6" s="1"/>
  <c r="AM342" i="6" s="1"/>
  <c r="AN342" i="6" s="1"/>
  <c r="AO342" i="6" s="1"/>
  <c r="AP342" i="6" s="1"/>
  <c r="AQ342" i="6" s="1"/>
  <c r="AR342" i="6" s="1"/>
  <c r="AS342" i="6" s="1"/>
  <c r="AT342" i="6" s="1"/>
  <c r="AU342" i="6" s="1"/>
  <c r="AV342" i="6" s="1"/>
  <c r="AW342" i="6" s="1"/>
  <c r="AX342" i="6" s="1"/>
  <c r="AY342" i="6" s="1"/>
  <c r="AZ342" i="6" s="1"/>
  <c r="BA342" i="6" s="1"/>
  <c r="BB342" i="6" s="1"/>
  <c r="BC342" i="6" s="1"/>
  <c r="BD342" i="6" s="1"/>
  <c r="BE342" i="6" s="1"/>
  <c r="BF342" i="6" s="1"/>
  <c r="BG342" i="6" s="1"/>
  <c r="BH342" i="6" s="1"/>
  <c r="BI342" i="6" s="1"/>
  <c r="BJ342" i="6" s="1"/>
  <c r="BK342" i="6" s="1"/>
  <c r="BL342" i="6" s="1"/>
  <c r="BM342" i="6" s="1"/>
  <c r="BN342" i="6" s="1"/>
  <c r="BO342" i="6" s="1"/>
  <c r="BP342" i="6" s="1"/>
  <c r="BQ342" i="6" s="1"/>
  <c r="BR342" i="6" s="1"/>
  <c r="BS342" i="6" s="1"/>
  <c r="BT342" i="6" s="1"/>
  <c r="BU342" i="6" s="1"/>
  <c r="BV342" i="6" s="1"/>
  <c r="BW342" i="6" s="1"/>
  <c r="BX342" i="6" s="1"/>
  <c r="BY342" i="6" s="1"/>
  <c r="BZ342" i="6" s="1"/>
  <c r="CA342" i="6" s="1"/>
  <c r="CB342" i="6" s="1"/>
  <c r="CC342" i="6" s="1"/>
  <c r="CD342" i="6" s="1"/>
  <c r="CE342" i="6" s="1"/>
  <c r="CF342" i="6" s="1"/>
  <c r="CG342" i="6" s="1"/>
  <c r="CH342" i="6" s="1"/>
  <c r="CI342" i="6" s="1"/>
  <c r="CJ342" i="6" s="1"/>
  <c r="CK342" i="6" s="1"/>
  <c r="CL342" i="6" s="1"/>
  <c r="CM342" i="6" s="1"/>
  <c r="CN342" i="6" s="1"/>
  <c r="CO342" i="6" s="1"/>
  <c r="CP342" i="6" s="1"/>
  <c r="CQ342" i="6" s="1"/>
  <c r="CR342" i="6" s="1"/>
  <c r="CS342" i="6" s="1"/>
  <c r="CT342" i="6" s="1"/>
  <c r="CU342" i="6" s="1"/>
  <c r="CV342" i="6" s="1"/>
  <c r="CW342" i="6" s="1"/>
  <c r="CX342" i="6" s="1"/>
  <c r="CY342" i="6" s="1"/>
  <c r="CZ342" i="6" s="1"/>
  <c r="DA342" i="6" s="1"/>
  <c r="DB342" i="6" s="1"/>
  <c r="DC342" i="6" s="1"/>
  <c r="DD342" i="6" s="1"/>
  <c r="DE342" i="6" s="1"/>
  <c r="DF342" i="6" s="1"/>
  <c r="S172" i="6"/>
  <c r="T172" i="6" s="1"/>
  <c r="U172" i="6" s="1"/>
  <c r="V172" i="6" s="1"/>
  <c r="W172" i="6" s="1"/>
  <c r="X172" i="6" s="1"/>
  <c r="Y172" i="6" s="1"/>
  <c r="Z172" i="6" s="1"/>
  <c r="AA172" i="6" s="1"/>
  <c r="AB172" i="6" s="1"/>
  <c r="AC172" i="6" s="1"/>
  <c r="AD172" i="6" s="1"/>
  <c r="AE172" i="6" s="1"/>
  <c r="AF172" i="6" s="1"/>
  <c r="AG172" i="6" s="1"/>
  <c r="AH172" i="6" s="1"/>
  <c r="AI172" i="6" s="1"/>
  <c r="AJ172" i="6" s="1"/>
  <c r="AK172" i="6" s="1"/>
  <c r="AL172" i="6" s="1"/>
  <c r="AM172" i="6" s="1"/>
  <c r="AN172" i="6" s="1"/>
  <c r="AO172" i="6" s="1"/>
  <c r="AP172" i="6" s="1"/>
  <c r="AQ172" i="6" s="1"/>
  <c r="AR172" i="6" s="1"/>
  <c r="AS172" i="6" s="1"/>
  <c r="AT172" i="6" s="1"/>
  <c r="AU172" i="6" s="1"/>
  <c r="AV172" i="6" s="1"/>
  <c r="AW172" i="6" s="1"/>
  <c r="AX172" i="6" s="1"/>
  <c r="AY172" i="6" s="1"/>
  <c r="AZ172" i="6" s="1"/>
  <c r="BA172" i="6" s="1"/>
  <c r="BB172" i="6" s="1"/>
  <c r="BC172" i="6" s="1"/>
  <c r="BD172" i="6" s="1"/>
  <c r="BE172" i="6" s="1"/>
  <c r="BF172" i="6" s="1"/>
  <c r="BG172" i="6" s="1"/>
  <c r="BH172" i="6" s="1"/>
  <c r="BI172" i="6" s="1"/>
  <c r="BJ172" i="6" s="1"/>
  <c r="BK172" i="6" s="1"/>
  <c r="BL172" i="6" s="1"/>
  <c r="BM172" i="6" s="1"/>
  <c r="BN172" i="6" s="1"/>
  <c r="BO172" i="6" s="1"/>
  <c r="BP172" i="6" s="1"/>
  <c r="BQ172" i="6" s="1"/>
  <c r="BR172" i="6" s="1"/>
  <c r="BS172" i="6" s="1"/>
  <c r="BT172" i="6" s="1"/>
  <c r="BU172" i="6" s="1"/>
  <c r="BV172" i="6" s="1"/>
  <c r="BW172" i="6" s="1"/>
  <c r="BX172" i="6" s="1"/>
  <c r="BY172" i="6" s="1"/>
  <c r="BZ172" i="6" s="1"/>
  <c r="CA172" i="6" s="1"/>
  <c r="CB172" i="6" s="1"/>
  <c r="CC172" i="6" s="1"/>
  <c r="CD172" i="6" s="1"/>
  <c r="CE172" i="6" s="1"/>
  <c r="CF172" i="6" s="1"/>
  <c r="CG172" i="6" s="1"/>
  <c r="CH172" i="6" s="1"/>
  <c r="CI172" i="6" s="1"/>
  <c r="CJ172" i="6" s="1"/>
  <c r="CK172" i="6" s="1"/>
  <c r="CL172" i="6" s="1"/>
  <c r="CM172" i="6" s="1"/>
  <c r="CN172" i="6" s="1"/>
  <c r="CO172" i="6" s="1"/>
  <c r="CP172" i="6" s="1"/>
  <c r="CQ172" i="6" s="1"/>
  <c r="CR172" i="6" s="1"/>
  <c r="CS172" i="6" s="1"/>
  <c r="CT172" i="6" s="1"/>
  <c r="CU172" i="6" s="1"/>
  <c r="CV172" i="6" s="1"/>
  <c r="CW172" i="6" s="1"/>
  <c r="CX172" i="6" s="1"/>
  <c r="CY172" i="6" s="1"/>
  <c r="CZ172" i="6" s="1"/>
  <c r="DA172" i="6" s="1"/>
  <c r="DB172" i="6" s="1"/>
  <c r="DC172" i="6" s="1"/>
  <c r="DD172" i="6" s="1"/>
  <c r="DE172" i="6" s="1"/>
  <c r="W326" i="6"/>
  <c r="X326" i="6" s="1"/>
  <c r="Y326" i="6" s="1"/>
  <c r="Z326" i="6" s="1"/>
  <c r="AA326" i="6" s="1"/>
  <c r="AB326" i="6" s="1"/>
  <c r="AC326" i="6" s="1"/>
  <c r="AD326" i="6" s="1"/>
  <c r="AE326" i="6" s="1"/>
  <c r="AF326" i="6" s="1"/>
  <c r="AG326" i="6" s="1"/>
  <c r="AH326" i="6" s="1"/>
  <c r="AI326" i="6" s="1"/>
  <c r="AJ326" i="6" s="1"/>
  <c r="AK326" i="6" s="1"/>
  <c r="AL326" i="6" s="1"/>
  <c r="AM326" i="6" s="1"/>
  <c r="AN326" i="6" s="1"/>
  <c r="AO326" i="6" s="1"/>
  <c r="AP326" i="6" s="1"/>
  <c r="AQ326" i="6" s="1"/>
  <c r="AR326" i="6" s="1"/>
  <c r="AS326" i="6" s="1"/>
  <c r="AT326" i="6" s="1"/>
  <c r="AU326" i="6" s="1"/>
  <c r="AV326" i="6" s="1"/>
  <c r="AW326" i="6" s="1"/>
  <c r="AX326" i="6" s="1"/>
  <c r="AY326" i="6" s="1"/>
  <c r="AZ326" i="6" s="1"/>
  <c r="BA326" i="6" s="1"/>
  <c r="BB326" i="6" s="1"/>
  <c r="BC326" i="6" s="1"/>
  <c r="BD326" i="6" s="1"/>
  <c r="BE326" i="6" s="1"/>
  <c r="BF326" i="6" s="1"/>
  <c r="BG326" i="6" s="1"/>
  <c r="BH326" i="6" s="1"/>
  <c r="BI326" i="6" s="1"/>
  <c r="BJ326" i="6" s="1"/>
  <c r="BK326" i="6" s="1"/>
  <c r="BL326" i="6" s="1"/>
  <c r="BM326" i="6" s="1"/>
  <c r="BN326" i="6" s="1"/>
  <c r="BO326" i="6" s="1"/>
  <c r="BP326" i="6" s="1"/>
  <c r="BQ326" i="6" s="1"/>
  <c r="BR326" i="6" s="1"/>
  <c r="BS326" i="6" s="1"/>
  <c r="BT326" i="6" s="1"/>
  <c r="BU326" i="6" s="1"/>
  <c r="BV326" i="6" s="1"/>
  <c r="BW326" i="6" s="1"/>
  <c r="BX326" i="6" s="1"/>
  <c r="BY326" i="6" s="1"/>
  <c r="BZ326" i="6" s="1"/>
  <c r="CA326" i="6" s="1"/>
  <c r="CB326" i="6" s="1"/>
  <c r="CC326" i="6" s="1"/>
  <c r="CD326" i="6" s="1"/>
  <c r="CE326" i="6" s="1"/>
  <c r="CF326" i="6" s="1"/>
  <c r="CG326" i="6" s="1"/>
  <c r="CH326" i="6" s="1"/>
  <c r="CI326" i="6" s="1"/>
  <c r="CJ326" i="6" s="1"/>
  <c r="CK326" i="6" s="1"/>
  <c r="CL326" i="6" s="1"/>
  <c r="CM326" i="6" s="1"/>
  <c r="CN326" i="6" s="1"/>
  <c r="CO326" i="6" s="1"/>
  <c r="CP326" i="6" s="1"/>
  <c r="CQ326" i="6" s="1"/>
  <c r="CR326" i="6" s="1"/>
  <c r="CS326" i="6" s="1"/>
  <c r="CT326" i="6" s="1"/>
  <c r="CU326" i="6" s="1"/>
  <c r="CV326" i="6" s="1"/>
  <c r="CW326" i="6" s="1"/>
  <c r="CX326" i="6" s="1"/>
  <c r="CY326" i="6" s="1"/>
  <c r="CZ326" i="6" s="1"/>
  <c r="DA326" i="6" s="1"/>
  <c r="DB326" i="6" s="1"/>
  <c r="DC326" i="6" s="1"/>
  <c r="DD326" i="6" s="1"/>
  <c r="DE326" i="6" s="1"/>
  <c r="DF326" i="6" s="1"/>
  <c r="W338" i="6"/>
  <c r="X338" i="6" s="1"/>
  <c r="Y338" i="6" s="1"/>
  <c r="Z338" i="6" s="1"/>
  <c r="AA338" i="6" s="1"/>
  <c r="AB338" i="6" s="1"/>
  <c r="AC338" i="6" s="1"/>
  <c r="AD338" i="6" s="1"/>
  <c r="AE338" i="6" s="1"/>
  <c r="AF338" i="6" s="1"/>
  <c r="AG338" i="6" s="1"/>
  <c r="AH338" i="6" s="1"/>
  <c r="AI338" i="6" s="1"/>
  <c r="AJ338" i="6" s="1"/>
  <c r="AK338" i="6" s="1"/>
  <c r="AL338" i="6" s="1"/>
  <c r="AM338" i="6" s="1"/>
  <c r="AN338" i="6" s="1"/>
  <c r="AO338" i="6" s="1"/>
  <c r="AP338" i="6" s="1"/>
  <c r="AQ338" i="6" s="1"/>
  <c r="AR338" i="6" s="1"/>
  <c r="AS338" i="6" s="1"/>
  <c r="AT338" i="6" s="1"/>
  <c r="AU338" i="6" s="1"/>
  <c r="AV338" i="6" s="1"/>
  <c r="AW338" i="6" s="1"/>
  <c r="AX338" i="6" s="1"/>
  <c r="AY338" i="6" s="1"/>
  <c r="AZ338" i="6" s="1"/>
  <c r="BA338" i="6" s="1"/>
  <c r="BB338" i="6" s="1"/>
  <c r="BC338" i="6" s="1"/>
  <c r="BD338" i="6" s="1"/>
  <c r="BE338" i="6" s="1"/>
  <c r="BF338" i="6" s="1"/>
  <c r="BG338" i="6" s="1"/>
  <c r="BH338" i="6" s="1"/>
  <c r="BI338" i="6" s="1"/>
  <c r="BJ338" i="6" s="1"/>
  <c r="BK338" i="6" s="1"/>
  <c r="BL338" i="6" s="1"/>
  <c r="BM338" i="6" s="1"/>
  <c r="BN338" i="6" s="1"/>
  <c r="BO338" i="6" s="1"/>
  <c r="BP338" i="6" s="1"/>
  <c r="BQ338" i="6" s="1"/>
  <c r="BR338" i="6" s="1"/>
  <c r="BS338" i="6" s="1"/>
  <c r="BT338" i="6" s="1"/>
  <c r="BU338" i="6" s="1"/>
  <c r="BV338" i="6" s="1"/>
  <c r="BW338" i="6" s="1"/>
  <c r="BX338" i="6" s="1"/>
  <c r="BY338" i="6" s="1"/>
  <c r="BZ338" i="6" s="1"/>
  <c r="CA338" i="6" s="1"/>
  <c r="CB338" i="6" s="1"/>
  <c r="CC338" i="6" s="1"/>
  <c r="CD338" i="6" s="1"/>
  <c r="CE338" i="6" s="1"/>
  <c r="CF338" i="6" s="1"/>
  <c r="CG338" i="6" s="1"/>
  <c r="CH338" i="6" s="1"/>
  <c r="CI338" i="6" s="1"/>
  <c r="CJ338" i="6" s="1"/>
  <c r="CK338" i="6" s="1"/>
  <c r="CL338" i="6" s="1"/>
  <c r="CM338" i="6" s="1"/>
  <c r="CN338" i="6" s="1"/>
  <c r="CO338" i="6" s="1"/>
  <c r="CP338" i="6" s="1"/>
  <c r="CQ338" i="6" s="1"/>
  <c r="CR338" i="6" s="1"/>
  <c r="CS338" i="6" s="1"/>
  <c r="CT338" i="6" s="1"/>
  <c r="CU338" i="6" s="1"/>
  <c r="CV338" i="6" s="1"/>
  <c r="CW338" i="6" s="1"/>
  <c r="CX338" i="6" s="1"/>
  <c r="CY338" i="6" s="1"/>
  <c r="CZ338" i="6" s="1"/>
  <c r="DA338" i="6" s="1"/>
  <c r="DB338" i="6" s="1"/>
  <c r="DC338" i="6" s="1"/>
  <c r="DD338" i="6" s="1"/>
  <c r="DE338" i="6" s="1"/>
  <c r="DF338" i="6" s="1"/>
  <c r="S328" i="6"/>
  <c r="T328" i="6" s="1"/>
  <c r="U328" i="6" s="1"/>
  <c r="V328" i="6" s="1"/>
  <c r="W328" i="6" s="1"/>
  <c r="X328" i="6" s="1"/>
  <c r="Y328" i="6" s="1"/>
  <c r="Z328" i="6" s="1"/>
  <c r="AA328" i="6" s="1"/>
  <c r="AB328" i="6" s="1"/>
  <c r="AC328" i="6" s="1"/>
  <c r="AD328" i="6" s="1"/>
  <c r="AE328" i="6" s="1"/>
  <c r="AF328" i="6" s="1"/>
  <c r="AG328" i="6" s="1"/>
  <c r="AH328" i="6" s="1"/>
  <c r="AI328" i="6" s="1"/>
  <c r="AJ328" i="6" s="1"/>
  <c r="AK328" i="6" s="1"/>
  <c r="AL328" i="6" s="1"/>
  <c r="AM328" i="6" s="1"/>
  <c r="AN328" i="6" s="1"/>
  <c r="AO328" i="6" s="1"/>
  <c r="AP328" i="6" s="1"/>
  <c r="AQ328" i="6" s="1"/>
  <c r="AR328" i="6" s="1"/>
  <c r="AS328" i="6" s="1"/>
  <c r="AT328" i="6" s="1"/>
  <c r="AU328" i="6" s="1"/>
  <c r="AV328" i="6" s="1"/>
  <c r="AW328" i="6" s="1"/>
  <c r="AX328" i="6" s="1"/>
  <c r="AY328" i="6" s="1"/>
  <c r="AZ328" i="6" s="1"/>
  <c r="BA328" i="6" s="1"/>
  <c r="BB328" i="6" s="1"/>
  <c r="BC328" i="6" s="1"/>
  <c r="BD328" i="6" s="1"/>
  <c r="BE328" i="6" s="1"/>
  <c r="BF328" i="6" s="1"/>
  <c r="BG328" i="6" s="1"/>
  <c r="BH328" i="6" s="1"/>
  <c r="BI328" i="6" s="1"/>
  <c r="BJ328" i="6" s="1"/>
  <c r="BK328" i="6" s="1"/>
  <c r="BL328" i="6" s="1"/>
  <c r="BM328" i="6" s="1"/>
  <c r="BN328" i="6" s="1"/>
  <c r="BO328" i="6" s="1"/>
  <c r="BP328" i="6" s="1"/>
  <c r="BQ328" i="6" s="1"/>
  <c r="BR328" i="6" s="1"/>
  <c r="BS328" i="6" s="1"/>
  <c r="BT328" i="6" s="1"/>
  <c r="BU328" i="6" s="1"/>
  <c r="BV328" i="6" s="1"/>
  <c r="BW328" i="6" s="1"/>
  <c r="BX328" i="6" s="1"/>
  <c r="BY328" i="6" s="1"/>
  <c r="BZ328" i="6" s="1"/>
  <c r="CA328" i="6" s="1"/>
  <c r="CB328" i="6" s="1"/>
  <c r="CC328" i="6" s="1"/>
  <c r="CD328" i="6" s="1"/>
  <c r="CE328" i="6" s="1"/>
  <c r="CF328" i="6" s="1"/>
  <c r="CG328" i="6" s="1"/>
  <c r="CH328" i="6" s="1"/>
  <c r="CI328" i="6" s="1"/>
  <c r="CJ328" i="6" s="1"/>
  <c r="CK328" i="6" s="1"/>
  <c r="CL328" i="6" s="1"/>
  <c r="CM328" i="6" s="1"/>
  <c r="CN328" i="6" s="1"/>
  <c r="CO328" i="6" s="1"/>
  <c r="CP328" i="6" s="1"/>
  <c r="CQ328" i="6" s="1"/>
  <c r="CR328" i="6" s="1"/>
  <c r="CS328" i="6" s="1"/>
  <c r="CT328" i="6" s="1"/>
  <c r="CU328" i="6" s="1"/>
  <c r="CV328" i="6" s="1"/>
  <c r="CW328" i="6" s="1"/>
  <c r="CX328" i="6" s="1"/>
  <c r="CY328" i="6" s="1"/>
  <c r="CZ328" i="6" s="1"/>
  <c r="DA328" i="6" s="1"/>
  <c r="DB328" i="6" s="1"/>
  <c r="DC328" i="6" s="1"/>
  <c r="DD328" i="6" s="1"/>
  <c r="DE328" i="6" s="1"/>
  <c r="O336" i="6"/>
  <c r="P336" i="6" s="1"/>
  <c r="Q336" i="6" s="1"/>
  <c r="R336" i="6" s="1"/>
  <c r="S336" i="6" s="1"/>
  <c r="T336" i="6" s="1"/>
  <c r="U336" i="6" s="1"/>
  <c r="V336" i="6" s="1"/>
  <c r="W336" i="6" s="1"/>
  <c r="X336" i="6" s="1"/>
  <c r="Y336" i="6" s="1"/>
  <c r="Z336" i="6" s="1"/>
  <c r="AA336" i="6" s="1"/>
  <c r="AB336" i="6" s="1"/>
  <c r="AC336" i="6" s="1"/>
  <c r="AD336" i="6" s="1"/>
  <c r="AE336" i="6" s="1"/>
  <c r="AF336" i="6" s="1"/>
  <c r="AG336" i="6" s="1"/>
  <c r="AH336" i="6" s="1"/>
  <c r="AI336" i="6" s="1"/>
  <c r="AJ336" i="6" s="1"/>
  <c r="AK336" i="6" s="1"/>
  <c r="AL336" i="6" s="1"/>
  <c r="AM336" i="6" s="1"/>
  <c r="AN336" i="6" s="1"/>
  <c r="AO336" i="6" s="1"/>
  <c r="AP336" i="6" s="1"/>
  <c r="AQ336" i="6" s="1"/>
  <c r="AR336" i="6" s="1"/>
  <c r="AS336" i="6" s="1"/>
  <c r="AT336" i="6" s="1"/>
  <c r="AU336" i="6" s="1"/>
  <c r="AV336" i="6" s="1"/>
  <c r="AW336" i="6" s="1"/>
  <c r="AX336" i="6" s="1"/>
  <c r="AY336" i="6" s="1"/>
  <c r="AZ336" i="6" s="1"/>
  <c r="BA336" i="6" s="1"/>
  <c r="BB336" i="6" s="1"/>
  <c r="BC336" i="6" s="1"/>
  <c r="BD336" i="6" s="1"/>
  <c r="BE336" i="6" s="1"/>
  <c r="BF336" i="6" s="1"/>
  <c r="BG336" i="6" s="1"/>
  <c r="BH336" i="6" s="1"/>
  <c r="BI336" i="6" s="1"/>
  <c r="BJ336" i="6" s="1"/>
  <c r="BK336" i="6" s="1"/>
  <c r="BL336" i="6" s="1"/>
  <c r="BM336" i="6" s="1"/>
  <c r="BN336" i="6" s="1"/>
  <c r="BO336" i="6" s="1"/>
  <c r="BP336" i="6" s="1"/>
  <c r="BQ336" i="6" s="1"/>
  <c r="BR336" i="6" s="1"/>
  <c r="BS336" i="6" s="1"/>
  <c r="BT336" i="6" s="1"/>
  <c r="BU336" i="6" s="1"/>
  <c r="BV336" i="6" s="1"/>
  <c r="BW336" i="6" s="1"/>
  <c r="BX336" i="6" s="1"/>
  <c r="BY336" i="6" s="1"/>
  <c r="BZ336" i="6" s="1"/>
  <c r="CA336" i="6" s="1"/>
  <c r="CB336" i="6" s="1"/>
  <c r="CC336" i="6" s="1"/>
  <c r="CD336" i="6" s="1"/>
  <c r="CE336" i="6" s="1"/>
  <c r="CF336" i="6" s="1"/>
  <c r="CG336" i="6" s="1"/>
  <c r="CH336" i="6" s="1"/>
  <c r="CI336" i="6" s="1"/>
  <c r="CJ336" i="6" s="1"/>
  <c r="CK336" i="6" s="1"/>
  <c r="CL336" i="6" s="1"/>
  <c r="CM336" i="6" s="1"/>
  <c r="CN336" i="6" s="1"/>
  <c r="CO336" i="6" s="1"/>
  <c r="CP336" i="6" s="1"/>
  <c r="CQ336" i="6" s="1"/>
  <c r="CR336" i="6" s="1"/>
  <c r="CS336" i="6" s="1"/>
  <c r="CT336" i="6" s="1"/>
  <c r="CU336" i="6" s="1"/>
  <c r="CV336" i="6" s="1"/>
  <c r="CW336" i="6" s="1"/>
  <c r="CX336" i="6" s="1"/>
  <c r="CY336" i="6" s="1"/>
  <c r="CZ336" i="6" s="1"/>
  <c r="DA336" i="6" s="1"/>
  <c r="DB336" i="6" s="1"/>
  <c r="DC336" i="6" s="1"/>
  <c r="DD336" i="6" s="1"/>
  <c r="DE336" i="6" s="1"/>
  <c r="K392" i="6"/>
  <c r="L392" i="6" s="1"/>
  <c r="M392" i="6" s="1"/>
  <c r="N392" i="6" s="1"/>
  <c r="O392" i="6" s="1"/>
  <c r="P392" i="6" s="1"/>
  <c r="Q392" i="6" s="1"/>
  <c r="R392" i="6" s="1"/>
  <c r="S392" i="6" s="1"/>
  <c r="T392" i="6" s="1"/>
  <c r="U392" i="6" s="1"/>
  <c r="V392" i="6" s="1"/>
  <c r="W392" i="6" s="1"/>
  <c r="X392" i="6" s="1"/>
  <c r="Y392" i="6" s="1"/>
  <c r="Z392" i="6" s="1"/>
  <c r="AA392" i="6" s="1"/>
  <c r="AB392" i="6" s="1"/>
  <c r="AC392" i="6" s="1"/>
  <c r="AD392" i="6" s="1"/>
  <c r="AE392" i="6" s="1"/>
  <c r="AF392" i="6" s="1"/>
  <c r="AG392" i="6" s="1"/>
  <c r="AH392" i="6" s="1"/>
  <c r="AI392" i="6" s="1"/>
  <c r="AJ392" i="6" s="1"/>
  <c r="AK392" i="6" s="1"/>
  <c r="AL392" i="6" s="1"/>
  <c r="AM392" i="6" s="1"/>
  <c r="AN392" i="6" s="1"/>
  <c r="AO392" i="6" s="1"/>
  <c r="AP392" i="6" s="1"/>
  <c r="AQ392" i="6" s="1"/>
  <c r="AR392" i="6" s="1"/>
  <c r="AS392" i="6" s="1"/>
  <c r="AT392" i="6" s="1"/>
  <c r="AU392" i="6" s="1"/>
  <c r="AV392" i="6" s="1"/>
  <c r="AW392" i="6" s="1"/>
  <c r="AX392" i="6" s="1"/>
  <c r="AY392" i="6" s="1"/>
  <c r="AZ392" i="6" s="1"/>
  <c r="BA392" i="6" s="1"/>
  <c r="BB392" i="6" s="1"/>
  <c r="BC392" i="6" s="1"/>
  <c r="BD392" i="6" s="1"/>
  <c r="BE392" i="6" s="1"/>
  <c r="BF392" i="6" s="1"/>
  <c r="BG392" i="6" s="1"/>
  <c r="BH392" i="6" s="1"/>
  <c r="BI392" i="6" s="1"/>
  <c r="BJ392" i="6" s="1"/>
  <c r="BK392" i="6" s="1"/>
  <c r="BL392" i="6" s="1"/>
  <c r="BM392" i="6" s="1"/>
  <c r="BN392" i="6" s="1"/>
  <c r="BO392" i="6" s="1"/>
  <c r="BP392" i="6" s="1"/>
  <c r="BQ392" i="6" s="1"/>
  <c r="BR392" i="6" s="1"/>
  <c r="BS392" i="6" s="1"/>
  <c r="BT392" i="6" s="1"/>
  <c r="BU392" i="6" s="1"/>
  <c r="BV392" i="6" s="1"/>
  <c r="BW392" i="6" s="1"/>
  <c r="BX392" i="6" s="1"/>
  <c r="BY392" i="6" s="1"/>
  <c r="BZ392" i="6" s="1"/>
  <c r="CA392" i="6" s="1"/>
  <c r="CB392" i="6" s="1"/>
  <c r="CC392" i="6" s="1"/>
  <c r="CD392" i="6" s="1"/>
  <c r="CE392" i="6" s="1"/>
  <c r="CF392" i="6" s="1"/>
  <c r="CG392" i="6" s="1"/>
  <c r="CH392" i="6" s="1"/>
  <c r="CI392" i="6" s="1"/>
  <c r="CJ392" i="6" s="1"/>
  <c r="CK392" i="6" s="1"/>
  <c r="CL392" i="6" s="1"/>
  <c r="CM392" i="6" s="1"/>
  <c r="CN392" i="6" s="1"/>
  <c r="CO392" i="6" s="1"/>
  <c r="CP392" i="6" s="1"/>
  <c r="CQ392" i="6" s="1"/>
  <c r="CR392" i="6" s="1"/>
  <c r="CS392" i="6" s="1"/>
  <c r="CT392" i="6" s="1"/>
  <c r="CU392" i="6" s="1"/>
  <c r="CV392" i="6" s="1"/>
  <c r="CW392" i="6" s="1"/>
  <c r="CX392" i="6" s="1"/>
  <c r="CY392" i="6" s="1"/>
  <c r="CZ392" i="6" s="1"/>
  <c r="DA392" i="6" s="1"/>
  <c r="DB392" i="6" s="1"/>
  <c r="DC392" i="6" s="1"/>
  <c r="DD392" i="6" s="1"/>
  <c r="DE392" i="6" s="1"/>
  <c r="K382" i="6"/>
  <c r="L382" i="6" s="1"/>
  <c r="M382" i="6" s="1"/>
  <c r="N382" i="6" s="1"/>
  <c r="O382" i="6" s="1"/>
  <c r="P382" i="6" s="1"/>
  <c r="Q382" i="6" s="1"/>
  <c r="R382" i="6" s="1"/>
  <c r="S382" i="6" s="1"/>
  <c r="T382" i="6" s="1"/>
  <c r="U382" i="6" s="1"/>
  <c r="V382" i="6" s="1"/>
  <c r="W382" i="6" s="1"/>
  <c r="X382" i="6" s="1"/>
  <c r="Y382" i="6" s="1"/>
  <c r="Z382" i="6" s="1"/>
  <c r="AA382" i="6" s="1"/>
  <c r="AB382" i="6" s="1"/>
  <c r="AC382" i="6" s="1"/>
  <c r="AD382" i="6" s="1"/>
  <c r="AE382" i="6" s="1"/>
  <c r="AF382" i="6" s="1"/>
  <c r="AG382" i="6" s="1"/>
  <c r="AH382" i="6" s="1"/>
  <c r="AI382" i="6" s="1"/>
  <c r="AJ382" i="6" s="1"/>
  <c r="AK382" i="6" s="1"/>
  <c r="AL382" i="6" s="1"/>
  <c r="AM382" i="6" s="1"/>
  <c r="AN382" i="6" s="1"/>
  <c r="AO382" i="6" s="1"/>
  <c r="AP382" i="6" s="1"/>
  <c r="AQ382" i="6" s="1"/>
  <c r="AR382" i="6" s="1"/>
  <c r="AS382" i="6" s="1"/>
  <c r="AT382" i="6" s="1"/>
  <c r="AU382" i="6" s="1"/>
  <c r="AV382" i="6" s="1"/>
  <c r="AW382" i="6" s="1"/>
  <c r="AX382" i="6" s="1"/>
  <c r="AY382" i="6" s="1"/>
  <c r="AZ382" i="6" s="1"/>
  <c r="BA382" i="6" s="1"/>
  <c r="BB382" i="6" s="1"/>
  <c r="BC382" i="6" s="1"/>
  <c r="BD382" i="6" s="1"/>
  <c r="BE382" i="6" s="1"/>
  <c r="BF382" i="6" s="1"/>
  <c r="BG382" i="6" s="1"/>
  <c r="BH382" i="6" s="1"/>
  <c r="BI382" i="6" s="1"/>
  <c r="BJ382" i="6" s="1"/>
  <c r="BK382" i="6" s="1"/>
  <c r="BL382" i="6" s="1"/>
  <c r="BM382" i="6" s="1"/>
  <c r="BN382" i="6" s="1"/>
  <c r="BO382" i="6" s="1"/>
  <c r="BP382" i="6" s="1"/>
  <c r="BQ382" i="6" s="1"/>
  <c r="BR382" i="6" s="1"/>
  <c r="BS382" i="6" s="1"/>
  <c r="BT382" i="6" s="1"/>
  <c r="BU382" i="6" s="1"/>
  <c r="BV382" i="6" s="1"/>
  <c r="BW382" i="6" s="1"/>
  <c r="BX382" i="6" s="1"/>
  <c r="BY382" i="6" s="1"/>
  <c r="BZ382" i="6" s="1"/>
  <c r="CA382" i="6" s="1"/>
  <c r="CB382" i="6" s="1"/>
  <c r="CC382" i="6" s="1"/>
  <c r="CD382" i="6" s="1"/>
  <c r="CE382" i="6" s="1"/>
  <c r="CF382" i="6" s="1"/>
  <c r="CG382" i="6" s="1"/>
  <c r="CH382" i="6" s="1"/>
  <c r="CI382" i="6" s="1"/>
  <c r="CJ382" i="6" s="1"/>
  <c r="CK382" i="6" s="1"/>
  <c r="CL382" i="6" s="1"/>
  <c r="CM382" i="6" s="1"/>
  <c r="CN382" i="6" s="1"/>
  <c r="CO382" i="6" s="1"/>
  <c r="CP382" i="6" s="1"/>
  <c r="CQ382" i="6" s="1"/>
  <c r="CR382" i="6" s="1"/>
  <c r="CS382" i="6" s="1"/>
  <c r="CT382" i="6" s="1"/>
  <c r="CU382" i="6" s="1"/>
  <c r="CV382" i="6" s="1"/>
  <c r="CW382" i="6" s="1"/>
  <c r="CX382" i="6" s="1"/>
  <c r="CY382" i="6" s="1"/>
  <c r="CZ382" i="6" s="1"/>
  <c r="DA382" i="6" s="1"/>
  <c r="DB382" i="6" s="1"/>
  <c r="DC382" i="6" s="1"/>
  <c r="DD382" i="6" s="1"/>
  <c r="DE382" i="6" s="1"/>
  <c r="K388" i="6"/>
  <c r="L388" i="6" s="1"/>
  <c r="M388" i="6" s="1"/>
  <c r="N388" i="6" s="1"/>
  <c r="O388" i="6" s="1"/>
  <c r="P388" i="6" s="1"/>
  <c r="Q388" i="6" s="1"/>
  <c r="R388" i="6" s="1"/>
  <c r="S388" i="6" s="1"/>
  <c r="T388" i="6" s="1"/>
  <c r="U388" i="6" s="1"/>
  <c r="V388" i="6" s="1"/>
  <c r="W388" i="6" s="1"/>
  <c r="X388" i="6" s="1"/>
  <c r="Y388" i="6" s="1"/>
  <c r="Z388" i="6" s="1"/>
  <c r="AA388" i="6" s="1"/>
  <c r="AB388" i="6" s="1"/>
  <c r="AC388" i="6" s="1"/>
  <c r="AD388" i="6" s="1"/>
  <c r="AE388" i="6" s="1"/>
  <c r="AF388" i="6" s="1"/>
  <c r="AG388" i="6" s="1"/>
  <c r="AH388" i="6" s="1"/>
  <c r="AI388" i="6" s="1"/>
  <c r="AJ388" i="6" s="1"/>
  <c r="AK388" i="6" s="1"/>
  <c r="AL388" i="6" s="1"/>
  <c r="AM388" i="6" s="1"/>
  <c r="AN388" i="6" s="1"/>
  <c r="AO388" i="6" s="1"/>
  <c r="AP388" i="6" s="1"/>
  <c r="AQ388" i="6" s="1"/>
  <c r="AR388" i="6" s="1"/>
  <c r="AS388" i="6" s="1"/>
  <c r="AT388" i="6" s="1"/>
  <c r="AU388" i="6" s="1"/>
  <c r="AV388" i="6" s="1"/>
  <c r="AW388" i="6" s="1"/>
  <c r="AX388" i="6" s="1"/>
  <c r="AY388" i="6" s="1"/>
  <c r="AZ388" i="6" s="1"/>
  <c r="BA388" i="6" s="1"/>
  <c r="BB388" i="6" s="1"/>
  <c r="BC388" i="6" s="1"/>
  <c r="BD388" i="6" s="1"/>
  <c r="BE388" i="6" s="1"/>
  <c r="BF388" i="6" s="1"/>
  <c r="BG388" i="6" s="1"/>
  <c r="BH388" i="6" s="1"/>
  <c r="BI388" i="6" s="1"/>
  <c r="BJ388" i="6" s="1"/>
  <c r="BK388" i="6" s="1"/>
  <c r="BL388" i="6" s="1"/>
  <c r="BM388" i="6" s="1"/>
  <c r="BN388" i="6" s="1"/>
  <c r="BO388" i="6" s="1"/>
  <c r="BP388" i="6" s="1"/>
  <c r="BQ388" i="6" s="1"/>
  <c r="BR388" i="6" s="1"/>
  <c r="BS388" i="6" s="1"/>
  <c r="BT388" i="6" s="1"/>
  <c r="BU388" i="6" s="1"/>
  <c r="BV388" i="6" s="1"/>
  <c r="BW388" i="6" s="1"/>
  <c r="BX388" i="6" s="1"/>
  <c r="BY388" i="6" s="1"/>
  <c r="BZ388" i="6" s="1"/>
  <c r="CA388" i="6" s="1"/>
  <c r="CB388" i="6" s="1"/>
  <c r="CC388" i="6" s="1"/>
  <c r="CD388" i="6" s="1"/>
  <c r="CE388" i="6" s="1"/>
  <c r="CF388" i="6" s="1"/>
  <c r="CG388" i="6" s="1"/>
  <c r="CH388" i="6" s="1"/>
  <c r="CI388" i="6" s="1"/>
  <c r="CJ388" i="6" s="1"/>
  <c r="CK388" i="6" s="1"/>
  <c r="CL388" i="6" s="1"/>
  <c r="CM388" i="6" s="1"/>
  <c r="CN388" i="6" s="1"/>
  <c r="CO388" i="6" s="1"/>
  <c r="CP388" i="6" s="1"/>
  <c r="CQ388" i="6" s="1"/>
  <c r="CR388" i="6" s="1"/>
  <c r="CS388" i="6" s="1"/>
  <c r="CT388" i="6" s="1"/>
  <c r="CU388" i="6" s="1"/>
  <c r="CV388" i="6" s="1"/>
  <c r="CW388" i="6" s="1"/>
  <c r="CX388" i="6" s="1"/>
  <c r="CY388" i="6" s="1"/>
  <c r="CZ388" i="6" s="1"/>
  <c r="DA388" i="6" s="1"/>
  <c r="DB388" i="6" s="1"/>
  <c r="DC388" i="6" s="1"/>
  <c r="DD388" i="6" s="1"/>
  <c r="DE388" i="6" s="1"/>
  <c r="O340" i="6"/>
  <c r="P340" i="6" s="1"/>
  <c r="Q340" i="6" s="1"/>
  <c r="R340" i="6" s="1"/>
  <c r="S340" i="6" s="1"/>
  <c r="T340" i="6" s="1"/>
  <c r="U340" i="6" s="1"/>
  <c r="V340" i="6" s="1"/>
  <c r="W340" i="6" s="1"/>
  <c r="X340" i="6" s="1"/>
  <c r="Y340" i="6" s="1"/>
  <c r="Z340" i="6" s="1"/>
  <c r="AA340" i="6" s="1"/>
  <c r="AB340" i="6" s="1"/>
  <c r="AC340" i="6" s="1"/>
  <c r="AD340" i="6" s="1"/>
  <c r="AE340" i="6" s="1"/>
  <c r="AF340" i="6" s="1"/>
  <c r="AG340" i="6" s="1"/>
  <c r="AH340" i="6" s="1"/>
  <c r="AI340" i="6" s="1"/>
  <c r="AJ340" i="6" s="1"/>
  <c r="AK340" i="6" s="1"/>
  <c r="AL340" i="6" s="1"/>
  <c r="AM340" i="6" s="1"/>
  <c r="AN340" i="6" s="1"/>
  <c r="AO340" i="6" s="1"/>
  <c r="AP340" i="6" s="1"/>
  <c r="AQ340" i="6" s="1"/>
  <c r="AR340" i="6" s="1"/>
  <c r="AS340" i="6" s="1"/>
  <c r="AT340" i="6" s="1"/>
  <c r="AU340" i="6" s="1"/>
  <c r="AV340" i="6" s="1"/>
  <c r="AW340" i="6" s="1"/>
  <c r="AX340" i="6" s="1"/>
  <c r="AY340" i="6" s="1"/>
  <c r="AZ340" i="6" s="1"/>
  <c r="BA340" i="6" s="1"/>
  <c r="BB340" i="6" s="1"/>
  <c r="BC340" i="6" s="1"/>
  <c r="BD340" i="6" s="1"/>
  <c r="BE340" i="6" s="1"/>
  <c r="BF340" i="6" s="1"/>
  <c r="BG340" i="6" s="1"/>
  <c r="BH340" i="6" s="1"/>
  <c r="BI340" i="6" s="1"/>
  <c r="BJ340" i="6" s="1"/>
  <c r="BK340" i="6" s="1"/>
  <c r="BL340" i="6" s="1"/>
  <c r="BM340" i="6" s="1"/>
  <c r="BN340" i="6" s="1"/>
  <c r="BO340" i="6" s="1"/>
  <c r="BP340" i="6" s="1"/>
  <c r="BQ340" i="6" s="1"/>
  <c r="BR340" i="6" s="1"/>
  <c r="BS340" i="6" s="1"/>
  <c r="BT340" i="6" s="1"/>
  <c r="BU340" i="6" s="1"/>
  <c r="BV340" i="6" s="1"/>
  <c r="BW340" i="6" s="1"/>
  <c r="BX340" i="6" s="1"/>
  <c r="BY340" i="6" s="1"/>
  <c r="BZ340" i="6" s="1"/>
  <c r="CA340" i="6" s="1"/>
  <c r="CB340" i="6" s="1"/>
  <c r="CC340" i="6" s="1"/>
  <c r="CD340" i="6" s="1"/>
  <c r="CE340" i="6" s="1"/>
  <c r="CF340" i="6" s="1"/>
  <c r="CG340" i="6" s="1"/>
  <c r="CH340" i="6" s="1"/>
  <c r="CI340" i="6" s="1"/>
  <c r="CJ340" i="6" s="1"/>
  <c r="CK340" i="6" s="1"/>
  <c r="CL340" i="6" s="1"/>
  <c r="CM340" i="6" s="1"/>
  <c r="CN340" i="6" s="1"/>
  <c r="CO340" i="6" s="1"/>
  <c r="CP340" i="6" s="1"/>
  <c r="CQ340" i="6" s="1"/>
  <c r="CR340" i="6" s="1"/>
  <c r="CS340" i="6" s="1"/>
  <c r="CT340" i="6" s="1"/>
  <c r="CU340" i="6" s="1"/>
  <c r="CV340" i="6" s="1"/>
  <c r="CW340" i="6" s="1"/>
  <c r="CX340" i="6" s="1"/>
  <c r="CY340" i="6" s="1"/>
  <c r="CZ340" i="6" s="1"/>
  <c r="DA340" i="6" s="1"/>
  <c r="DB340" i="6" s="1"/>
  <c r="DC340" i="6" s="1"/>
  <c r="DD340" i="6" s="1"/>
  <c r="DE340" i="6" s="1"/>
  <c r="O251" i="6"/>
  <c r="P251" i="6" s="1"/>
  <c r="Q251" i="6" s="1"/>
  <c r="R251" i="6" s="1"/>
  <c r="S251" i="6" s="1"/>
  <c r="T251" i="6" s="1"/>
  <c r="U251" i="6" s="1"/>
  <c r="V251" i="6" s="1"/>
  <c r="W251" i="6" s="1"/>
  <c r="X251" i="6" s="1"/>
  <c r="Y251" i="6" s="1"/>
  <c r="Z251" i="6" s="1"/>
  <c r="AA251" i="6" s="1"/>
  <c r="AB251" i="6" s="1"/>
  <c r="AC251" i="6" s="1"/>
  <c r="AD251" i="6" s="1"/>
  <c r="AE251" i="6" s="1"/>
  <c r="AF251" i="6" s="1"/>
  <c r="AG251" i="6" s="1"/>
  <c r="AH251" i="6" s="1"/>
  <c r="AI251" i="6" s="1"/>
  <c r="AJ251" i="6" s="1"/>
  <c r="AK251" i="6" s="1"/>
  <c r="AL251" i="6" s="1"/>
  <c r="AM251" i="6" s="1"/>
  <c r="AN251" i="6" s="1"/>
  <c r="AO251" i="6" s="1"/>
  <c r="AP251" i="6" s="1"/>
  <c r="AQ251" i="6" s="1"/>
  <c r="AR251" i="6" s="1"/>
  <c r="AS251" i="6" s="1"/>
  <c r="AT251" i="6" s="1"/>
  <c r="AU251" i="6" s="1"/>
  <c r="AV251" i="6" s="1"/>
  <c r="AW251" i="6" s="1"/>
  <c r="AX251" i="6" s="1"/>
  <c r="AY251" i="6" s="1"/>
  <c r="AZ251" i="6" s="1"/>
  <c r="BA251" i="6" s="1"/>
  <c r="BB251" i="6" s="1"/>
  <c r="BC251" i="6" s="1"/>
  <c r="BD251" i="6" s="1"/>
  <c r="BE251" i="6" s="1"/>
  <c r="BF251" i="6" s="1"/>
  <c r="BG251" i="6" s="1"/>
  <c r="BH251" i="6" s="1"/>
  <c r="BI251" i="6" s="1"/>
  <c r="BJ251" i="6" s="1"/>
  <c r="BK251" i="6" s="1"/>
  <c r="BL251" i="6" s="1"/>
  <c r="BM251" i="6" s="1"/>
  <c r="BN251" i="6" s="1"/>
  <c r="BO251" i="6" s="1"/>
  <c r="BP251" i="6" s="1"/>
  <c r="BQ251" i="6" s="1"/>
  <c r="BR251" i="6" s="1"/>
  <c r="BS251" i="6" s="1"/>
  <c r="BT251" i="6" s="1"/>
  <c r="BU251" i="6" s="1"/>
  <c r="BV251" i="6" s="1"/>
  <c r="BW251" i="6" s="1"/>
  <c r="BX251" i="6" s="1"/>
  <c r="BY251" i="6" s="1"/>
  <c r="BZ251" i="6" s="1"/>
  <c r="CA251" i="6" s="1"/>
  <c r="CB251" i="6" s="1"/>
  <c r="CC251" i="6" s="1"/>
  <c r="CD251" i="6" s="1"/>
  <c r="CE251" i="6" s="1"/>
  <c r="CF251" i="6" s="1"/>
  <c r="CG251" i="6" s="1"/>
  <c r="CH251" i="6" s="1"/>
  <c r="CI251" i="6" s="1"/>
  <c r="CJ251" i="6" s="1"/>
  <c r="CK251" i="6" s="1"/>
  <c r="CL251" i="6" s="1"/>
  <c r="CM251" i="6" s="1"/>
  <c r="CN251" i="6" s="1"/>
  <c r="CO251" i="6" s="1"/>
  <c r="CP251" i="6" s="1"/>
  <c r="CQ251" i="6" s="1"/>
  <c r="CR251" i="6" s="1"/>
  <c r="CS251" i="6" s="1"/>
  <c r="CT251" i="6" s="1"/>
  <c r="CU251" i="6" s="1"/>
  <c r="CV251" i="6" s="1"/>
  <c r="CW251" i="6" s="1"/>
  <c r="CX251" i="6" s="1"/>
  <c r="CY251" i="6" s="1"/>
  <c r="CZ251" i="6" s="1"/>
  <c r="DA251" i="6" s="1"/>
  <c r="DB251" i="6" s="1"/>
  <c r="DC251" i="6" s="1"/>
  <c r="DD251" i="6" s="1"/>
  <c r="DE251" i="6" s="1"/>
  <c r="O166" i="6"/>
  <c r="P166" i="6" s="1"/>
  <c r="Q166" i="6" s="1"/>
  <c r="R166" i="6" s="1"/>
  <c r="S166" i="6" s="1"/>
  <c r="T166" i="6" s="1"/>
  <c r="U166" i="6" s="1"/>
  <c r="V166" i="6" s="1"/>
  <c r="W166" i="6" s="1"/>
  <c r="X166" i="6" s="1"/>
  <c r="Y166" i="6" s="1"/>
  <c r="Z166" i="6" s="1"/>
  <c r="AA166" i="6" s="1"/>
  <c r="AB166" i="6" s="1"/>
  <c r="AC166" i="6" s="1"/>
  <c r="AD166" i="6" s="1"/>
  <c r="AE166" i="6" s="1"/>
  <c r="AF166" i="6" s="1"/>
  <c r="AG166" i="6" s="1"/>
  <c r="AH166" i="6" s="1"/>
  <c r="AI166" i="6" s="1"/>
  <c r="AJ166" i="6" s="1"/>
  <c r="AK166" i="6" s="1"/>
  <c r="AL166" i="6" s="1"/>
  <c r="AM166" i="6" s="1"/>
  <c r="AN166" i="6" s="1"/>
  <c r="AO166" i="6" s="1"/>
  <c r="AP166" i="6" s="1"/>
  <c r="AQ166" i="6" s="1"/>
  <c r="AR166" i="6" s="1"/>
  <c r="AS166" i="6" s="1"/>
  <c r="AT166" i="6" s="1"/>
  <c r="AU166" i="6" s="1"/>
  <c r="AV166" i="6" s="1"/>
  <c r="AW166" i="6" s="1"/>
  <c r="AX166" i="6" s="1"/>
  <c r="AY166" i="6" s="1"/>
  <c r="AZ166" i="6" s="1"/>
  <c r="BA166" i="6" s="1"/>
  <c r="BB166" i="6" s="1"/>
  <c r="BC166" i="6" s="1"/>
  <c r="BD166" i="6" s="1"/>
  <c r="BE166" i="6" s="1"/>
  <c r="BF166" i="6" s="1"/>
  <c r="BG166" i="6" s="1"/>
  <c r="BH166" i="6" s="1"/>
  <c r="BI166" i="6" s="1"/>
  <c r="BJ166" i="6" s="1"/>
  <c r="BK166" i="6" s="1"/>
  <c r="BL166" i="6" s="1"/>
  <c r="BM166" i="6" s="1"/>
  <c r="BN166" i="6" s="1"/>
  <c r="BO166" i="6" s="1"/>
  <c r="BP166" i="6" s="1"/>
  <c r="BQ166" i="6" s="1"/>
  <c r="BR166" i="6" s="1"/>
  <c r="BS166" i="6" s="1"/>
  <c r="BT166" i="6" s="1"/>
  <c r="BU166" i="6" s="1"/>
  <c r="BV166" i="6" s="1"/>
  <c r="BW166" i="6" s="1"/>
  <c r="BX166" i="6" s="1"/>
  <c r="BY166" i="6" s="1"/>
  <c r="BZ166" i="6" s="1"/>
  <c r="CA166" i="6" s="1"/>
  <c r="CB166" i="6" s="1"/>
  <c r="CC166" i="6" s="1"/>
  <c r="CD166" i="6" s="1"/>
  <c r="CE166" i="6" s="1"/>
  <c r="CF166" i="6" s="1"/>
  <c r="CG166" i="6" s="1"/>
  <c r="CH166" i="6" s="1"/>
  <c r="CI166" i="6" s="1"/>
  <c r="CJ166" i="6" s="1"/>
  <c r="CK166" i="6" s="1"/>
  <c r="CL166" i="6" s="1"/>
  <c r="CM166" i="6" s="1"/>
  <c r="CN166" i="6" s="1"/>
  <c r="CO166" i="6" s="1"/>
  <c r="CP166" i="6" s="1"/>
  <c r="CQ166" i="6" s="1"/>
  <c r="CR166" i="6" s="1"/>
  <c r="CS166" i="6" s="1"/>
  <c r="CT166" i="6" s="1"/>
  <c r="CU166" i="6" s="1"/>
  <c r="CV166" i="6" s="1"/>
  <c r="CW166" i="6" s="1"/>
  <c r="CX166" i="6" s="1"/>
  <c r="CY166" i="6" s="1"/>
  <c r="CZ166" i="6" s="1"/>
  <c r="DA166" i="6" s="1"/>
  <c r="DB166" i="6" s="1"/>
  <c r="DC166" i="6" s="1"/>
  <c r="DD166" i="6" s="1"/>
  <c r="DE166" i="6" s="1"/>
  <c r="DF166" i="6" s="1"/>
  <c r="O162" i="6"/>
  <c r="P162" i="6" s="1"/>
  <c r="Q162" i="6" s="1"/>
  <c r="R162" i="6" s="1"/>
  <c r="S162" i="6" s="1"/>
  <c r="T162" i="6" s="1"/>
  <c r="U162" i="6" s="1"/>
  <c r="V162" i="6" s="1"/>
  <c r="W162" i="6" s="1"/>
  <c r="X162" i="6" s="1"/>
  <c r="Y162" i="6" s="1"/>
  <c r="Z162" i="6" s="1"/>
  <c r="AA162" i="6" s="1"/>
  <c r="AB162" i="6" s="1"/>
  <c r="AC162" i="6" s="1"/>
  <c r="AD162" i="6" s="1"/>
  <c r="AE162" i="6" s="1"/>
  <c r="AF162" i="6" s="1"/>
  <c r="AG162" i="6" s="1"/>
  <c r="AH162" i="6" s="1"/>
  <c r="AI162" i="6" s="1"/>
  <c r="AJ162" i="6" s="1"/>
  <c r="AK162" i="6" s="1"/>
  <c r="AL162" i="6" s="1"/>
  <c r="AM162" i="6" s="1"/>
  <c r="AN162" i="6" s="1"/>
  <c r="AO162" i="6" s="1"/>
  <c r="AP162" i="6" s="1"/>
  <c r="AQ162" i="6" s="1"/>
  <c r="AR162" i="6" s="1"/>
  <c r="AS162" i="6" s="1"/>
  <c r="AT162" i="6" s="1"/>
  <c r="AU162" i="6" s="1"/>
  <c r="AV162" i="6" s="1"/>
  <c r="AW162" i="6" s="1"/>
  <c r="AX162" i="6" s="1"/>
  <c r="AY162" i="6" s="1"/>
  <c r="AZ162" i="6" s="1"/>
  <c r="BA162" i="6" s="1"/>
  <c r="BB162" i="6" s="1"/>
  <c r="BC162" i="6" s="1"/>
  <c r="BD162" i="6" s="1"/>
  <c r="BE162" i="6" s="1"/>
  <c r="BF162" i="6" s="1"/>
  <c r="BG162" i="6" s="1"/>
  <c r="BH162" i="6" s="1"/>
  <c r="BI162" i="6" s="1"/>
  <c r="BJ162" i="6" s="1"/>
  <c r="BK162" i="6" s="1"/>
  <c r="BL162" i="6" s="1"/>
  <c r="BM162" i="6" s="1"/>
  <c r="BN162" i="6" s="1"/>
  <c r="BO162" i="6" s="1"/>
  <c r="BP162" i="6" s="1"/>
  <c r="BQ162" i="6" s="1"/>
  <c r="BR162" i="6" s="1"/>
  <c r="BS162" i="6" s="1"/>
  <c r="BT162" i="6" s="1"/>
  <c r="BU162" i="6" s="1"/>
  <c r="BV162" i="6" s="1"/>
  <c r="BW162" i="6" s="1"/>
  <c r="BX162" i="6" s="1"/>
  <c r="BY162" i="6" s="1"/>
  <c r="BZ162" i="6" s="1"/>
  <c r="CA162" i="6" s="1"/>
  <c r="CB162" i="6" s="1"/>
  <c r="CC162" i="6" s="1"/>
  <c r="CD162" i="6" s="1"/>
  <c r="CE162" i="6" s="1"/>
  <c r="CF162" i="6" s="1"/>
  <c r="CG162" i="6" s="1"/>
  <c r="CH162" i="6" s="1"/>
  <c r="CI162" i="6" s="1"/>
  <c r="CJ162" i="6" s="1"/>
  <c r="CK162" i="6" s="1"/>
  <c r="CL162" i="6" s="1"/>
  <c r="CM162" i="6" s="1"/>
  <c r="CN162" i="6" s="1"/>
  <c r="CO162" i="6" s="1"/>
  <c r="CP162" i="6" s="1"/>
  <c r="CQ162" i="6" s="1"/>
  <c r="CR162" i="6" s="1"/>
  <c r="CS162" i="6" s="1"/>
  <c r="CT162" i="6" s="1"/>
  <c r="CU162" i="6" s="1"/>
  <c r="CV162" i="6" s="1"/>
  <c r="CW162" i="6" s="1"/>
  <c r="CX162" i="6" s="1"/>
  <c r="CY162" i="6" s="1"/>
  <c r="CZ162" i="6" s="1"/>
  <c r="DA162" i="6" s="1"/>
  <c r="DB162" i="6" s="1"/>
  <c r="DC162" i="6" s="1"/>
  <c r="DD162" i="6" s="1"/>
  <c r="DE162" i="6" s="1"/>
  <c r="O74" i="6"/>
  <c r="P74" i="6" s="1"/>
  <c r="Q74" i="6" s="1"/>
  <c r="R74" i="6" s="1"/>
  <c r="S74" i="6" s="1"/>
  <c r="T74" i="6" s="1"/>
  <c r="U74" i="6" s="1"/>
  <c r="V74" i="6" s="1"/>
  <c r="W74" i="6" s="1"/>
  <c r="X74" i="6" s="1"/>
  <c r="Y74" i="6" s="1"/>
  <c r="Z74" i="6" s="1"/>
  <c r="AA74" i="6" s="1"/>
  <c r="AB74" i="6" s="1"/>
  <c r="AC74" i="6" s="1"/>
  <c r="AD74" i="6" s="1"/>
  <c r="AE74" i="6" s="1"/>
  <c r="AF74" i="6" s="1"/>
  <c r="AG74" i="6" s="1"/>
  <c r="AH74" i="6" s="1"/>
  <c r="AI74" i="6" s="1"/>
  <c r="AJ74" i="6" s="1"/>
  <c r="AK74" i="6" s="1"/>
  <c r="AL74" i="6" s="1"/>
  <c r="AM74" i="6" s="1"/>
  <c r="AN74" i="6" s="1"/>
  <c r="AO74" i="6" s="1"/>
  <c r="AP74" i="6" s="1"/>
  <c r="AQ74" i="6" s="1"/>
  <c r="AR74" i="6" s="1"/>
  <c r="AS74" i="6" s="1"/>
  <c r="AT74" i="6" s="1"/>
  <c r="AU74" i="6" s="1"/>
  <c r="AV74" i="6" s="1"/>
  <c r="AW74" i="6" s="1"/>
  <c r="AX74" i="6" s="1"/>
  <c r="AY74" i="6" s="1"/>
  <c r="AZ74" i="6" s="1"/>
  <c r="BA74" i="6" s="1"/>
  <c r="BB74" i="6" s="1"/>
  <c r="BC74" i="6" s="1"/>
  <c r="BD74" i="6" s="1"/>
  <c r="BE74" i="6" s="1"/>
  <c r="BF74" i="6" s="1"/>
  <c r="BG74" i="6" s="1"/>
  <c r="BH74" i="6" s="1"/>
  <c r="BI74" i="6" s="1"/>
  <c r="BJ74" i="6" s="1"/>
  <c r="BK74" i="6" s="1"/>
  <c r="BL74" i="6" s="1"/>
  <c r="BM74" i="6" s="1"/>
  <c r="BN74" i="6" s="1"/>
  <c r="BO74" i="6" s="1"/>
  <c r="BP74" i="6" s="1"/>
  <c r="BQ74" i="6" s="1"/>
  <c r="BR74" i="6" s="1"/>
  <c r="BS74" i="6" s="1"/>
  <c r="BT74" i="6" s="1"/>
  <c r="BU74" i="6" s="1"/>
  <c r="BV74" i="6" s="1"/>
  <c r="BW74" i="6" s="1"/>
  <c r="BX74" i="6" s="1"/>
  <c r="BY74" i="6" s="1"/>
  <c r="BZ74" i="6" s="1"/>
  <c r="CA74" i="6" s="1"/>
  <c r="CB74" i="6" s="1"/>
  <c r="CC74" i="6" s="1"/>
  <c r="CD74" i="6" s="1"/>
  <c r="CE74" i="6" s="1"/>
  <c r="CF74" i="6" s="1"/>
  <c r="CG74" i="6" s="1"/>
  <c r="CH74" i="6" s="1"/>
  <c r="CI74" i="6" s="1"/>
  <c r="CJ74" i="6" s="1"/>
  <c r="CK74" i="6" s="1"/>
  <c r="CL74" i="6" s="1"/>
  <c r="CM74" i="6" s="1"/>
  <c r="CN74" i="6" s="1"/>
  <c r="CO74" i="6" s="1"/>
  <c r="CP74" i="6" s="1"/>
  <c r="CQ74" i="6" s="1"/>
  <c r="CR74" i="6" s="1"/>
  <c r="CS74" i="6" s="1"/>
  <c r="CT74" i="6" s="1"/>
  <c r="CU74" i="6" s="1"/>
  <c r="CV74" i="6" s="1"/>
  <c r="CW74" i="6" s="1"/>
  <c r="CX74" i="6" s="1"/>
  <c r="CY74" i="6" s="1"/>
  <c r="CZ74" i="6" s="1"/>
  <c r="DA74" i="6" s="1"/>
  <c r="DB74" i="6" s="1"/>
  <c r="DC74" i="6" s="1"/>
  <c r="DD74" i="6" s="1"/>
  <c r="DE74" i="6" s="1"/>
  <c r="O86" i="6"/>
  <c r="P86" i="6" s="1"/>
  <c r="Q86" i="6" s="1"/>
  <c r="R86" i="6" s="1"/>
  <c r="S86" i="6" s="1"/>
  <c r="T86" i="6" s="1"/>
  <c r="U86" i="6" s="1"/>
  <c r="V86" i="6" s="1"/>
  <c r="W86" i="6" s="1"/>
  <c r="X86" i="6" s="1"/>
  <c r="Y86" i="6" s="1"/>
  <c r="Z86" i="6" s="1"/>
  <c r="AA86" i="6" s="1"/>
  <c r="AB86" i="6" s="1"/>
  <c r="AC86" i="6" s="1"/>
  <c r="AD86" i="6" s="1"/>
  <c r="AE86" i="6" s="1"/>
  <c r="AF86" i="6" s="1"/>
  <c r="AG86" i="6" s="1"/>
  <c r="AH86" i="6" s="1"/>
  <c r="AI86" i="6" s="1"/>
  <c r="AJ86" i="6" s="1"/>
  <c r="AK86" i="6" s="1"/>
  <c r="AL86" i="6" s="1"/>
  <c r="AM86" i="6" s="1"/>
  <c r="AN86" i="6" s="1"/>
  <c r="AO86" i="6" s="1"/>
  <c r="AP86" i="6" s="1"/>
  <c r="AQ86" i="6" s="1"/>
  <c r="AR86" i="6" s="1"/>
  <c r="AS86" i="6" s="1"/>
  <c r="AT86" i="6" s="1"/>
  <c r="AU86" i="6" s="1"/>
  <c r="AV86" i="6" s="1"/>
  <c r="AW86" i="6" s="1"/>
  <c r="AX86" i="6" s="1"/>
  <c r="AY86" i="6" s="1"/>
  <c r="AZ86" i="6" s="1"/>
  <c r="BA86" i="6" s="1"/>
  <c r="BB86" i="6" s="1"/>
  <c r="BC86" i="6" s="1"/>
  <c r="BD86" i="6" s="1"/>
  <c r="BE86" i="6" s="1"/>
  <c r="BF86" i="6" s="1"/>
  <c r="BG86" i="6" s="1"/>
  <c r="BH86" i="6" s="1"/>
  <c r="BI86" i="6" s="1"/>
  <c r="BJ86" i="6" s="1"/>
  <c r="BK86" i="6" s="1"/>
  <c r="BL86" i="6" s="1"/>
  <c r="BM86" i="6" s="1"/>
  <c r="BN86" i="6" s="1"/>
  <c r="BO86" i="6" s="1"/>
  <c r="BP86" i="6" s="1"/>
  <c r="BQ86" i="6" s="1"/>
  <c r="BR86" i="6" s="1"/>
  <c r="BS86" i="6" s="1"/>
  <c r="BT86" i="6" s="1"/>
  <c r="BU86" i="6" s="1"/>
  <c r="BV86" i="6" s="1"/>
  <c r="BW86" i="6" s="1"/>
  <c r="BX86" i="6" s="1"/>
  <c r="BY86" i="6" s="1"/>
  <c r="BZ86" i="6" s="1"/>
  <c r="CA86" i="6" s="1"/>
  <c r="CB86" i="6" s="1"/>
  <c r="CC86" i="6" s="1"/>
  <c r="CD86" i="6" s="1"/>
  <c r="CE86" i="6" s="1"/>
  <c r="CF86" i="6" s="1"/>
  <c r="CG86" i="6" s="1"/>
  <c r="CH86" i="6" s="1"/>
  <c r="CI86" i="6" s="1"/>
  <c r="CJ86" i="6" s="1"/>
  <c r="CK86" i="6" s="1"/>
  <c r="CL86" i="6" s="1"/>
  <c r="CM86" i="6" s="1"/>
  <c r="CN86" i="6" s="1"/>
  <c r="CO86" i="6" s="1"/>
  <c r="CP86" i="6" s="1"/>
  <c r="CQ86" i="6" s="1"/>
  <c r="CR86" i="6" s="1"/>
  <c r="CS86" i="6" s="1"/>
  <c r="CT86" i="6" s="1"/>
  <c r="CU86" i="6" s="1"/>
  <c r="CV86" i="6" s="1"/>
  <c r="CW86" i="6" s="1"/>
  <c r="CX86" i="6" s="1"/>
  <c r="CY86" i="6" s="1"/>
  <c r="CZ86" i="6" s="1"/>
  <c r="DA86" i="6" s="1"/>
  <c r="DB86" i="6" s="1"/>
  <c r="DC86" i="6" s="1"/>
  <c r="DD86" i="6" s="1"/>
  <c r="DE86" i="6" s="1"/>
  <c r="DF86" i="6" s="1"/>
  <c r="O71" i="6"/>
  <c r="P71" i="6" s="1"/>
  <c r="Q71" i="6" s="1"/>
  <c r="R71" i="6" s="1"/>
  <c r="S71" i="6" s="1"/>
  <c r="T71" i="6" s="1"/>
  <c r="U71" i="6" s="1"/>
  <c r="V71" i="6" s="1"/>
  <c r="W71" i="6" s="1"/>
  <c r="X71" i="6" s="1"/>
  <c r="Y71" i="6" s="1"/>
  <c r="Z71" i="6" s="1"/>
  <c r="AA71" i="6" s="1"/>
  <c r="AB71" i="6" s="1"/>
  <c r="AC71" i="6" s="1"/>
  <c r="AD71" i="6" s="1"/>
  <c r="AE71" i="6" s="1"/>
  <c r="AF71" i="6" s="1"/>
  <c r="AG71" i="6" s="1"/>
  <c r="AH71" i="6" s="1"/>
  <c r="AI71" i="6" s="1"/>
  <c r="AJ71" i="6" s="1"/>
  <c r="AK71" i="6" s="1"/>
  <c r="AL71" i="6" s="1"/>
  <c r="AM71" i="6" s="1"/>
  <c r="AN71" i="6" s="1"/>
  <c r="AO71" i="6" s="1"/>
  <c r="AP71" i="6" s="1"/>
  <c r="AQ71" i="6" s="1"/>
  <c r="AR71" i="6" s="1"/>
  <c r="AS71" i="6" s="1"/>
  <c r="AT71" i="6" s="1"/>
  <c r="AU71" i="6" s="1"/>
  <c r="AV71" i="6" s="1"/>
  <c r="AW71" i="6" s="1"/>
  <c r="AX71" i="6" s="1"/>
  <c r="AY71" i="6" s="1"/>
  <c r="AZ71" i="6" s="1"/>
  <c r="BA71" i="6" s="1"/>
  <c r="BB71" i="6" s="1"/>
  <c r="BC71" i="6" s="1"/>
  <c r="BD71" i="6" s="1"/>
  <c r="BE71" i="6" s="1"/>
  <c r="BF71" i="6" s="1"/>
  <c r="BG71" i="6" s="1"/>
  <c r="BH71" i="6" s="1"/>
  <c r="BI71" i="6" s="1"/>
  <c r="BJ71" i="6" s="1"/>
  <c r="BK71" i="6" s="1"/>
  <c r="BL71" i="6" s="1"/>
  <c r="BM71" i="6" s="1"/>
  <c r="BN71" i="6" s="1"/>
  <c r="BO71" i="6" s="1"/>
  <c r="BP71" i="6" s="1"/>
  <c r="BQ71" i="6" s="1"/>
  <c r="BR71" i="6" s="1"/>
  <c r="BS71" i="6" s="1"/>
  <c r="BT71" i="6" s="1"/>
  <c r="BU71" i="6" s="1"/>
  <c r="BV71" i="6" s="1"/>
  <c r="BW71" i="6" s="1"/>
  <c r="BX71" i="6" s="1"/>
  <c r="BY71" i="6" s="1"/>
  <c r="BZ71" i="6" s="1"/>
  <c r="CA71" i="6" s="1"/>
  <c r="CB71" i="6" s="1"/>
  <c r="CC71" i="6" s="1"/>
  <c r="CD71" i="6" s="1"/>
  <c r="CE71" i="6" s="1"/>
  <c r="CF71" i="6" s="1"/>
  <c r="CG71" i="6" s="1"/>
  <c r="CH71" i="6" s="1"/>
  <c r="CI71" i="6" s="1"/>
  <c r="CJ71" i="6" s="1"/>
  <c r="CK71" i="6" s="1"/>
  <c r="CL71" i="6" s="1"/>
  <c r="CM71" i="6" s="1"/>
  <c r="CN71" i="6" s="1"/>
  <c r="CO71" i="6" s="1"/>
  <c r="CP71" i="6" s="1"/>
  <c r="CQ71" i="6" s="1"/>
  <c r="CR71" i="6" s="1"/>
  <c r="CS71" i="6" s="1"/>
  <c r="CT71" i="6" s="1"/>
  <c r="CU71" i="6" s="1"/>
  <c r="CV71" i="6" s="1"/>
  <c r="CW71" i="6" s="1"/>
  <c r="CX71" i="6" s="1"/>
  <c r="CY71" i="6" s="1"/>
  <c r="CZ71" i="6" s="1"/>
  <c r="DA71" i="6" s="1"/>
  <c r="DB71" i="6" s="1"/>
  <c r="DC71" i="6" s="1"/>
  <c r="DD71" i="6" s="1"/>
  <c r="DE71" i="6" s="1"/>
  <c r="O307" i="6"/>
  <c r="P307" i="6" s="1"/>
  <c r="Q307" i="6" s="1"/>
  <c r="R307" i="6" s="1"/>
  <c r="S307" i="6" s="1"/>
  <c r="T307" i="6" s="1"/>
  <c r="U307" i="6" s="1"/>
  <c r="V307" i="6" s="1"/>
  <c r="W307" i="6" s="1"/>
  <c r="X307" i="6" s="1"/>
  <c r="Y307" i="6" s="1"/>
  <c r="Z307" i="6" s="1"/>
  <c r="AA307" i="6" s="1"/>
  <c r="AB307" i="6" s="1"/>
  <c r="AC307" i="6" s="1"/>
  <c r="AD307" i="6" s="1"/>
  <c r="AE307" i="6" s="1"/>
  <c r="AF307" i="6" s="1"/>
  <c r="AG307" i="6" s="1"/>
  <c r="AH307" i="6" s="1"/>
  <c r="AI307" i="6" s="1"/>
  <c r="AJ307" i="6" s="1"/>
  <c r="AK307" i="6" s="1"/>
  <c r="AL307" i="6" s="1"/>
  <c r="AM307" i="6" s="1"/>
  <c r="AN307" i="6" s="1"/>
  <c r="AO307" i="6" s="1"/>
  <c r="AP307" i="6" s="1"/>
  <c r="AQ307" i="6" s="1"/>
  <c r="AR307" i="6" s="1"/>
  <c r="AS307" i="6" s="1"/>
  <c r="AT307" i="6" s="1"/>
  <c r="AU307" i="6" s="1"/>
  <c r="AV307" i="6" s="1"/>
  <c r="AW307" i="6" s="1"/>
  <c r="AX307" i="6" s="1"/>
  <c r="AY307" i="6" s="1"/>
  <c r="AZ307" i="6" s="1"/>
  <c r="BA307" i="6" s="1"/>
  <c r="BB307" i="6" s="1"/>
  <c r="BC307" i="6" s="1"/>
  <c r="BD307" i="6" s="1"/>
  <c r="BE307" i="6" s="1"/>
  <c r="BF307" i="6" s="1"/>
  <c r="BG307" i="6" s="1"/>
  <c r="BH307" i="6" s="1"/>
  <c r="BI307" i="6" s="1"/>
  <c r="BJ307" i="6" s="1"/>
  <c r="BK307" i="6" s="1"/>
  <c r="BL307" i="6" s="1"/>
  <c r="BM307" i="6" s="1"/>
  <c r="BN307" i="6" s="1"/>
  <c r="BO307" i="6" s="1"/>
  <c r="BP307" i="6" s="1"/>
  <c r="BQ307" i="6" s="1"/>
  <c r="BR307" i="6" s="1"/>
  <c r="BS307" i="6" s="1"/>
  <c r="BT307" i="6" s="1"/>
  <c r="BU307" i="6" s="1"/>
  <c r="BV307" i="6" s="1"/>
  <c r="BW307" i="6" s="1"/>
  <c r="BX307" i="6" s="1"/>
  <c r="BY307" i="6" s="1"/>
  <c r="BZ307" i="6" s="1"/>
  <c r="CA307" i="6" s="1"/>
  <c r="CB307" i="6" s="1"/>
  <c r="CC307" i="6" s="1"/>
  <c r="CD307" i="6" s="1"/>
  <c r="CE307" i="6" s="1"/>
  <c r="CF307" i="6" s="1"/>
  <c r="CG307" i="6" s="1"/>
  <c r="CH307" i="6" s="1"/>
  <c r="CI307" i="6" s="1"/>
  <c r="CJ307" i="6" s="1"/>
  <c r="CK307" i="6" s="1"/>
  <c r="CL307" i="6" s="1"/>
  <c r="CM307" i="6" s="1"/>
  <c r="CN307" i="6" s="1"/>
  <c r="CO307" i="6" s="1"/>
  <c r="CP307" i="6" s="1"/>
  <c r="CQ307" i="6" s="1"/>
  <c r="CR307" i="6" s="1"/>
  <c r="CS307" i="6" s="1"/>
  <c r="CT307" i="6" s="1"/>
  <c r="CU307" i="6" s="1"/>
  <c r="CV307" i="6" s="1"/>
  <c r="CW307" i="6" s="1"/>
  <c r="CX307" i="6" s="1"/>
  <c r="CY307" i="6" s="1"/>
  <c r="CZ307" i="6" s="1"/>
  <c r="DA307" i="6" s="1"/>
  <c r="DB307" i="6" s="1"/>
  <c r="DC307" i="6" s="1"/>
  <c r="DD307" i="6" s="1"/>
  <c r="DE307" i="6" s="1"/>
  <c r="DF307" i="6" s="1"/>
  <c r="S306" i="6"/>
  <c r="T306" i="6" s="1"/>
  <c r="U306" i="6" s="1"/>
  <c r="V306" i="6" s="1"/>
  <c r="W306" i="6" s="1"/>
  <c r="X306" i="6" s="1"/>
  <c r="Y306" i="6" s="1"/>
  <c r="Z306" i="6" s="1"/>
  <c r="AA306" i="6" s="1"/>
  <c r="AB306" i="6" s="1"/>
  <c r="AC306" i="6" s="1"/>
  <c r="AD306" i="6" s="1"/>
  <c r="AE306" i="6" s="1"/>
  <c r="AF306" i="6" s="1"/>
  <c r="AG306" i="6" s="1"/>
  <c r="AH306" i="6" s="1"/>
  <c r="AI306" i="6" s="1"/>
  <c r="AJ306" i="6" s="1"/>
  <c r="AK306" i="6" s="1"/>
  <c r="AL306" i="6" s="1"/>
  <c r="AM306" i="6" s="1"/>
  <c r="AN306" i="6" s="1"/>
  <c r="AO306" i="6" s="1"/>
  <c r="AP306" i="6" s="1"/>
  <c r="AQ306" i="6" s="1"/>
  <c r="AR306" i="6" s="1"/>
  <c r="AS306" i="6" s="1"/>
  <c r="AT306" i="6" s="1"/>
  <c r="AU306" i="6" s="1"/>
  <c r="AV306" i="6" s="1"/>
  <c r="AW306" i="6" s="1"/>
  <c r="AX306" i="6" s="1"/>
  <c r="AY306" i="6" s="1"/>
  <c r="AZ306" i="6" s="1"/>
  <c r="BA306" i="6" s="1"/>
  <c r="BB306" i="6" s="1"/>
  <c r="BC306" i="6" s="1"/>
  <c r="BD306" i="6" s="1"/>
  <c r="BE306" i="6" s="1"/>
  <c r="BF306" i="6" s="1"/>
  <c r="BG306" i="6" s="1"/>
  <c r="BH306" i="6" s="1"/>
  <c r="BI306" i="6" s="1"/>
  <c r="BJ306" i="6" s="1"/>
  <c r="BK306" i="6" s="1"/>
  <c r="BL306" i="6" s="1"/>
  <c r="BM306" i="6" s="1"/>
  <c r="BN306" i="6" s="1"/>
  <c r="BO306" i="6" s="1"/>
  <c r="BP306" i="6" s="1"/>
  <c r="BQ306" i="6" s="1"/>
  <c r="BR306" i="6" s="1"/>
  <c r="BS306" i="6" s="1"/>
  <c r="BT306" i="6" s="1"/>
  <c r="BU306" i="6" s="1"/>
  <c r="BV306" i="6" s="1"/>
  <c r="BW306" i="6" s="1"/>
  <c r="BX306" i="6" s="1"/>
  <c r="BY306" i="6" s="1"/>
  <c r="BZ306" i="6" s="1"/>
  <c r="CA306" i="6" s="1"/>
  <c r="CB306" i="6" s="1"/>
  <c r="CC306" i="6" s="1"/>
  <c r="CD306" i="6" s="1"/>
  <c r="CE306" i="6" s="1"/>
  <c r="CF306" i="6" s="1"/>
  <c r="CG306" i="6" s="1"/>
  <c r="CH306" i="6" s="1"/>
  <c r="CI306" i="6" s="1"/>
  <c r="CJ306" i="6" s="1"/>
  <c r="CK306" i="6" s="1"/>
  <c r="CL306" i="6" s="1"/>
  <c r="CM306" i="6" s="1"/>
  <c r="CN306" i="6" s="1"/>
  <c r="CO306" i="6" s="1"/>
  <c r="CP306" i="6" s="1"/>
  <c r="CQ306" i="6" s="1"/>
  <c r="CR306" i="6" s="1"/>
  <c r="CS306" i="6" s="1"/>
  <c r="CT306" i="6" s="1"/>
  <c r="CU306" i="6" s="1"/>
  <c r="CV306" i="6" s="1"/>
  <c r="CW306" i="6" s="1"/>
  <c r="CX306" i="6" s="1"/>
  <c r="CY306" i="6" s="1"/>
  <c r="CZ306" i="6" s="1"/>
  <c r="DA306" i="6" s="1"/>
  <c r="DB306" i="6" s="1"/>
  <c r="DC306" i="6" s="1"/>
  <c r="DD306" i="6" s="1"/>
  <c r="DE306" i="6" s="1"/>
  <c r="O308" i="6"/>
  <c r="P308" i="6" s="1"/>
  <c r="Q308" i="6" s="1"/>
  <c r="R308" i="6" s="1"/>
  <c r="S308" i="6" s="1"/>
  <c r="T308" i="6" s="1"/>
  <c r="U308" i="6" s="1"/>
  <c r="V308" i="6" s="1"/>
  <c r="W308" i="6" s="1"/>
  <c r="X308" i="6" s="1"/>
  <c r="Y308" i="6" s="1"/>
  <c r="Z308" i="6" s="1"/>
  <c r="AA308" i="6" s="1"/>
  <c r="AB308" i="6" s="1"/>
  <c r="AC308" i="6" s="1"/>
  <c r="AD308" i="6" s="1"/>
  <c r="AE308" i="6" s="1"/>
  <c r="AF308" i="6" s="1"/>
  <c r="AG308" i="6" s="1"/>
  <c r="AH308" i="6" s="1"/>
  <c r="AI308" i="6" s="1"/>
  <c r="AJ308" i="6" s="1"/>
  <c r="AK308" i="6" s="1"/>
  <c r="AL308" i="6" s="1"/>
  <c r="AM308" i="6" s="1"/>
  <c r="AN308" i="6" s="1"/>
  <c r="AO308" i="6" s="1"/>
  <c r="AP308" i="6" s="1"/>
  <c r="AQ308" i="6" s="1"/>
  <c r="AR308" i="6" s="1"/>
  <c r="AS308" i="6" s="1"/>
  <c r="AT308" i="6" s="1"/>
  <c r="AU308" i="6" s="1"/>
  <c r="AV308" i="6" s="1"/>
  <c r="AW308" i="6" s="1"/>
  <c r="AX308" i="6" s="1"/>
  <c r="AY308" i="6" s="1"/>
  <c r="AZ308" i="6" s="1"/>
  <c r="BA308" i="6" s="1"/>
  <c r="BB308" i="6" s="1"/>
  <c r="BC308" i="6" s="1"/>
  <c r="BD308" i="6" s="1"/>
  <c r="BE308" i="6" s="1"/>
  <c r="BF308" i="6" s="1"/>
  <c r="BG308" i="6" s="1"/>
  <c r="BH308" i="6" s="1"/>
  <c r="BI308" i="6" s="1"/>
  <c r="BJ308" i="6" s="1"/>
  <c r="BK308" i="6" s="1"/>
  <c r="BL308" i="6" s="1"/>
  <c r="BM308" i="6" s="1"/>
  <c r="BN308" i="6" s="1"/>
  <c r="BO308" i="6" s="1"/>
  <c r="BP308" i="6" s="1"/>
  <c r="BQ308" i="6" s="1"/>
  <c r="BR308" i="6" s="1"/>
  <c r="BS308" i="6" s="1"/>
  <c r="BT308" i="6" s="1"/>
  <c r="BU308" i="6" s="1"/>
  <c r="BV308" i="6" s="1"/>
  <c r="BW308" i="6" s="1"/>
  <c r="BX308" i="6" s="1"/>
  <c r="BY308" i="6" s="1"/>
  <c r="BZ308" i="6" s="1"/>
  <c r="CA308" i="6" s="1"/>
  <c r="CB308" i="6" s="1"/>
  <c r="CC308" i="6" s="1"/>
  <c r="CD308" i="6" s="1"/>
  <c r="CE308" i="6" s="1"/>
  <c r="CF308" i="6" s="1"/>
  <c r="CG308" i="6" s="1"/>
  <c r="CH308" i="6" s="1"/>
  <c r="CI308" i="6" s="1"/>
  <c r="CJ308" i="6" s="1"/>
  <c r="CK308" i="6" s="1"/>
  <c r="CL308" i="6" s="1"/>
  <c r="CM308" i="6" s="1"/>
  <c r="CN308" i="6" s="1"/>
  <c r="CO308" i="6" s="1"/>
  <c r="CP308" i="6" s="1"/>
  <c r="CQ308" i="6" s="1"/>
  <c r="CR308" i="6" s="1"/>
  <c r="CS308" i="6" s="1"/>
  <c r="CT308" i="6" s="1"/>
  <c r="CU308" i="6" s="1"/>
  <c r="CV308" i="6" s="1"/>
  <c r="CW308" i="6" s="1"/>
  <c r="CX308" i="6" s="1"/>
  <c r="CY308" i="6" s="1"/>
  <c r="CZ308" i="6" s="1"/>
  <c r="DA308" i="6" s="1"/>
  <c r="DB308" i="6" s="1"/>
  <c r="DC308" i="6" s="1"/>
  <c r="DD308" i="6" s="1"/>
  <c r="DE308" i="6" s="1"/>
  <c r="O322" i="6"/>
  <c r="O181" i="6"/>
  <c r="P181" i="6" s="1"/>
  <c r="Q181" i="6" s="1"/>
  <c r="R181" i="6" s="1"/>
  <c r="S181" i="6" s="1"/>
  <c r="T181" i="6" s="1"/>
  <c r="U181" i="6" s="1"/>
  <c r="V181" i="6" s="1"/>
  <c r="W181" i="6" s="1"/>
  <c r="X181" i="6" s="1"/>
  <c r="Y181" i="6" s="1"/>
  <c r="Z181" i="6" s="1"/>
  <c r="AA181" i="6" s="1"/>
  <c r="AB181" i="6" s="1"/>
  <c r="AC181" i="6" s="1"/>
  <c r="AD181" i="6" s="1"/>
  <c r="AE181" i="6" s="1"/>
  <c r="AF181" i="6" s="1"/>
  <c r="AG181" i="6" s="1"/>
  <c r="AH181" i="6" s="1"/>
  <c r="AI181" i="6" s="1"/>
  <c r="AJ181" i="6" s="1"/>
  <c r="AK181" i="6" s="1"/>
  <c r="AL181" i="6" s="1"/>
  <c r="AM181" i="6" s="1"/>
  <c r="AN181" i="6" s="1"/>
  <c r="AO181" i="6" s="1"/>
  <c r="AP181" i="6" s="1"/>
  <c r="AQ181" i="6" s="1"/>
  <c r="AR181" i="6" s="1"/>
  <c r="AS181" i="6" s="1"/>
  <c r="AT181" i="6" s="1"/>
  <c r="AU181" i="6" s="1"/>
  <c r="AV181" i="6" s="1"/>
  <c r="AW181" i="6" s="1"/>
  <c r="AX181" i="6" s="1"/>
  <c r="AY181" i="6" s="1"/>
  <c r="AZ181" i="6" s="1"/>
  <c r="BA181" i="6" s="1"/>
  <c r="BB181" i="6" s="1"/>
  <c r="BC181" i="6" s="1"/>
  <c r="BD181" i="6" s="1"/>
  <c r="BE181" i="6" s="1"/>
  <c r="BF181" i="6" s="1"/>
  <c r="BG181" i="6" s="1"/>
  <c r="BH181" i="6" s="1"/>
  <c r="BI181" i="6" s="1"/>
  <c r="BJ181" i="6" s="1"/>
  <c r="BK181" i="6" s="1"/>
  <c r="BL181" i="6" s="1"/>
  <c r="BM181" i="6" s="1"/>
  <c r="BN181" i="6" s="1"/>
  <c r="BO181" i="6" s="1"/>
  <c r="BP181" i="6" s="1"/>
  <c r="BQ181" i="6" s="1"/>
  <c r="BR181" i="6" s="1"/>
  <c r="BS181" i="6" s="1"/>
  <c r="BT181" i="6" s="1"/>
  <c r="BU181" i="6" s="1"/>
  <c r="BV181" i="6" s="1"/>
  <c r="BW181" i="6" s="1"/>
  <c r="BX181" i="6" s="1"/>
  <c r="BY181" i="6" s="1"/>
  <c r="BZ181" i="6" s="1"/>
  <c r="CA181" i="6" s="1"/>
  <c r="CB181" i="6" s="1"/>
  <c r="CC181" i="6" s="1"/>
  <c r="CD181" i="6" s="1"/>
  <c r="CE181" i="6" s="1"/>
  <c r="CF181" i="6" s="1"/>
  <c r="CG181" i="6" s="1"/>
  <c r="CH181" i="6" s="1"/>
  <c r="CI181" i="6" s="1"/>
  <c r="CJ181" i="6" s="1"/>
  <c r="CK181" i="6" s="1"/>
  <c r="CL181" i="6" s="1"/>
  <c r="CM181" i="6" s="1"/>
  <c r="CN181" i="6" s="1"/>
  <c r="CO181" i="6" s="1"/>
  <c r="CP181" i="6" s="1"/>
  <c r="CQ181" i="6" s="1"/>
  <c r="CR181" i="6" s="1"/>
  <c r="CS181" i="6" s="1"/>
  <c r="CT181" i="6" s="1"/>
  <c r="CU181" i="6" s="1"/>
  <c r="CV181" i="6" s="1"/>
  <c r="CW181" i="6" s="1"/>
  <c r="CX181" i="6" s="1"/>
  <c r="CY181" i="6" s="1"/>
  <c r="CZ181" i="6" s="1"/>
  <c r="DA181" i="6" s="1"/>
  <c r="DB181" i="6" s="1"/>
  <c r="DC181" i="6" s="1"/>
  <c r="DD181" i="6" s="1"/>
  <c r="DE181" i="6" s="1"/>
  <c r="O254" i="6"/>
  <c r="P254" i="6" s="1"/>
  <c r="Q254" i="6" s="1"/>
  <c r="R254" i="6" s="1"/>
  <c r="S254" i="6" s="1"/>
  <c r="T254" i="6" s="1"/>
  <c r="U254" i="6" s="1"/>
  <c r="V254" i="6" s="1"/>
  <c r="W254" i="6" s="1"/>
  <c r="X254" i="6" s="1"/>
  <c r="Y254" i="6" s="1"/>
  <c r="Z254" i="6" s="1"/>
  <c r="AA254" i="6" s="1"/>
  <c r="AB254" i="6" s="1"/>
  <c r="AC254" i="6" s="1"/>
  <c r="AD254" i="6" s="1"/>
  <c r="AE254" i="6" s="1"/>
  <c r="AF254" i="6" s="1"/>
  <c r="AG254" i="6" s="1"/>
  <c r="AH254" i="6" s="1"/>
  <c r="AI254" i="6" s="1"/>
  <c r="AJ254" i="6" s="1"/>
  <c r="AK254" i="6" s="1"/>
  <c r="AL254" i="6" s="1"/>
  <c r="AM254" i="6" s="1"/>
  <c r="AN254" i="6" s="1"/>
  <c r="AO254" i="6" s="1"/>
  <c r="AP254" i="6" s="1"/>
  <c r="AQ254" i="6" s="1"/>
  <c r="AR254" i="6" s="1"/>
  <c r="AS254" i="6" s="1"/>
  <c r="AT254" i="6" s="1"/>
  <c r="AU254" i="6" s="1"/>
  <c r="AV254" i="6" s="1"/>
  <c r="AW254" i="6" s="1"/>
  <c r="AX254" i="6" s="1"/>
  <c r="AY254" i="6" s="1"/>
  <c r="AZ254" i="6" s="1"/>
  <c r="BA254" i="6" s="1"/>
  <c r="BB254" i="6" s="1"/>
  <c r="BC254" i="6" s="1"/>
  <c r="BD254" i="6" s="1"/>
  <c r="BE254" i="6" s="1"/>
  <c r="BF254" i="6" s="1"/>
  <c r="BG254" i="6" s="1"/>
  <c r="BH254" i="6" s="1"/>
  <c r="BI254" i="6" s="1"/>
  <c r="BJ254" i="6" s="1"/>
  <c r="BK254" i="6" s="1"/>
  <c r="BL254" i="6" s="1"/>
  <c r="BM254" i="6" s="1"/>
  <c r="BN254" i="6" s="1"/>
  <c r="BO254" i="6" s="1"/>
  <c r="BP254" i="6" s="1"/>
  <c r="BQ254" i="6" s="1"/>
  <c r="BR254" i="6" s="1"/>
  <c r="BS254" i="6" s="1"/>
  <c r="BT254" i="6" s="1"/>
  <c r="BU254" i="6" s="1"/>
  <c r="BV254" i="6" s="1"/>
  <c r="BW254" i="6" s="1"/>
  <c r="BX254" i="6" s="1"/>
  <c r="BY254" i="6" s="1"/>
  <c r="BZ254" i="6" s="1"/>
  <c r="CA254" i="6" s="1"/>
  <c r="CB254" i="6" s="1"/>
  <c r="CC254" i="6" s="1"/>
  <c r="CD254" i="6" s="1"/>
  <c r="CE254" i="6" s="1"/>
  <c r="CF254" i="6" s="1"/>
  <c r="CG254" i="6" s="1"/>
  <c r="CH254" i="6" s="1"/>
  <c r="CI254" i="6" s="1"/>
  <c r="CJ254" i="6" s="1"/>
  <c r="CK254" i="6" s="1"/>
  <c r="CL254" i="6" s="1"/>
  <c r="CM254" i="6" s="1"/>
  <c r="CN254" i="6" s="1"/>
  <c r="CO254" i="6" s="1"/>
  <c r="CP254" i="6" s="1"/>
  <c r="CQ254" i="6" s="1"/>
  <c r="CR254" i="6" s="1"/>
  <c r="CS254" i="6" s="1"/>
  <c r="CT254" i="6" s="1"/>
  <c r="CU254" i="6" s="1"/>
  <c r="CV254" i="6" s="1"/>
  <c r="CW254" i="6" s="1"/>
  <c r="CX254" i="6" s="1"/>
  <c r="CY254" i="6" s="1"/>
  <c r="CZ254" i="6" s="1"/>
  <c r="DA254" i="6" s="1"/>
  <c r="DB254" i="6" s="1"/>
  <c r="DC254" i="6" s="1"/>
  <c r="DD254" i="6" s="1"/>
  <c r="DE254" i="6" s="1"/>
  <c r="O316" i="6"/>
  <c r="O310" i="6"/>
  <c r="O173" i="6"/>
  <c r="P173" i="6" s="1"/>
  <c r="Q173" i="6" s="1"/>
  <c r="R173" i="6" s="1"/>
  <c r="S173" i="6" s="1"/>
  <c r="T173" i="6" s="1"/>
  <c r="U173" i="6" s="1"/>
  <c r="V173" i="6" s="1"/>
  <c r="W173" i="6" s="1"/>
  <c r="X173" i="6" s="1"/>
  <c r="Y173" i="6" s="1"/>
  <c r="Z173" i="6" s="1"/>
  <c r="AA173" i="6" s="1"/>
  <c r="AB173" i="6" s="1"/>
  <c r="AC173" i="6" s="1"/>
  <c r="AD173" i="6" s="1"/>
  <c r="AE173" i="6" s="1"/>
  <c r="AF173" i="6" s="1"/>
  <c r="AG173" i="6" s="1"/>
  <c r="AH173" i="6" s="1"/>
  <c r="AI173" i="6" s="1"/>
  <c r="AJ173" i="6" s="1"/>
  <c r="AK173" i="6" s="1"/>
  <c r="AL173" i="6" s="1"/>
  <c r="AM173" i="6" s="1"/>
  <c r="AN173" i="6" s="1"/>
  <c r="AO173" i="6" s="1"/>
  <c r="AP173" i="6" s="1"/>
  <c r="AQ173" i="6" s="1"/>
  <c r="AR173" i="6" s="1"/>
  <c r="AS173" i="6" s="1"/>
  <c r="AT173" i="6" s="1"/>
  <c r="AU173" i="6" s="1"/>
  <c r="AV173" i="6" s="1"/>
  <c r="AW173" i="6" s="1"/>
  <c r="AX173" i="6" s="1"/>
  <c r="AY173" i="6" s="1"/>
  <c r="AZ173" i="6" s="1"/>
  <c r="BA173" i="6" s="1"/>
  <c r="BB173" i="6" s="1"/>
  <c r="BC173" i="6" s="1"/>
  <c r="BD173" i="6" s="1"/>
  <c r="BE173" i="6" s="1"/>
  <c r="BF173" i="6" s="1"/>
  <c r="BG173" i="6" s="1"/>
  <c r="BH173" i="6" s="1"/>
  <c r="BI173" i="6" s="1"/>
  <c r="BJ173" i="6" s="1"/>
  <c r="BK173" i="6" s="1"/>
  <c r="BL173" i="6" s="1"/>
  <c r="BM173" i="6" s="1"/>
  <c r="BN173" i="6" s="1"/>
  <c r="BO173" i="6" s="1"/>
  <c r="BP173" i="6" s="1"/>
  <c r="BQ173" i="6" s="1"/>
  <c r="BR173" i="6" s="1"/>
  <c r="BS173" i="6" s="1"/>
  <c r="BT173" i="6" s="1"/>
  <c r="BU173" i="6" s="1"/>
  <c r="BV173" i="6" s="1"/>
  <c r="BW173" i="6" s="1"/>
  <c r="BX173" i="6" s="1"/>
  <c r="BY173" i="6" s="1"/>
  <c r="BZ173" i="6" s="1"/>
  <c r="CA173" i="6" s="1"/>
  <c r="CB173" i="6" s="1"/>
  <c r="CC173" i="6" s="1"/>
  <c r="CD173" i="6" s="1"/>
  <c r="CE173" i="6" s="1"/>
  <c r="CF173" i="6" s="1"/>
  <c r="CG173" i="6" s="1"/>
  <c r="CH173" i="6" s="1"/>
  <c r="CI173" i="6" s="1"/>
  <c r="CJ173" i="6" s="1"/>
  <c r="CK173" i="6" s="1"/>
  <c r="CL173" i="6" s="1"/>
  <c r="CM173" i="6" s="1"/>
  <c r="CN173" i="6" s="1"/>
  <c r="CO173" i="6" s="1"/>
  <c r="CP173" i="6" s="1"/>
  <c r="CQ173" i="6" s="1"/>
  <c r="CR173" i="6" s="1"/>
  <c r="CS173" i="6" s="1"/>
  <c r="CT173" i="6" s="1"/>
  <c r="CU173" i="6" s="1"/>
  <c r="CV173" i="6" s="1"/>
  <c r="CW173" i="6" s="1"/>
  <c r="CX173" i="6" s="1"/>
  <c r="CY173" i="6" s="1"/>
  <c r="CZ173" i="6" s="1"/>
  <c r="DA173" i="6" s="1"/>
  <c r="DB173" i="6" s="1"/>
  <c r="DC173" i="6" s="1"/>
  <c r="DD173" i="6" s="1"/>
  <c r="DE173" i="6" s="1"/>
  <c r="W330" i="6"/>
  <c r="X330" i="6" s="1"/>
  <c r="Y330" i="6" s="1"/>
  <c r="Z330" i="6" s="1"/>
  <c r="AA330" i="6" s="1"/>
  <c r="AB330" i="6" s="1"/>
  <c r="AC330" i="6" s="1"/>
  <c r="AD330" i="6" s="1"/>
  <c r="AE330" i="6" s="1"/>
  <c r="AF330" i="6" s="1"/>
  <c r="AG330" i="6" s="1"/>
  <c r="AH330" i="6" s="1"/>
  <c r="AI330" i="6" s="1"/>
  <c r="AJ330" i="6" s="1"/>
  <c r="AK330" i="6" s="1"/>
  <c r="AL330" i="6" s="1"/>
  <c r="AM330" i="6" s="1"/>
  <c r="AN330" i="6" s="1"/>
  <c r="AO330" i="6" s="1"/>
  <c r="AP330" i="6" s="1"/>
  <c r="AQ330" i="6" s="1"/>
  <c r="AR330" i="6" s="1"/>
  <c r="AS330" i="6" s="1"/>
  <c r="AT330" i="6" s="1"/>
  <c r="AU330" i="6" s="1"/>
  <c r="AV330" i="6" s="1"/>
  <c r="AW330" i="6" s="1"/>
  <c r="AX330" i="6" s="1"/>
  <c r="AY330" i="6" s="1"/>
  <c r="AZ330" i="6" s="1"/>
  <c r="BA330" i="6" s="1"/>
  <c r="BB330" i="6" s="1"/>
  <c r="BC330" i="6" s="1"/>
  <c r="BD330" i="6" s="1"/>
  <c r="BE330" i="6" s="1"/>
  <c r="BF330" i="6" s="1"/>
  <c r="BG330" i="6" s="1"/>
  <c r="BH330" i="6" s="1"/>
  <c r="BI330" i="6" s="1"/>
  <c r="BJ330" i="6" s="1"/>
  <c r="BK330" i="6" s="1"/>
  <c r="BL330" i="6" s="1"/>
  <c r="BM330" i="6" s="1"/>
  <c r="BN330" i="6" s="1"/>
  <c r="BO330" i="6" s="1"/>
  <c r="BP330" i="6" s="1"/>
  <c r="BQ330" i="6" s="1"/>
  <c r="BR330" i="6" s="1"/>
  <c r="BS330" i="6" s="1"/>
  <c r="BT330" i="6" s="1"/>
  <c r="BU330" i="6" s="1"/>
  <c r="BV330" i="6" s="1"/>
  <c r="BW330" i="6" s="1"/>
  <c r="BX330" i="6" s="1"/>
  <c r="BY330" i="6" s="1"/>
  <c r="BZ330" i="6" s="1"/>
  <c r="CA330" i="6" s="1"/>
  <c r="CB330" i="6" s="1"/>
  <c r="CC330" i="6" s="1"/>
  <c r="CD330" i="6" s="1"/>
  <c r="CE330" i="6" s="1"/>
  <c r="CF330" i="6" s="1"/>
  <c r="CG330" i="6" s="1"/>
  <c r="CH330" i="6" s="1"/>
  <c r="CI330" i="6" s="1"/>
  <c r="CJ330" i="6" s="1"/>
  <c r="CK330" i="6" s="1"/>
  <c r="CL330" i="6" s="1"/>
  <c r="CM330" i="6" s="1"/>
  <c r="CN330" i="6" s="1"/>
  <c r="CO330" i="6" s="1"/>
  <c r="CP330" i="6" s="1"/>
  <c r="CQ330" i="6" s="1"/>
  <c r="CR330" i="6" s="1"/>
  <c r="CS330" i="6" s="1"/>
  <c r="CT330" i="6" s="1"/>
  <c r="CU330" i="6" s="1"/>
  <c r="CV330" i="6" s="1"/>
  <c r="CW330" i="6" s="1"/>
  <c r="CX330" i="6" s="1"/>
  <c r="CY330" i="6" s="1"/>
  <c r="CZ330" i="6" s="1"/>
  <c r="DA330" i="6" s="1"/>
  <c r="DB330" i="6" s="1"/>
  <c r="DC330" i="6" s="1"/>
  <c r="DD330" i="6" s="1"/>
  <c r="DE330" i="6" s="1"/>
  <c r="DF330" i="6" s="1"/>
  <c r="O352" i="6"/>
  <c r="P352" i="6" s="1"/>
  <c r="Q352" i="6" s="1"/>
  <c r="R352" i="6" s="1"/>
  <c r="S352" i="6" s="1"/>
  <c r="T352" i="6" s="1"/>
  <c r="U352" i="6" s="1"/>
  <c r="V352" i="6" s="1"/>
  <c r="W352" i="6" s="1"/>
  <c r="X352" i="6" s="1"/>
  <c r="Y352" i="6" s="1"/>
  <c r="Z352" i="6" s="1"/>
  <c r="AA352" i="6" s="1"/>
  <c r="AB352" i="6" s="1"/>
  <c r="AC352" i="6" s="1"/>
  <c r="AD352" i="6" s="1"/>
  <c r="AE352" i="6" s="1"/>
  <c r="AF352" i="6" s="1"/>
  <c r="AG352" i="6" s="1"/>
  <c r="AH352" i="6" s="1"/>
  <c r="AI352" i="6" s="1"/>
  <c r="AJ352" i="6" s="1"/>
  <c r="AK352" i="6" s="1"/>
  <c r="AL352" i="6" s="1"/>
  <c r="AM352" i="6" s="1"/>
  <c r="AN352" i="6" s="1"/>
  <c r="AO352" i="6" s="1"/>
  <c r="AP352" i="6" s="1"/>
  <c r="AQ352" i="6" s="1"/>
  <c r="AR352" i="6" s="1"/>
  <c r="AS352" i="6" s="1"/>
  <c r="AT352" i="6" s="1"/>
  <c r="AU352" i="6" s="1"/>
  <c r="AV352" i="6" s="1"/>
  <c r="AW352" i="6" s="1"/>
  <c r="AX352" i="6" s="1"/>
  <c r="AY352" i="6" s="1"/>
  <c r="AZ352" i="6" s="1"/>
  <c r="BA352" i="6" s="1"/>
  <c r="BB352" i="6" s="1"/>
  <c r="BC352" i="6" s="1"/>
  <c r="BD352" i="6" s="1"/>
  <c r="BE352" i="6" s="1"/>
  <c r="BF352" i="6" s="1"/>
  <c r="BG352" i="6" s="1"/>
  <c r="BH352" i="6" s="1"/>
  <c r="BI352" i="6" s="1"/>
  <c r="BJ352" i="6" s="1"/>
  <c r="BK352" i="6" s="1"/>
  <c r="BL352" i="6" s="1"/>
  <c r="BM352" i="6" s="1"/>
  <c r="BN352" i="6" s="1"/>
  <c r="BO352" i="6" s="1"/>
  <c r="BP352" i="6" s="1"/>
  <c r="BQ352" i="6" s="1"/>
  <c r="BR352" i="6" s="1"/>
  <c r="BS352" i="6" s="1"/>
  <c r="BT352" i="6" s="1"/>
  <c r="BU352" i="6" s="1"/>
  <c r="BV352" i="6" s="1"/>
  <c r="BW352" i="6" s="1"/>
  <c r="BX352" i="6" s="1"/>
  <c r="BY352" i="6" s="1"/>
  <c r="BZ352" i="6" s="1"/>
  <c r="CA352" i="6" s="1"/>
  <c r="CB352" i="6" s="1"/>
  <c r="CC352" i="6" s="1"/>
  <c r="CD352" i="6" s="1"/>
  <c r="CE352" i="6" s="1"/>
  <c r="CF352" i="6" s="1"/>
  <c r="CG352" i="6" s="1"/>
  <c r="CH352" i="6" s="1"/>
  <c r="CI352" i="6" s="1"/>
  <c r="CJ352" i="6" s="1"/>
  <c r="CK352" i="6" s="1"/>
  <c r="CL352" i="6" s="1"/>
  <c r="CM352" i="6" s="1"/>
  <c r="CN352" i="6" s="1"/>
  <c r="CO352" i="6" s="1"/>
  <c r="CP352" i="6" s="1"/>
  <c r="CQ352" i="6" s="1"/>
  <c r="CR352" i="6" s="1"/>
  <c r="CS352" i="6" s="1"/>
  <c r="CT352" i="6" s="1"/>
  <c r="CU352" i="6" s="1"/>
  <c r="CV352" i="6" s="1"/>
  <c r="CW352" i="6" s="1"/>
  <c r="CX352" i="6" s="1"/>
  <c r="CY352" i="6" s="1"/>
  <c r="CZ352" i="6" s="1"/>
  <c r="DA352" i="6" s="1"/>
  <c r="DB352" i="6" s="1"/>
  <c r="DC352" i="6" s="1"/>
  <c r="DD352" i="6" s="1"/>
  <c r="DE352" i="6" s="1"/>
  <c r="DF352" i="6" s="1"/>
  <c r="O334" i="6"/>
  <c r="P334" i="6" s="1"/>
  <c r="Q334" i="6" s="1"/>
  <c r="R334" i="6" s="1"/>
  <c r="S334" i="6" s="1"/>
  <c r="T334" i="6" s="1"/>
  <c r="U334" i="6" s="1"/>
  <c r="V334" i="6" s="1"/>
  <c r="W334" i="6" s="1"/>
  <c r="X334" i="6" s="1"/>
  <c r="Y334" i="6" s="1"/>
  <c r="Z334" i="6" s="1"/>
  <c r="AA334" i="6" s="1"/>
  <c r="AB334" i="6" s="1"/>
  <c r="AC334" i="6" s="1"/>
  <c r="AD334" i="6" s="1"/>
  <c r="AE334" i="6" s="1"/>
  <c r="AF334" i="6" s="1"/>
  <c r="AG334" i="6" s="1"/>
  <c r="AH334" i="6" s="1"/>
  <c r="AI334" i="6" s="1"/>
  <c r="AJ334" i="6" s="1"/>
  <c r="AK334" i="6" s="1"/>
  <c r="AL334" i="6" s="1"/>
  <c r="AM334" i="6" s="1"/>
  <c r="AN334" i="6" s="1"/>
  <c r="AO334" i="6" s="1"/>
  <c r="AP334" i="6" s="1"/>
  <c r="AQ334" i="6" s="1"/>
  <c r="AR334" i="6" s="1"/>
  <c r="AS334" i="6" s="1"/>
  <c r="AT334" i="6" s="1"/>
  <c r="AU334" i="6" s="1"/>
  <c r="AV334" i="6" s="1"/>
  <c r="AW334" i="6" s="1"/>
  <c r="AX334" i="6" s="1"/>
  <c r="AY334" i="6" s="1"/>
  <c r="AZ334" i="6" s="1"/>
  <c r="BA334" i="6" s="1"/>
  <c r="BB334" i="6" s="1"/>
  <c r="BC334" i="6" s="1"/>
  <c r="BD334" i="6" s="1"/>
  <c r="BE334" i="6" s="1"/>
  <c r="BF334" i="6" s="1"/>
  <c r="BG334" i="6" s="1"/>
  <c r="BH334" i="6" s="1"/>
  <c r="BI334" i="6" s="1"/>
  <c r="BJ334" i="6" s="1"/>
  <c r="BK334" i="6" s="1"/>
  <c r="BL334" i="6" s="1"/>
  <c r="BM334" i="6" s="1"/>
  <c r="BN334" i="6" s="1"/>
  <c r="BO334" i="6" s="1"/>
  <c r="BP334" i="6" s="1"/>
  <c r="BQ334" i="6" s="1"/>
  <c r="BR334" i="6" s="1"/>
  <c r="BS334" i="6" s="1"/>
  <c r="BT334" i="6" s="1"/>
  <c r="BU334" i="6" s="1"/>
  <c r="BV334" i="6" s="1"/>
  <c r="BW334" i="6" s="1"/>
  <c r="BX334" i="6" s="1"/>
  <c r="BY334" i="6" s="1"/>
  <c r="BZ334" i="6" s="1"/>
  <c r="CA334" i="6" s="1"/>
  <c r="CB334" i="6" s="1"/>
  <c r="CC334" i="6" s="1"/>
  <c r="CD334" i="6" s="1"/>
  <c r="CE334" i="6" s="1"/>
  <c r="CF334" i="6" s="1"/>
  <c r="CG334" i="6" s="1"/>
  <c r="CH334" i="6" s="1"/>
  <c r="CI334" i="6" s="1"/>
  <c r="CJ334" i="6" s="1"/>
  <c r="CK334" i="6" s="1"/>
  <c r="CL334" i="6" s="1"/>
  <c r="CM334" i="6" s="1"/>
  <c r="CN334" i="6" s="1"/>
  <c r="CO334" i="6" s="1"/>
  <c r="CP334" i="6" s="1"/>
  <c r="CQ334" i="6" s="1"/>
  <c r="CR334" i="6" s="1"/>
  <c r="CS334" i="6" s="1"/>
  <c r="CT334" i="6" s="1"/>
  <c r="CU334" i="6" s="1"/>
  <c r="CV334" i="6" s="1"/>
  <c r="CW334" i="6" s="1"/>
  <c r="CX334" i="6" s="1"/>
  <c r="CY334" i="6" s="1"/>
  <c r="CZ334" i="6" s="1"/>
  <c r="DA334" i="6" s="1"/>
  <c r="DB334" i="6" s="1"/>
  <c r="DC334" i="6" s="1"/>
  <c r="DD334" i="6" s="1"/>
  <c r="DE334" i="6" s="1"/>
  <c r="DF334" i="6" s="1"/>
  <c r="W82" i="6"/>
  <c r="X82" i="6" s="1"/>
  <c r="Y82" i="6" s="1"/>
  <c r="Z82" i="6" s="1"/>
  <c r="AA82" i="6" s="1"/>
  <c r="AB82" i="6" s="1"/>
  <c r="AC82" i="6" s="1"/>
  <c r="AD82" i="6" s="1"/>
  <c r="AE82" i="6" s="1"/>
  <c r="AF82" i="6" s="1"/>
  <c r="AG82" i="6" s="1"/>
  <c r="AH82" i="6" s="1"/>
  <c r="AI82" i="6" s="1"/>
  <c r="AJ82" i="6" s="1"/>
  <c r="AK82" i="6" s="1"/>
  <c r="AL82" i="6" s="1"/>
  <c r="AM82" i="6" s="1"/>
  <c r="AN82" i="6" s="1"/>
  <c r="AO82" i="6" s="1"/>
  <c r="AP82" i="6" s="1"/>
  <c r="AQ82" i="6" s="1"/>
  <c r="AR82" i="6" s="1"/>
  <c r="AS82" i="6" s="1"/>
  <c r="AT82" i="6" s="1"/>
  <c r="AU82" i="6" s="1"/>
  <c r="AV82" i="6" s="1"/>
  <c r="AW82" i="6" s="1"/>
  <c r="AX82" i="6" s="1"/>
  <c r="AY82" i="6" s="1"/>
  <c r="AZ82" i="6" s="1"/>
  <c r="BA82" i="6" s="1"/>
  <c r="BB82" i="6" s="1"/>
  <c r="BC82" i="6" s="1"/>
  <c r="BD82" i="6" s="1"/>
  <c r="BE82" i="6" s="1"/>
  <c r="BF82" i="6" s="1"/>
  <c r="BG82" i="6" s="1"/>
  <c r="BH82" i="6" s="1"/>
  <c r="BI82" i="6" s="1"/>
  <c r="BJ82" i="6" s="1"/>
  <c r="BK82" i="6" s="1"/>
  <c r="BL82" i="6" s="1"/>
  <c r="BM82" i="6" s="1"/>
  <c r="BN82" i="6" s="1"/>
  <c r="BO82" i="6" s="1"/>
  <c r="BP82" i="6" s="1"/>
  <c r="BQ82" i="6" s="1"/>
  <c r="BR82" i="6" s="1"/>
  <c r="BS82" i="6" s="1"/>
  <c r="BT82" i="6" s="1"/>
  <c r="BU82" i="6" s="1"/>
  <c r="BV82" i="6" s="1"/>
  <c r="BW82" i="6" s="1"/>
  <c r="BX82" i="6" s="1"/>
  <c r="BY82" i="6" s="1"/>
  <c r="BZ82" i="6" s="1"/>
  <c r="CA82" i="6" s="1"/>
  <c r="CB82" i="6" s="1"/>
  <c r="CC82" i="6" s="1"/>
  <c r="CD82" i="6" s="1"/>
  <c r="CE82" i="6" s="1"/>
  <c r="CF82" i="6" s="1"/>
  <c r="CG82" i="6" s="1"/>
  <c r="CH82" i="6" s="1"/>
  <c r="CI82" i="6" s="1"/>
  <c r="CJ82" i="6" s="1"/>
  <c r="CK82" i="6" s="1"/>
  <c r="CL82" i="6" s="1"/>
  <c r="CM82" i="6" s="1"/>
  <c r="CN82" i="6" s="1"/>
  <c r="CO82" i="6" s="1"/>
  <c r="CP82" i="6" s="1"/>
  <c r="CQ82" i="6" s="1"/>
  <c r="CR82" i="6" s="1"/>
  <c r="CS82" i="6" s="1"/>
  <c r="CT82" i="6" s="1"/>
  <c r="CU82" i="6" s="1"/>
  <c r="CV82" i="6" s="1"/>
  <c r="CW82" i="6" s="1"/>
  <c r="CX82" i="6" s="1"/>
  <c r="CY82" i="6" s="1"/>
  <c r="CZ82" i="6" s="1"/>
  <c r="DA82" i="6" s="1"/>
  <c r="DB82" i="6" s="1"/>
  <c r="DC82" i="6" s="1"/>
  <c r="DD82" i="6" s="1"/>
  <c r="DE82" i="6" s="1"/>
  <c r="DF82" i="6" s="1"/>
  <c r="K378" i="6"/>
  <c r="L378" i="6" s="1"/>
  <c r="M378" i="6" s="1"/>
  <c r="N378" i="6" s="1"/>
  <c r="O378" i="6" s="1"/>
  <c r="P378" i="6" s="1"/>
  <c r="Q378" i="6" s="1"/>
  <c r="R378" i="6" s="1"/>
  <c r="S378" i="6" s="1"/>
  <c r="T378" i="6" s="1"/>
  <c r="U378" i="6" s="1"/>
  <c r="V378" i="6" s="1"/>
  <c r="W378" i="6" s="1"/>
  <c r="X378" i="6" s="1"/>
  <c r="Y378" i="6" s="1"/>
  <c r="Z378" i="6" s="1"/>
  <c r="AA378" i="6" s="1"/>
  <c r="AB378" i="6" s="1"/>
  <c r="AC378" i="6" s="1"/>
  <c r="AD378" i="6" s="1"/>
  <c r="AE378" i="6" s="1"/>
  <c r="AF378" i="6" s="1"/>
  <c r="AG378" i="6" s="1"/>
  <c r="AH378" i="6" s="1"/>
  <c r="AI378" i="6" s="1"/>
  <c r="AJ378" i="6" s="1"/>
  <c r="AK378" i="6" s="1"/>
  <c r="AL378" i="6" s="1"/>
  <c r="AM378" i="6" s="1"/>
  <c r="AN378" i="6" s="1"/>
  <c r="AO378" i="6" s="1"/>
  <c r="AP378" i="6" s="1"/>
  <c r="AQ378" i="6" s="1"/>
  <c r="AR378" i="6" s="1"/>
  <c r="AS378" i="6" s="1"/>
  <c r="AT378" i="6" s="1"/>
  <c r="AU378" i="6" s="1"/>
  <c r="AV378" i="6" s="1"/>
  <c r="AW378" i="6" s="1"/>
  <c r="AX378" i="6" s="1"/>
  <c r="AY378" i="6" s="1"/>
  <c r="AZ378" i="6" s="1"/>
  <c r="BA378" i="6" s="1"/>
  <c r="BB378" i="6" s="1"/>
  <c r="BC378" i="6" s="1"/>
  <c r="BD378" i="6" s="1"/>
  <c r="BE378" i="6" s="1"/>
  <c r="BF378" i="6" s="1"/>
  <c r="BG378" i="6" s="1"/>
  <c r="BH378" i="6" s="1"/>
  <c r="BI378" i="6" s="1"/>
  <c r="BJ378" i="6" s="1"/>
  <c r="BK378" i="6" s="1"/>
  <c r="BL378" i="6" s="1"/>
  <c r="BM378" i="6" s="1"/>
  <c r="BN378" i="6" s="1"/>
  <c r="BO378" i="6" s="1"/>
  <c r="BP378" i="6" s="1"/>
  <c r="BQ378" i="6" s="1"/>
  <c r="BR378" i="6" s="1"/>
  <c r="BS378" i="6" s="1"/>
  <c r="BT378" i="6" s="1"/>
  <c r="BU378" i="6" s="1"/>
  <c r="BV378" i="6" s="1"/>
  <c r="BW378" i="6" s="1"/>
  <c r="BX378" i="6" s="1"/>
  <c r="BY378" i="6" s="1"/>
  <c r="BZ378" i="6" s="1"/>
  <c r="CA378" i="6" s="1"/>
  <c r="CB378" i="6" s="1"/>
  <c r="CC378" i="6" s="1"/>
  <c r="CD378" i="6" s="1"/>
  <c r="CE378" i="6" s="1"/>
  <c r="CF378" i="6" s="1"/>
  <c r="CG378" i="6" s="1"/>
  <c r="CH378" i="6" s="1"/>
  <c r="CI378" i="6" s="1"/>
  <c r="CJ378" i="6" s="1"/>
  <c r="CK378" i="6" s="1"/>
  <c r="CL378" i="6" s="1"/>
  <c r="CM378" i="6" s="1"/>
  <c r="CN378" i="6" s="1"/>
  <c r="CO378" i="6" s="1"/>
  <c r="CP378" i="6" s="1"/>
  <c r="CQ378" i="6" s="1"/>
  <c r="CR378" i="6" s="1"/>
  <c r="CS378" i="6" s="1"/>
  <c r="CT378" i="6" s="1"/>
  <c r="CU378" i="6" s="1"/>
  <c r="CV378" i="6" s="1"/>
  <c r="CW378" i="6" s="1"/>
  <c r="CX378" i="6" s="1"/>
  <c r="CY378" i="6" s="1"/>
  <c r="CZ378" i="6" s="1"/>
  <c r="DA378" i="6" s="1"/>
  <c r="DB378" i="6" s="1"/>
  <c r="DC378" i="6" s="1"/>
  <c r="DD378" i="6" s="1"/>
  <c r="DE378" i="6" s="1"/>
  <c r="K380" i="6"/>
  <c r="L380" i="6" s="1"/>
  <c r="M380" i="6" s="1"/>
  <c r="N380" i="6" s="1"/>
  <c r="O380" i="6" s="1"/>
  <c r="P380" i="6" s="1"/>
  <c r="Q380" i="6" s="1"/>
  <c r="R380" i="6" s="1"/>
  <c r="S380" i="6" s="1"/>
  <c r="T380" i="6" s="1"/>
  <c r="U380" i="6" s="1"/>
  <c r="V380" i="6" s="1"/>
  <c r="W380" i="6" s="1"/>
  <c r="X380" i="6" s="1"/>
  <c r="Y380" i="6" s="1"/>
  <c r="Z380" i="6" s="1"/>
  <c r="AA380" i="6" s="1"/>
  <c r="AB380" i="6" s="1"/>
  <c r="AC380" i="6" s="1"/>
  <c r="AD380" i="6" s="1"/>
  <c r="AE380" i="6" s="1"/>
  <c r="AF380" i="6" s="1"/>
  <c r="AG380" i="6" s="1"/>
  <c r="AH380" i="6" s="1"/>
  <c r="AI380" i="6" s="1"/>
  <c r="AJ380" i="6" s="1"/>
  <c r="AK380" i="6" s="1"/>
  <c r="AL380" i="6" s="1"/>
  <c r="AM380" i="6" s="1"/>
  <c r="AN380" i="6" s="1"/>
  <c r="AO380" i="6" s="1"/>
  <c r="AP380" i="6" s="1"/>
  <c r="AQ380" i="6" s="1"/>
  <c r="AR380" i="6" s="1"/>
  <c r="AS380" i="6" s="1"/>
  <c r="AT380" i="6" s="1"/>
  <c r="AU380" i="6" s="1"/>
  <c r="AV380" i="6" s="1"/>
  <c r="AW380" i="6" s="1"/>
  <c r="AX380" i="6" s="1"/>
  <c r="AY380" i="6" s="1"/>
  <c r="AZ380" i="6" s="1"/>
  <c r="BA380" i="6" s="1"/>
  <c r="BB380" i="6" s="1"/>
  <c r="BC380" i="6" s="1"/>
  <c r="BD380" i="6" s="1"/>
  <c r="BE380" i="6" s="1"/>
  <c r="BF380" i="6" s="1"/>
  <c r="BG380" i="6" s="1"/>
  <c r="BH380" i="6" s="1"/>
  <c r="BI380" i="6" s="1"/>
  <c r="BJ380" i="6" s="1"/>
  <c r="BK380" i="6" s="1"/>
  <c r="BL380" i="6" s="1"/>
  <c r="BM380" i="6" s="1"/>
  <c r="BN380" i="6" s="1"/>
  <c r="BO380" i="6" s="1"/>
  <c r="BP380" i="6" s="1"/>
  <c r="BQ380" i="6" s="1"/>
  <c r="BR380" i="6" s="1"/>
  <c r="BS380" i="6" s="1"/>
  <c r="BT380" i="6" s="1"/>
  <c r="BU380" i="6" s="1"/>
  <c r="BV380" i="6" s="1"/>
  <c r="BW380" i="6" s="1"/>
  <c r="BX380" i="6" s="1"/>
  <c r="BY380" i="6" s="1"/>
  <c r="BZ380" i="6" s="1"/>
  <c r="CA380" i="6" s="1"/>
  <c r="CB380" i="6" s="1"/>
  <c r="CC380" i="6" s="1"/>
  <c r="CD380" i="6" s="1"/>
  <c r="CE380" i="6" s="1"/>
  <c r="CF380" i="6" s="1"/>
  <c r="CG380" i="6" s="1"/>
  <c r="CH380" i="6" s="1"/>
  <c r="CI380" i="6" s="1"/>
  <c r="CJ380" i="6" s="1"/>
  <c r="CK380" i="6" s="1"/>
  <c r="CL380" i="6" s="1"/>
  <c r="CM380" i="6" s="1"/>
  <c r="CN380" i="6" s="1"/>
  <c r="CO380" i="6" s="1"/>
  <c r="CP380" i="6" s="1"/>
  <c r="CQ380" i="6" s="1"/>
  <c r="CR380" i="6" s="1"/>
  <c r="CS380" i="6" s="1"/>
  <c r="CT380" i="6" s="1"/>
  <c r="CU380" i="6" s="1"/>
  <c r="CV380" i="6" s="1"/>
  <c r="CW380" i="6" s="1"/>
  <c r="CX380" i="6" s="1"/>
  <c r="CY380" i="6" s="1"/>
  <c r="CZ380" i="6" s="1"/>
  <c r="DA380" i="6" s="1"/>
  <c r="DB380" i="6" s="1"/>
  <c r="DC380" i="6" s="1"/>
  <c r="DD380" i="6" s="1"/>
  <c r="DE380" i="6" s="1"/>
  <c r="K368" i="6"/>
  <c r="L368" i="6" s="1"/>
  <c r="M368" i="6" s="1"/>
  <c r="N368" i="6" s="1"/>
  <c r="O368" i="6" s="1"/>
  <c r="P368" i="6" s="1"/>
  <c r="Q368" i="6" s="1"/>
  <c r="R368" i="6" s="1"/>
  <c r="S368" i="6" s="1"/>
  <c r="T368" i="6" s="1"/>
  <c r="U368" i="6" s="1"/>
  <c r="V368" i="6" s="1"/>
  <c r="W368" i="6" s="1"/>
  <c r="X368" i="6" s="1"/>
  <c r="Y368" i="6" s="1"/>
  <c r="Z368" i="6" s="1"/>
  <c r="AA368" i="6" s="1"/>
  <c r="AB368" i="6" s="1"/>
  <c r="AC368" i="6" s="1"/>
  <c r="AD368" i="6" s="1"/>
  <c r="AE368" i="6" s="1"/>
  <c r="AF368" i="6" s="1"/>
  <c r="AG368" i="6" s="1"/>
  <c r="AH368" i="6" s="1"/>
  <c r="AI368" i="6" s="1"/>
  <c r="AJ368" i="6" s="1"/>
  <c r="AK368" i="6" s="1"/>
  <c r="AL368" i="6" s="1"/>
  <c r="AM368" i="6" s="1"/>
  <c r="AN368" i="6" s="1"/>
  <c r="AO368" i="6" s="1"/>
  <c r="AP368" i="6" s="1"/>
  <c r="AQ368" i="6" s="1"/>
  <c r="AR368" i="6" s="1"/>
  <c r="AS368" i="6" s="1"/>
  <c r="AT368" i="6" s="1"/>
  <c r="AU368" i="6" s="1"/>
  <c r="AV368" i="6" s="1"/>
  <c r="AW368" i="6" s="1"/>
  <c r="AX368" i="6" s="1"/>
  <c r="AY368" i="6" s="1"/>
  <c r="AZ368" i="6" s="1"/>
  <c r="BA368" i="6" s="1"/>
  <c r="BB368" i="6" s="1"/>
  <c r="BC368" i="6" s="1"/>
  <c r="BD368" i="6" s="1"/>
  <c r="BE368" i="6" s="1"/>
  <c r="BF368" i="6" s="1"/>
  <c r="BG368" i="6" s="1"/>
  <c r="BH368" i="6" s="1"/>
  <c r="BI368" i="6" s="1"/>
  <c r="BJ368" i="6" s="1"/>
  <c r="BK368" i="6" s="1"/>
  <c r="BL368" i="6" s="1"/>
  <c r="BM368" i="6" s="1"/>
  <c r="BN368" i="6" s="1"/>
  <c r="BO368" i="6" s="1"/>
  <c r="BP368" i="6" s="1"/>
  <c r="BQ368" i="6" s="1"/>
  <c r="BR368" i="6" s="1"/>
  <c r="BS368" i="6" s="1"/>
  <c r="BT368" i="6" s="1"/>
  <c r="BU368" i="6" s="1"/>
  <c r="BV368" i="6" s="1"/>
  <c r="BW368" i="6" s="1"/>
  <c r="BX368" i="6" s="1"/>
  <c r="BY368" i="6" s="1"/>
  <c r="BZ368" i="6" s="1"/>
  <c r="CA368" i="6" s="1"/>
  <c r="CB368" i="6" s="1"/>
  <c r="CC368" i="6" s="1"/>
  <c r="CD368" i="6" s="1"/>
  <c r="CE368" i="6" s="1"/>
  <c r="CF368" i="6" s="1"/>
  <c r="CG368" i="6" s="1"/>
  <c r="CH368" i="6" s="1"/>
  <c r="CI368" i="6" s="1"/>
  <c r="CJ368" i="6" s="1"/>
  <c r="CK368" i="6" s="1"/>
  <c r="CL368" i="6" s="1"/>
  <c r="CM368" i="6" s="1"/>
  <c r="CN368" i="6" s="1"/>
  <c r="CO368" i="6" s="1"/>
  <c r="CP368" i="6" s="1"/>
  <c r="CQ368" i="6" s="1"/>
  <c r="CR368" i="6" s="1"/>
  <c r="CS368" i="6" s="1"/>
  <c r="CT368" i="6" s="1"/>
  <c r="CU368" i="6" s="1"/>
  <c r="CV368" i="6" s="1"/>
  <c r="CW368" i="6" s="1"/>
  <c r="CX368" i="6" s="1"/>
  <c r="CY368" i="6" s="1"/>
  <c r="CZ368" i="6" s="1"/>
  <c r="DA368" i="6" s="1"/>
  <c r="DB368" i="6" s="1"/>
  <c r="DC368" i="6" s="1"/>
  <c r="DD368" i="6" s="1"/>
  <c r="DE368" i="6" s="1"/>
  <c r="O318" i="6"/>
  <c r="O257" i="6"/>
  <c r="P257" i="6" s="1"/>
  <c r="Q257" i="6" s="1"/>
  <c r="R257" i="6" s="1"/>
  <c r="S257" i="6" s="1"/>
  <c r="T257" i="6" s="1"/>
  <c r="U257" i="6" s="1"/>
  <c r="V257" i="6" s="1"/>
  <c r="W257" i="6" s="1"/>
  <c r="X257" i="6" s="1"/>
  <c r="Y257" i="6" s="1"/>
  <c r="Z257" i="6" s="1"/>
  <c r="AA257" i="6" s="1"/>
  <c r="AB257" i="6" s="1"/>
  <c r="AC257" i="6" s="1"/>
  <c r="AD257" i="6" s="1"/>
  <c r="AE257" i="6" s="1"/>
  <c r="AF257" i="6" s="1"/>
  <c r="AG257" i="6" s="1"/>
  <c r="AH257" i="6" s="1"/>
  <c r="AI257" i="6" s="1"/>
  <c r="AJ257" i="6" s="1"/>
  <c r="AK257" i="6" s="1"/>
  <c r="AL257" i="6" s="1"/>
  <c r="AM257" i="6" s="1"/>
  <c r="AN257" i="6" s="1"/>
  <c r="AO257" i="6" s="1"/>
  <c r="AP257" i="6" s="1"/>
  <c r="AQ257" i="6" s="1"/>
  <c r="AR257" i="6" s="1"/>
  <c r="AS257" i="6" s="1"/>
  <c r="AT257" i="6" s="1"/>
  <c r="AU257" i="6" s="1"/>
  <c r="AV257" i="6" s="1"/>
  <c r="AW257" i="6" s="1"/>
  <c r="AX257" i="6" s="1"/>
  <c r="AY257" i="6" s="1"/>
  <c r="AZ257" i="6" s="1"/>
  <c r="BA257" i="6" s="1"/>
  <c r="BB257" i="6" s="1"/>
  <c r="BC257" i="6" s="1"/>
  <c r="BD257" i="6" s="1"/>
  <c r="BE257" i="6" s="1"/>
  <c r="BF257" i="6" s="1"/>
  <c r="BG257" i="6" s="1"/>
  <c r="BH257" i="6" s="1"/>
  <c r="BI257" i="6" s="1"/>
  <c r="BJ257" i="6" s="1"/>
  <c r="BK257" i="6" s="1"/>
  <c r="BL257" i="6" s="1"/>
  <c r="BM257" i="6" s="1"/>
  <c r="BN257" i="6" s="1"/>
  <c r="BO257" i="6" s="1"/>
  <c r="BP257" i="6" s="1"/>
  <c r="BQ257" i="6" s="1"/>
  <c r="BR257" i="6" s="1"/>
  <c r="BS257" i="6" s="1"/>
  <c r="BT257" i="6" s="1"/>
  <c r="BU257" i="6" s="1"/>
  <c r="BV257" i="6" s="1"/>
  <c r="BW257" i="6" s="1"/>
  <c r="BX257" i="6" s="1"/>
  <c r="BY257" i="6" s="1"/>
  <c r="BZ257" i="6" s="1"/>
  <c r="CA257" i="6" s="1"/>
  <c r="CB257" i="6" s="1"/>
  <c r="CC257" i="6" s="1"/>
  <c r="CD257" i="6" s="1"/>
  <c r="CE257" i="6" s="1"/>
  <c r="CF257" i="6" s="1"/>
  <c r="CG257" i="6" s="1"/>
  <c r="CH257" i="6" s="1"/>
  <c r="CI257" i="6" s="1"/>
  <c r="CJ257" i="6" s="1"/>
  <c r="CK257" i="6" s="1"/>
  <c r="CL257" i="6" s="1"/>
  <c r="CM257" i="6" s="1"/>
  <c r="CN257" i="6" s="1"/>
  <c r="CO257" i="6" s="1"/>
  <c r="CP257" i="6" s="1"/>
  <c r="CQ257" i="6" s="1"/>
  <c r="CR257" i="6" s="1"/>
  <c r="CS257" i="6" s="1"/>
  <c r="CT257" i="6" s="1"/>
  <c r="CU257" i="6" s="1"/>
  <c r="CV257" i="6" s="1"/>
  <c r="CW257" i="6" s="1"/>
  <c r="CX257" i="6" s="1"/>
  <c r="CY257" i="6" s="1"/>
  <c r="CZ257" i="6" s="1"/>
  <c r="DA257" i="6" s="1"/>
  <c r="DB257" i="6" s="1"/>
  <c r="DC257" i="6" s="1"/>
  <c r="DD257" i="6" s="1"/>
  <c r="DE257" i="6" s="1"/>
  <c r="DF257" i="6" s="1"/>
  <c r="HQ78" i="6"/>
  <c r="K7" i="5"/>
  <c r="L7" i="5" s="1"/>
  <c r="M7" i="5" s="1"/>
  <c r="N7" i="5" s="1"/>
  <c r="O7" i="5" s="1"/>
  <c r="P7" i="5" s="1"/>
  <c r="Q7" i="5" s="1"/>
  <c r="R7" i="5" s="1"/>
  <c r="S7" i="5" s="1"/>
  <c r="T7" i="5" s="1"/>
  <c r="U7" i="5" s="1"/>
  <c r="V7" i="5" s="1"/>
  <c r="W7" i="5" s="1"/>
  <c r="X7" i="5" s="1"/>
  <c r="Y7" i="5" s="1"/>
  <c r="Z7" i="5" s="1"/>
  <c r="AA7" i="5" s="1"/>
  <c r="AB7" i="5" s="1"/>
  <c r="AC7" i="5" s="1"/>
  <c r="AD7" i="5" s="1"/>
  <c r="AE7" i="5" s="1"/>
  <c r="AF7" i="5" s="1"/>
  <c r="AG7" i="5" s="1"/>
  <c r="AH7" i="5" s="1"/>
  <c r="AI7" i="5" s="1"/>
  <c r="AJ7" i="5" s="1"/>
  <c r="AK7" i="5" s="1"/>
  <c r="AL7" i="5" s="1"/>
  <c r="AM7" i="5" s="1"/>
  <c r="AN7" i="5" s="1"/>
  <c r="AO7" i="5" s="1"/>
  <c r="AP7" i="5" s="1"/>
  <c r="AQ7" i="5" s="1"/>
  <c r="AR7" i="5" s="1"/>
  <c r="AS7" i="5" s="1"/>
  <c r="AT7" i="5" s="1"/>
  <c r="AU7" i="5" s="1"/>
  <c r="AV7" i="5" s="1"/>
  <c r="AW7" i="5" s="1"/>
  <c r="AX7" i="5" s="1"/>
  <c r="AY7" i="5" s="1"/>
  <c r="AZ7" i="5" s="1"/>
  <c r="BA7" i="5" s="1"/>
  <c r="BB7" i="5" s="1"/>
  <c r="BC7" i="5" s="1"/>
  <c r="BD7" i="5" s="1"/>
  <c r="BE7" i="5" s="1"/>
  <c r="BF7" i="5" s="1"/>
  <c r="BG7" i="5" s="1"/>
  <c r="BH7" i="5" s="1"/>
  <c r="BI7" i="5" s="1"/>
  <c r="BJ7" i="5" s="1"/>
  <c r="BK7" i="5" s="1"/>
  <c r="BL7" i="5" s="1"/>
  <c r="BM7" i="5" s="1"/>
  <c r="BN7" i="5" s="1"/>
  <c r="BO7" i="5" s="1"/>
  <c r="BP7" i="5" s="1"/>
  <c r="BQ7" i="5" s="1"/>
  <c r="BR7" i="5" s="1"/>
  <c r="BS7" i="5" s="1"/>
  <c r="BT7" i="5" s="1"/>
  <c r="BU7" i="5" s="1"/>
  <c r="BV7" i="5" s="1"/>
  <c r="BW7" i="5" s="1"/>
  <c r="BX7" i="5" s="1"/>
  <c r="BY7" i="5" s="1"/>
  <c r="BZ7" i="5" s="1"/>
  <c r="CA7" i="5" s="1"/>
  <c r="CB7" i="5" s="1"/>
  <c r="CC7" i="5" s="1"/>
  <c r="CD7" i="5" s="1"/>
  <c r="CE7" i="5" s="1"/>
  <c r="CF7" i="5" s="1"/>
  <c r="CG7" i="5" s="1"/>
  <c r="CH7" i="5" s="1"/>
  <c r="CI7" i="5" s="1"/>
  <c r="CJ7" i="5" s="1"/>
  <c r="CK7" i="5" s="1"/>
  <c r="CL7" i="5" s="1"/>
  <c r="CM7" i="5" s="1"/>
  <c r="CN7" i="5" s="1"/>
  <c r="CO7" i="5" s="1"/>
  <c r="CP7" i="5" s="1"/>
  <c r="CQ7" i="5" s="1"/>
  <c r="CR7" i="5" s="1"/>
  <c r="CS7" i="5" s="1"/>
  <c r="CT7" i="5" s="1"/>
  <c r="CU7" i="5" s="1"/>
  <c r="CV7" i="5" s="1"/>
  <c r="CW7" i="5" s="1"/>
  <c r="CX7" i="5" s="1"/>
  <c r="CY7" i="5" s="1"/>
  <c r="CZ7" i="5" s="1"/>
  <c r="DA7" i="5" s="1"/>
  <c r="DB7" i="5" s="1"/>
  <c r="DC7" i="5" s="1"/>
  <c r="DD7" i="5" s="1"/>
  <c r="DE7" i="5" s="1"/>
  <c r="DF7" i="5" s="1"/>
  <c r="DG7" i="5" s="1"/>
  <c r="DH7" i="5" s="1"/>
  <c r="DI7" i="5" s="1"/>
  <c r="DJ7" i="5" s="1"/>
  <c r="DK7" i="5" s="1"/>
  <c r="DL7" i="5" s="1"/>
  <c r="DM7" i="5" s="1"/>
  <c r="DN7" i="5" s="1"/>
  <c r="DO7" i="5" s="1"/>
  <c r="DP7" i="5" s="1"/>
  <c r="DQ7" i="5" s="1"/>
  <c r="DR7" i="5" s="1"/>
  <c r="DS7" i="5" s="1"/>
  <c r="DT7" i="5" s="1"/>
  <c r="DU7" i="5" s="1"/>
  <c r="DV7" i="5" s="1"/>
  <c r="DW7" i="5" s="1"/>
  <c r="DX7" i="5" s="1"/>
  <c r="DY7" i="5" s="1"/>
  <c r="DZ7" i="5" s="1"/>
  <c r="EA7" i="5" s="1"/>
  <c r="EB7" i="5" s="1"/>
  <c r="EC7" i="5" s="1"/>
  <c r="ED7" i="5" s="1"/>
  <c r="EE7" i="5" s="1"/>
  <c r="EF7" i="5" s="1"/>
  <c r="EG7" i="5" s="1"/>
  <c r="EH7" i="5" s="1"/>
  <c r="EI7" i="5" s="1"/>
  <c r="EJ7" i="5" s="1"/>
  <c r="EK7" i="5" s="1"/>
  <c r="EL7" i="5" s="1"/>
  <c r="EM7" i="5" s="1"/>
  <c r="EN7" i="5" s="1"/>
  <c r="EO7" i="5" s="1"/>
  <c r="EP7" i="5" s="1"/>
  <c r="CJ81" i="4"/>
  <c r="CK81" i="4" s="1"/>
  <c r="K72" i="1"/>
  <c r="K73" i="1" s="1"/>
  <c r="DC394" i="6" l="1"/>
  <c r="EQ7" i="5"/>
  <c r="EP8" i="5"/>
  <c r="DF388" i="6"/>
  <c r="DF328" i="6"/>
  <c r="DF256" i="6"/>
  <c r="DF251" i="6"/>
  <c r="DF392" i="6"/>
  <c r="DF84" i="6"/>
  <c r="DF312" i="6"/>
  <c r="DF170" i="6"/>
  <c r="HQ170" i="6" s="1"/>
  <c r="DF254" i="6"/>
  <c r="HQ254" i="6" s="1"/>
  <c r="DF306" i="6"/>
  <c r="DF71" i="6"/>
  <c r="DF74" i="6"/>
  <c r="HQ74" i="6" s="1"/>
  <c r="DF380" i="6"/>
  <c r="DF80" i="6"/>
  <c r="HQ80" i="6" s="1"/>
  <c r="DF72" i="6"/>
  <c r="DF179" i="6"/>
  <c r="DF340" i="6"/>
  <c r="DF382" i="6"/>
  <c r="DF336" i="6"/>
  <c r="DF173" i="6"/>
  <c r="DF181" i="6"/>
  <c r="DF308" i="6"/>
  <c r="DF162" i="6"/>
  <c r="HQ162" i="6" s="1"/>
  <c r="DF368" i="6"/>
  <c r="DF378" i="6"/>
  <c r="DF164" i="6"/>
  <c r="HQ164" i="6" s="1"/>
  <c r="DF76" i="6"/>
  <c r="HQ76" i="6" s="1"/>
  <c r="DF252" i="6"/>
  <c r="HQ252" i="6" s="1"/>
  <c r="DF320" i="6"/>
  <c r="HQ320" i="6" s="1"/>
  <c r="DF396" i="6"/>
  <c r="P310" i="6"/>
  <c r="Q310" i="6" s="1"/>
  <c r="R310" i="6" s="1"/>
  <c r="S310" i="6" s="1"/>
  <c r="T310" i="6" s="1"/>
  <c r="U310" i="6" s="1"/>
  <c r="V310" i="6" s="1"/>
  <c r="W310" i="6" s="1"/>
  <c r="X310" i="6" s="1"/>
  <c r="Y310" i="6" s="1"/>
  <c r="Z310" i="6" s="1"/>
  <c r="AA310" i="6" s="1"/>
  <c r="AB310" i="6" s="1"/>
  <c r="AC310" i="6" s="1"/>
  <c r="AD310" i="6" s="1"/>
  <c r="AE310" i="6" s="1"/>
  <c r="AF310" i="6" s="1"/>
  <c r="AG310" i="6" s="1"/>
  <c r="AH310" i="6" s="1"/>
  <c r="AI310" i="6" s="1"/>
  <c r="AJ310" i="6" s="1"/>
  <c r="AK310" i="6" s="1"/>
  <c r="AL310" i="6" s="1"/>
  <c r="AM310" i="6" s="1"/>
  <c r="AN310" i="6" s="1"/>
  <c r="AO310" i="6" s="1"/>
  <c r="AP310" i="6" s="1"/>
  <c r="AQ310" i="6" s="1"/>
  <c r="AR310" i="6" s="1"/>
  <c r="AS310" i="6" s="1"/>
  <c r="AT310" i="6" s="1"/>
  <c r="AU310" i="6" s="1"/>
  <c r="AV310" i="6" s="1"/>
  <c r="AW310" i="6" s="1"/>
  <c r="AX310" i="6" s="1"/>
  <c r="AY310" i="6" s="1"/>
  <c r="AZ310" i="6" s="1"/>
  <c r="BA310" i="6" s="1"/>
  <c r="BB310" i="6" s="1"/>
  <c r="BC310" i="6" s="1"/>
  <c r="BD310" i="6" s="1"/>
  <c r="BE310" i="6" s="1"/>
  <c r="BF310" i="6" s="1"/>
  <c r="BG310" i="6" s="1"/>
  <c r="BH310" i="6" s="1"/>
  <c r="BI310" i="6" s="1"/>
  <c r="BJ310" i="6" s="1"/>
  <c r="BK310" i="6" s="1"/>
  <c r="BL310" i="6" s="1"/>
  <c r="BM310" i="6" s="1"/>
  <c r="BN310" i="6" s="1"/>
  <c r="BO310" i="6" s="1"/>
  <c r="BP310" i="6" s="1"/>
  <c r="BQ310" i="6" s="1"/>
  <c r="BR310" i="6" s="1"/>
  <c r="BS310" i="6" s="1"/>
  <c r="BT310" i="6" s="1"/>
  <c r="BU310" i="6" s="1"/>
  <c r="BV310" i="6" s="1"/>
  <c r="BW310" i="6" s="1"/>
  <c r="BX310" i="6" s="1"/>
  <c r="BY310" i="6" s="1"/>
  <c r="BZ310" i="6" s="1"/>
  <c r="CA310" i="6" s="1"/>
  <c r="CB310" i="6" s="1"/>
  <c r="CC310" i="6" s="1"/>
  <c r="CD310" i="6" s="1"/>
  <c r="CE310" i="6" s="1"/>
  <c r="CF310" i="6" s="1"/>
  <c r="CG310" i="6" s="1"/>
  <c r="CH310" i="6" s="1"/>
  <c r="CI310" i="6" s="1"/>
  <c r="CJ310" i="6" s="1"/>
  <c r="CK310" i="6" s="1"/>
  <c r="CL310" i="6" s="1"/>
  <c r="CM310" i="6" s="1"/>
  <c r="CN310" i="6" s="1"/>
  <c r="CO310" i="6" s="1"/>
  <c r="CP310" i="6" s="1"/>
  <c r="CQ310" i="6" s="1"/>
  <c r="CR310" i="6" s="1"/>
  <c r="CS310" i="6" s="1"/>
  <c r="CT310" i="6" s="1"/>
  <c r="CU310" i="6" s="1"/>
  <c r="CV310" i="6" s="1"/>
  <c r="CW310" i="6" s="1"/>
  <c r="CX310" i="6" s="1"/>
  <c r="CY310" i="6" s="1"/>
  <c r="CZ310" i="6" s="1"/>
  <c r="DA310" i="6" s="1"/>
  <c r="DB310" i="6" s="1"/>
  <c r="DC310" i="6" s="1"/>
  <c r="DD310" i="6" s="1"/>
  <c r="DE310" i="6" s="1"/>
  <c r="DF310" i="6" s="1"/>
  <c r="P316" i="6"/>
  <c r="Q316" i="6" s="1"/>
  <c r="R316" i="6" s="1"/>
  <c r="S316" i="6" s="1"/>
  <c r="T316" i="6" s="1"/>
  <c r="U316" i="6" s="1"/>
  <c r="V316" i="6" s="1"/>
  <c r="W316" i="6" s="1"/>
  <c r="X316" i="6" s="1"/>
  <c r="Y316" i="6" s="1"/>
  <c r="Z316" i="6" s="1"/>
  <c r="AA316" i="6" s="1"/>
  <c r="AB316" i="6" s="1"/>
  <c r="AC316" i="6" s="1"/>
  <c r="AD316" i="6" s="1"/>
  <c r="AE316" i="6" s="1"/>
  <c r="AF316" i="6" s="1"/>
  <c r="AG316" i="6" s="1"/>
  <c r="AH316" i="6" s="1"/>
  <c r="AI316" i="6" s="1"/>
  <c r="AJ316" i="6" s="1"/>
  <c r="AK316" i="6" s="1"/>
  <c r="AL316" i="6" s="1"/>
  <c r="AM316" i="6" s="1"/>
  <c r="AN316" i="6" s="1"/>
  <c r="AO316" i="6" s="1"/>
  <c r="AP316" i="6" s="1"/>
  <c r="AQ316" i="6" s="1"/>
  <c r="AR316" i="6" s="1"/>
  <c r="AS316" i="6" s="1"/>
  <c r="AT316" i="6" s="1"/>
  <c r="AU316" i="6" s="1"/>
  <c r="AV316" i="6" s="1"/>
  <c r="AW316" i="6" s="1"/>
  <c r="AX316" i="6" s="1"/>
  <c r="AY316" i="6" s="1"/>
  <c r="AZ316" i="6" s="1"/>
  <c r="BA316" i="6" s="1"/>
  <c r="BB316" i="6" s="1"/>
  <c r="BC316" i="6" s="1"/>
  <c r="BD316" i="6" s="1"/>
  <c r="BE316" i="6" s="1"/>
  <c r="BF316" i="6" s="1"/>
  <c r="BG316" i="6" s="1"/>
  <c r="BH316" i="6" s="1"/>
  <c r="BI316" i="6" s="1"/>
  <c r="BJ316" i="6" s="1"/>
  <c r="BK316" i="6" s="1"/>
  <c r="BL316" i="6" s="1"/>
  <c r="BM316" i="6" s="1"/>
  <c r="BN316" i="6" s="1"/>
  <c r="BO316" i="6" s="1"/>
  <c r="BP316" i="6" s="1"/>
  <c r="BQ316" i="6" s="1"/>
  <c r="BR316" i="6" s="1"/>
  <c r="BS316" i="6" s="1"/>
  <c r="BT316" i="6" s="1"/>
  <c r="BU316" i="6" s="1"/>
  <c r="BV316" i="6" s="1"/>
  <c r="BW316" i="6" s="1"/>
  <c r="BX316" i="6" s="1"/>
  <c r="BY316" i="6" s="1"/>
  <c r="BZ316" i="6" s="1"/>
  <c r="CA316" i="6" s="1"/>
  <c r="CB316" i="6" s="1"/>
  <c r="CC316" i="6" s="1"/>
  <c r="CD316" i="6" s="1"/>
  <c r="CE316" i="6" s="1"/>
  <c r="CF316" i="6" s="1"/>
  <c r="CG316" i="6" s="1"/>
  <c r="CH316" i="6" s="1"/>
  <c r="CI316" i="6" s="1"/>
  <c r="CJ316" i="6" s="1"/>
  <c r="CK316" i="6" s="1"/>
  <c r="CL316" i="6" s="1"/>
  <c r="CM316" i="6" s="1"/>
  <c r="CN316" i="6" s="1"/>
  <c r="CO316" i="6" s="1"/>
  <c r="CP316" i="6" s="1"/>
  <c r="CQ316" i="6" s="1"/>
  <c r="CR316" i="6" s="1"/>
  <c r="CS316" i="6" s="1"/>
  <c r="CT316" i="6" s="1"/>
  <c r="CU316" i="6" s="1"/>
  <c r="CV316" i="6" s="1"/>
  <c r="CW316" i="6" s="1"/>
  <c r="CX316" i="6" s="1"/>
  <c r="CY316" i="6" s="1"/>
  <c r="CZ316" i="6" s="1"/>
  <c r="DA316" i="6" s="1"/>
  <c r="DB316" i="6" s="1"/>
  <c r="DC316" i="6" s="1"/>
  <c r="DD316" i="6" s="1"/>
  <c r="DE316" i="6" s="1"/>
  <c r="DF316" i="6" s="1"/>
  <c r="P322" i="6"/>
  <c r="Q322" i="6" s="1"/>
  <c r="R322" i="6" s="1"/>
  <c r="S322" i="6" s="1"/>
  <c r="T322" i="6" s="1"/>
  <c r="U322" i="6" s="1"/>
  <c r="V322" i="6" s="1"/>
  <c r="W322" i="6" s="1"/>
  <c r="X322" i="6" s="1"/>
  <c r="Y322" i="6" s="1"/>
  <c r="Z322" i="6" s="1"/>
  <c r="AA322" i="6" s="1"/>
  <c r="AB322" i="6" s="1"/>
  <c r="AC322" i="6" s="1"/>
  <c r="AD322" i="6" s="1"/>
  <c r="AE322" i="6" s="1"/>
  <c r="AF322" i="6" s="1"/>
  <c r="AG322" i="6" s="1"/>
  <c r="AH322" i="6" s="1"/>
  <c r="AI322" i="6" s="1"/>
  <c r="AJ322" i="6" s="1"/>
  <c r="AK322" i="6" s="1"/>
  <c r="AL322" i="6" s="1"/>
  <c r="AM322" i="6" s="1"/>
  <c r="AN322" i="6" s="1"/>
  <c r="AO322" i="6" s="1"/>
  <c r="AP322" i="6" s="1"/>
  <c r="AQ322" i="6" s="1"/>
  <c r="AR322" i="6" s="1"/>
  <c r="AS322" i="6" s="1"/>
  <c r="AT322" i="6" s="1"/>
  <c r="AU322" i="6" s="1"/>
  <c r="AV322" i="6" s="1"/>
  <c r="AW322" i="6" s="1"/>
  <c r="AX322" i="6" s="1"/>
  <c r="AY322" i="6" s="1"/>
  <c r="AZ322" i="6" s="1"/>
  <c r="BA322" i="6" s="1"/>
  <c r="BB322" i="6" s="1"/>
  <c r="BC322" i="6" s="1"/>
  <c r="BD322" i="6" s="1"/>
  <c r="BE322" i="6" s="1"/>
  <c r="BF322" i="6" s="1"/>
  <c r="BG322" i="6" s="1"/>
  <c r="BH322" i="6" s="1"/>
  <c r="BI322" i="6" s="1"/>
  <c r="BJ322" i="6" s="1"/>
  <c r="BK322" i="6" s="1"/>
  <c r="BL322" i="6" s="1"/>
  <c r="BM322" i="6" s="1"/>
  <c r="BN322" i="6" s="1"/>
  <c r="BO322" i="6" s="1"/>
  <c r="BP322" i="6" s="1"/>
  <c r="BQ322" i="6" s="1"/>
  <c r="BR322" i="6" s="1"/>
  <c r="BS322" i="6" s="1"/>
  <c r="BT322" i="6" s="1"/>
  <c r="BU322" i="6" s="1"/>
  <c r="BV322" i="6" s="1"/>
  <c r="BW322" i="6" s="1"/>
  <c r="BX322" i="6" s="1"/>
  <c r="BY322" i="6" s="1"/>
  <c r="BZ322" i="6" s="1"/>
  <c r="CA322" i="6" s="1"/>
  <c r="CB322" i="6" s="1"/>
  <c r="CC322" i="6" s="1"/>
  <c r="CD322" i="6" s="1"/>
  <c r="CE322" i="6" s="1"/>
  <c r="CF322" i="6" s="1"/>
  <c r="CG322" i="6" s="1"/>
  <c r="CH322" i="6" s="1"/>
  <c r="CI322" i="6" s="1"/>
  <c r="CJ322" i="6" s="1"/>
  <c r="CK322" i="6" s="1"/>
  <c r="CL322" i="6" s="1"/>
  <c r="CM322" i="6" s="1"/>
  <c r="CN322" i="6" s="1"/>
  <c r="CO322" i="6" s="1"/>
  <c r="CP322" i="6" s="1"/>
  <c r="CQ322" i="6" s="1"/>
  <c r="CR322" i="6" s="1"/>
  <c r="CS322" i="6" s="1"/>
  <c r="CT322" i="6" s="1"/>
  <c r="CU322" i="6" s="1"/>
  <c r="CV322" i="6" s="1"/>
  <c r="CW322" i="6" s="1"/>
  <c r="CX322" i="6" s="1"/>
  <c r="CY322" i="6" s="1"/>
  <c r="CZ322" i="6" s="1"/>
  <c r="DA322" i="6" s="1"/>
  <c r="DB322" i="6" s="1"/>
  <c r="DC322" i="6" s="1"/>
  <c r="DD322" i="6" s="1"/>
  <c r="DE322" i="6" s="1"/>
  <c r="P168" i="6"/>
  <c r="Q168" i="6" s="1"/>
  <c r="R168" i="6" s="1"/>
  <c r="S168" i="6" s="1"/>
  <c r="T168" i="6" s="1"/>
  <c r="U168" i="6" s="1"/>
  <c r="V168" i="6" s="1"/>
  <c r="W168" i="6" s="1"/>
  <c r="X168" i="6" s="1"/>
  <c r="Y168" i="6" s="1"/>
  <c r="Z168" i="6" s="1"/>
  <c r="AA168" i="6" s="1"/>
  <c r="AB168" i="6" s="1"/>
  <c r="AC168" i="6" s="1"/>
  <c r="AD168" i="6" s="1"/>
  <c r="AE168" i="6" s="1"/>
  <c r="AF168" i="6" s="1"/>
  <c r="AG168" i="6" s="1"/>
  <c r="AH168" i="6" s="1"/>
  <c r="AI168" i="6" s="1"/>
  <c r="AJ168" i="6" s="1"/>
  <c r="AK168" i="6" s="1"/>
  <c r="AL168" i="6" s="1"/>
  <c r="AM168" i="6" s="1"/>
  <c r="AN168" i="6" s="1"/>
  <c r="AO168" i="6" s="1"/>
  <c r="AP168" i="6" s="1"/>
  <c r="AQ168" i="6" s="1"/>
  <c r="AR168" i="6" s="1"/>
  <c r="AS168" i="6" s="1"/>
  <c r="AT168" i="6" s="1"/>
  <c r="AU168" i="6" s="1"/>
  <c r="AV168" i="6" s="1"/>
  <c r="AW168" i="6" s="1"/>
  <c r="AX168" i="6" s="1"/>
  <c r="AY168" i="6" s="1"/>
  <c r="AZ168" i="6" s="1"/>
  <c r="BA168" i="6" s="1"/>
  <c r="BB168" i="6" s="1"/>
  <c r="BC168" i="6" s="1"/>
  <c r="BD168" i="6" s="1"/>
  <c r="BE168" i="6" s="1"/>
  <c r="BF168" i="6" s="1"/>
  <c r="BG168" i="6" s="1"/>
  <c r="BH168" i="6" s="1"/>
  <c r="BI168" i="6" s="1"/>
  <c r="BJ168" i="6" s="1"/>
  <c r="BK168" i="6" s="1"/>
  <c r="BL168" i="6" s="1"/>
  <c r="BM168" i="6" s="1"/>
  <c r="BN168" i="6" s="1"/>
  <c r="BO168" i="6" s="1"/>
  <c r="BP168" i="6" s="1"/>
  <c r="BQ168" i="6" s="1"/>
  <c r="BR168" i="6" s="1"/>
  <c r="BS168" i="6" s="1"/>
  <c r="BT168" i="6" s="1"/>
  <c r="BU168" i="6" s="1"/>
  <c r="BV168" i="6" s="1"/>
  <c r="BW168" i="6" s="1"/>
  <c r="BX168" i="6" s="1"/>
  <c r="BY168" i="6" s="1"/>
  <c r="BZ168" i="6" s="1"/>
  <c r="CA168" i="6" s="1"/>
  <c r="CB168" i="6" s="1"/>
  <c r="CC168" i="6" s="1"/>
  <c r="CD168" i="6" s="1"/>
  <c r="CE168" i="6" s="1"/>
  <c r="CF168" i="6" s="1"/>
  <c r="CG168" i="6" s="1"/>
  <c r="CH168" i="6" s="1"/>
  <c r="CI168" i="6" s="1"/>
  <c r="CJ168" i="6" s="1"/>
  <c r="CK168" i="6" s="1"/>
  <c r="CL168" i="6" s="1"/>
  <c r="CM168" i="6" s="1"/>
  <c r="CN168" i="6" s="1"/>
  <c r="CO168" i="6" s="1"/>
  <c r="CP168" i="6" s="1"/>
  <c r="CQ168" i="6" s="1"/>
  <c r="CR168" i="6" s="1"/>
  <c r="CS168" i="6" s="1"/>
  <c r="CT168" i="6" s="1"/>
  <c r="CU168" i="6" s="1"/>
  <c r="CV168" i="6" s="1"/>
  <c r="CW168" i="6" s="1"/>
  <c r="CX168" i="6" s="1"/>
  <c r="CY168" i="6" s="1"/>
  <c r="CZ168" i="6" s="1"/>
  <c r="DA168" i="6" s="1"/>
  <c r="DB168" i="6" s="1"/>
  <c r="DC168" i="6" s="1"/>
  <c r="DD168" i="6" s="1"/>
  <c r="DE168" i="6" s="1"/>
  <c r="DF168" i="6" s="1"/>
  <c r="P318" i="6"/>
  <c r="HQ352" i="6"/>
  <c r="HQ166" i="6"/>
  <c r="HQ312" i="6"/>
  <c r="HQ314" i="6"/>
  <c r="HQ72" i="6"/>
  <c r="CL81" i="4"/>
  <c r="CM81" i="4" s="1"/>
  <c r="CN81" i="4" s="1"/>
  <c r="CO81" i="4" s="1"/>
  <c r="CP81" i="4" s="1"/>
  <c r="CQ81" i="4" s="1"/>
  <c r="CR81" i="4" s="1"/>
  <c r="CS81" i="4" s="1"/>
  <c r="CT81" i="4" s="1"/>
  <c r="CU81" i="4" s="1"/>
  <c r="CV81" i="4" s="1"/>
  <c r="CW81" i="4" s="1"/>
  <c r="CX81" i="4" s="1"/>
  <c r="CY81" i="4" s="1"/>
  <c r="CZ81" i="4" s="1"/>
  <c r="DA81" i="4" s="1"/>
  <c r="DB81" i="4" s="1"/>
  <c r="DC81" i="4" s="1"/>
  <c r="DD81" i="4" s="1"/>
  <c r="DE81" i="4" s="1"/>
  <c r="DF81" i="4" s="1"/>
  <c r="DG81" i="4" s="1"/>
  <c r="DH81" i="4" s="1"/>
  <c r="DI81" i="4" s="1"/>
  <c r="DJ81" i="4" s="1"/>
  <c r="DK81" i="4" s="1"/>
  <c r="DL81" i="4" s="1"/>
  <c r="DM81" i="4" s="1"/>
  <c r="DN81" i="4" s="1"/>
  <c r="DO81" i="4" s="1"/>
  <c r="DP81" i="4" s="1"/>
  <c r="DQ81" i="4" s="1"/>
  <c r="DR81" i="4" s="1"/>
  <c r="DS81" i="4" s="1"/>
  <c r="DT81" i="4" s="1"/>
  <c r="DU81" i="4" s="1"/>
  <c r="DV81" i="4" s="1"/>
  <c r="DW81" i="4" s="1"/>
  <c r="DX81" i="4" s="1"/>
  <c r="DY81" i="4" s="1"/>
  <c r="DZ81" i="4" s="1"/>
  <c r="EA81" i="4" s="1"/>
  <c r="EB81" i="4" s="1"/>
  <c r="EC81" i="4" s="1"/>
  <c r="ED81" i="4" s="1"/>
  <c r="EE81" i="4" s="1"/>
  <c r="EF81" i="4" s="1"/>
  <c r="EG81" i="4" s="1"/>
  <c r="EH81" i="4" s="1"/>
  <c r="EI81" i="4" s="1"/>
  <c r="EJ81" i="4" s="1"/>
  <c r="EK81" i="4" s="1"/>
  <c r="EL81" i="4" s="1"/>
  <c r="EM81" i="4" s="1"/>
  <c r="EN81" i="4" s="1"/>
  <c r="EO81" i="4" s="1"/>
  <c r="EP81" i="4" s="1"/>
  <c r="EQ81" i="4" s="1"/>
  <c r="ER81" i="4" s="1"/>
  <c r="ES81" i="4" s="1"/>
  <c r="L72" i="1"/>
  <c r="L73" i="1" s="1"/>
  <c r="DD394" i="6" l="1"/>
  <c r="DE394" i="6" s="1"/>
  <c r="ER7" i="5"/>
  <c r="EQ8" i="5"/>
  <c r="EL14" i="5" s="1"/>
  <c r="ET81" i="4"/>
  <c r="DF322" i="6"/>
  <c r="Q318" i="6"/>
  <c r="HQ168" i="6"/>
  <c r="HQ322" i="6"/>
  <c r="HQ316" i="6"/>
  <c r="HQ310" i="6"/>
  <c r="M72" i="1"/>
  <c r="M73" i="1" s="1"/>
  <c r="DF394" i="6" l="1"/>
  <c r="ES7" i="5"/>
  <c r="ES8" i="5" s="1"/>
  <c r="EN14" i="5" s="1"/>
  <c r="ER8" i="5"/>
  <c r="EM14" i="5" s="1"/>
  <c r="ET7" i="5"/>
  <c r="ET8" i="5" s="1"/>
  <c r="R318" i="6"/>
  <c r="N72" i="1"/>
  <c r="O72" i="1" s="1"/>
  <c r="P72" i="1" s="1"/>
  <c r="Q72" i="1" s="1"/>
  <c r="R72" i="1" s="1"/>
  <c r="S72" i="1" s="1"/>
  <c r="T72" i="1" s="1"/>
  <c r="U72" i="1" s="1"/>
  <c r="V72" i="1" s="1"/>
  <c r="W72" i="1" s="1"/>
  <c r="X72" i="1" s="1"/>
  <c r="Y72" i="1" s="1"/>
  <c r="Z72" i="1" s="1"/>
  <c r="AA72" i="1" s="1"/>
  <c r="AB72" i="1" s="1"/>
  <c r="S318" i="6" l="1"/>
  <c r="T318" i="6" s="1"/>
  <c r="U318" i="6" s="1"/>
  <c r="V318" i="6" s="1"/>
  <c r="W318" i="6" s="1"/>
  <c r="X318" i="6" s="1"/>
  <c r="Y318" i="6" s="1"/>
  <c r="Z318" i="6" s="1"/>
  <c r="AA318" i="6" s="1"/>
  <c r="AB318" i="6" s="1"/>
  <c r="AC318" i="6" s="1"/>
  <c r="AD318" i="6" s="1"/>
  <c r="AE318" i="6" s="1"/>
  <c r="AF318" i="6" s="1"/>
  <c r="AG318" i="6" s="1"/>
  <c r="AH318" i="6" s="1"/>
  <c r="AI318" i="6" s="1"/>
  <c r="AJ318" i="6" s="1"/>
  <c r="AK318" i="6" s="1"/>
  <c r="AL318" i="6" s="1"/>
  <c r="AM318" i="6" s="1"/>
  <c r="AN318" i="6" s="1"/>
  <c r="AO318" i="6" s="1"/>
  <c r="AP318" i="6" s="1"/>
  <c r="AQ318" i="6" s="1"/>
  <c r="AR318" i="6" s="1"/>
  <c r="AS318" i="6" s="1"/>
  <c r="AT318" i="6" s="1"/>
  <c r="AU318" i="6" s="1"/>
  <c r="AV318" i="6" s="1"/>
  <c r="AW318" i="6" s="1"/>
  <c r="AX318" i="6" s="1"/>
  <c r="AY318" i="6" s="1"/>
  <c r="AZ318" i="6" s="1"/>
  <c r="BA318" i="6" s="1"/>
  <c r="BB318" i="6" s="1"/>
  <c r="BC318" i="6" s="1"/>
  <c r="BD318" i="6" s="1"/>
  <c r="BE318" i="6" s="1"/>
  <c r="BF318" i="6" s="1"/>
  <c r="BG318" i="6" s="1"/>
  <c r="BH318" i="6" s="1"/>
  <c r="BI318" i="6" s="1"/>
  <c r="BJ318" i="6" s="1"/>
  <c r="BK318" i="6" s="1"/>
  <c r="BL318" i="6" s="1"/>
  <c r="BM318" i="6" s="1"/>
  <c r="BN318" i="6" s="1"/>
  <c r="BO318" i="6" s="1"/>
  <c r="BP318" i="6" s="1"/>
  <c r="BQ318" i="6" s="1"/>
  <c r="BR318" i="6" s="1"/>
  <c r="BS318" i="6" s="1"/>
  <c r="BT318" i="6" s="1"/>
  <c r="BU318" i="6" s="1"/>
  <c r="BV318" i="6" s="1"/>
  <c r="BW318" i="6" s="1"/>
  <c r="BX318" i="6" s="1"/>
  <c r="BY318" i="6" s="1"/>
  <c r="BZ318" i="6" s="1"/>
  <c r="CA318" i="6" s="1"/>
  <c r="CB318" i="6" s="1"/>
  <c r="CC318" i="6" s="1"/>
  <c r="CD318" i="6" s="1"/>
  <c r="CE318" i="6" s="1"/>
  <c r="CF318" i="6" s="1"/>
  <c r="CG318" i="6" s="1"/>
  <c r="CH318" i="6" s="1"/>
  <c r="CI318" i="6" s="1"/>
  <c r="CJ318" i="6" s="1"/>
  <c r="CK318" i="6" s="1"/>
  <c r="CL318" i="6" s="1"/>
  <c r="CM318" i="6" s="1"/>
  <c r="CN318" i="6" s="1"/>
  <c r="CO318" i="6" s="1"/>
  <c r="CP318" i="6" s="1"/>
  <c r="CQ318" i="6" s="1"/>
  <c r="CR318" i="6" s="1"/>
  <c r="CS318" i="6" s="1"/>
  <c r="CT318" i="6" s="1"/>
  <c r="CU318" i="6" s="1"/>
  <c r="CV318" i="6" s="1"/>
  <c r="CW318" i="6" s="1"/>
  <c r="CX318" i="6" s="1"/>
  <c r="CY318" i="6" s="1"/>
  <c r="CZ318" i="6" s="1"/>
  <c r="DA318" i="6" s="1"/>
  <c r="DB318" i="6" s="1"/>
  <c r="DC318" i="6" s="1"/>
  <c r="DD318" i="6" s="1"/>
  <c r="DE318" i="6" s="1"/>
  <c r="DF318" i="6" s="1"/>
  <c r="AC72" i="1"/>
  <c r="HQ318" i="6" l="1"/>
  <c r="AD72" i="1"/>
  <c r="AE72" i="1" l="1"/>
  <c r="AF72" i="1" l="1"/>
  <c r="AG72" i="1" l="1"/>
  <c r="AH72" i="1" l="1"/>
  <c r="AI72" i="1" l="1"/>
  <c r="AJ72" i="1" l="1"/>
  <c r="AK72" i="1" l="1"/>
  <c r="AL72" i="1" l="1"/>
  <c r="AM72" i="1" l="1"/>
  <c r="AN72" i="1" l="1"/>
  <c r="AO72" i="1" l="1"/>
  <c r="AP72" i="1" l="1"/>
  <c r="AQ72" i="1" l="1"/>
  <c r="AR72" i="1" l="1"/>
  <c r="AS72" i="1" l="1"/>
  <c r="AT72" i="1" l="1"/>
  <c r="AU72" i="1" l="1"/>
  <c r="AV72" i="1" l="1"/>
  <c r="AW72" i="1" l="1"/>
  <c r="AX72" i="1" l="1"/>
  <c r="AY72" i="1" l="1"/>
  <c r="AZ72" i="1" l="1"/>
  <c r="BA72" i="1" l="1"/>
  <c r="BB72" i="1" l="1"/>
  <c r="BC72" i="1" l="1"/>
  <c r="BD72" i="1" l="1"/>
  <c r="BE72" i="1" l="1"/>
  <c r="BF72" i="1" l="1"/>
  <c r="BG72" i="1" l="1"/>
  <c r="BH72" i="1" l="1"/>
  <c r="BI72" i="1" l="1"/>
  <c r="BJ72" i="1" l="1"/>
  <c r="BK72" i="1" l="1"/>
  <c r="BL72" i="1" l="1"/>
  <c r="BM72" i="1" l="1"/>
  <c r="BN72" i="1" l="1"/>
  <c r="O364" i="6"/>
  <c r="P364" i="6" s="1"/>
  <c r="Q364" i="6" s="1"/>
  <c r="R364" i="6" s="1"/>
  <c r="L364" i="6"/>
  <c r="G364" i="6"/>
  <c r="H364" i="6" s="1"/>
  <c r="J362" i="6"/>
  <c r="H362" i="6"/>
  <c r="J360" i="6"/>
  <c r="H360" i="6"/>
  <c r="W358" i="6"/>
  <c r="O358" i="6"/>
  <c r="N358" i="6" s="1"/>
  <c r="M358" i="6" s="1"/>
  <c r="L358" i="6" s="1"/>
  <c r="K358" i="6" s="1"/>
  <c r="J358" i="6" s="1"/>
  <c r="I358" i="6"/>
  <c r="G358" i="6"/>
  <c r="H358" i="6" s="1"/>
  <c r="R356" i="6"/>
  <c r="J356" i="6"/>
  <c r="G356" i="6"/>
  <c r="H356" i="6" s="1"/>
  <c r="I354" i="6"/>
  <c r="N350" i="6"/>
  <c r="J350" i="6"/>
  <c r="G350" i="6"/>
  <c r="H350" i="6" s="1"/>
  <c r="AI348" i="6"/>
  <c r="AA348" i="6"/>
  <c r="Z348" i="6" s="1"/>
  <c r="Y348" i="6" s="1"/>
  <c r="X348" i="6" s="1"/>
  <c r="W348" i="6" s="1"/>
  <c r="V348" i="6" s="1"/>
  <c r="U348" i="6" s="1"/>
  <c r="T348" i="6" s="1"/>
  <c r="S348" i="6"/>
  <c r="R348" i="6" s="1"/>
  <c r="Q348" i="6" s="1"/>
  <c r="P348" i="6" s="1"/>
  <c r="O348" i="6" s="1"/>
  <c r="N348" i="6" s="1"/>
  <c r="M348" i="6" s="1"/>
  <c r="L348" i="6" s="1"/>
  <c r="K348" i="6"/>
  <c r="J348" i="6" s="1"/>
  <c r="G348" i="6"/>
  <c r="H348" i="6" s="1"/>
  <c r="J346" i="6"/>
  <c r="H346" i="6"/>
  <c r="J303" i="6"/>
  <c r="H303" i="6"/>
  <c r="J301" i="6"/>
  <c r="H301" i="6"/>
  <c r="J299" i="6"/>
  <c r="H299" i="6"/>
  <c r="J297" i="6"/>
  <c r="H297" i="6"/>
  <c r="J295" i="6"/>
  <c r="H295" i="6"/>
  <c r="J293" i="6"/>
  <c r="H293" i="6"/>
  <c r="J291" i="6"/>
  <c r="H291" i="6"/>
  <c r="J289" i="6"/>
  <c r="H289" i="6"/>
  <c r="J287" i="6"/>
  <c r="H287" i="6"/>
  <c r="J285" i="6"/>
  <c r="H285" i="6"/>
  <c r="J283" i="6"/>
  <c r="H283" i="6"/>
  <c r="J281" i="6"/>
  <c r="H281" i="6"/>
  <c r="J279" i="6"/>
  <c r="H279" i="6"/>
  <c r="G277" i="6"/>
  <c r="H277" i="6" s="1"/>
  <c r="J275" i="6"/>
  <c r="H275" i="6"/>
  <c r="J273" i="6"/>
  <c r="H273" i="6"/>
  <c r="M271" i="6"/>
  <c r="N271" i="6" s="1"/>
  <c r="O271" i="6" s="1"/>
  <c r="P271" i="6" s="1"/>
  <c r="Q271" i="6" s="1"/>
  <c r="R271" i="6" s="1"/>
  <c r="G271" i="6"/>
  <c r="J271" i="6" s="1"/>
  <c r="J269" i="6"/>
  <c r="H269" i="6"/>
  <c r="M267" i="6"/>
  <c r="N267" i="6" s="1"/>
  <c r="O267" i="6" s="1"/>
  <c r="P267" i="6" s="1"/>
  <c r="Q267" i="6" s="1"/>
  <c r="R267" i="6" s="1"/>
  <c r="J267" i="6"/>
  <c r="G267" i="6"/>
  <c r="H267" i="6" s="1"/>
  <c r="J265" i="6"/>
  <c r="H265" i="6"/>
  <c r="F263" i="6"/>
  <c r="F397" i="6" s="1"/>
  <c r="J249" i="6"/>
  <c r="H249" i="6"/>
  <c r="J247" i="6"/>
  <c r="H247" i="6"/>
  <c r="J245" i="6"/>
  <c r="H245" i="6"/>
  <c r="J243" i="6"/>
  <c r="H243" i="6"/>
  <c r="J241" i="6"/>
  <c r="H241" i="6"/>
  <c r="J239" i="6"/>
  <c r="H239" i="6"/>
  <c r="J237" i="6"/>
  <c r="H237" i="6"/>
  <c r="G235" i="6"/>
  <c r="H235" i="6" s="1"/>
  <c r="G233" i="6"/>
  <c r="J233" i="6" s="1"/>
  <c r="J231" i="6"/>
  <c r="H231" i="6"/>
  <c r="J229" i="6"/>
  <c r="H229" i="6"/>
  <c r="J227" i="6"/>
  <c r="H227" i="6"/>
  <c r="J225" i="6"/>
  <c r="H225" i="6"/>
  <c r="J223" i="6"/>
  <c r="H223" i="6"/>
  <c r="J221" i="6"/>
  <c r="H221" i="6"/>
  <c r="J219" i="6"/>
  <c r="H219" i="6"/>
  <c r="J217" i="6"/>
  <c r="H217" i="6"/>
  <c r="J215" i="6"/>
  <c r="H215" i="6"/>
  <c r="J213" i="6"/>
  <c r="H213" i="6"/>
  <c r="P211" i="6"/>
  <c r="L211" i="6"/>
  <c r="K211" i="6" s="1"/>
  <c r="J211" i="6" s="1"/>
  <c r="G211" i="6"/>
  <c r="H211" i="6" s="1"/>
  <c r="J209" i="6"/>
  <c r="H209" i="6"/>
  <c r="N207" i="6"/>
  <c r="J207" i="6"/>
  <c r="G207" i="6"/>
  <c r="H207" i="6" s="1"/>
  <c r="W205" i="6"/>
  <c r="S205" i="6"/>
  <c r="R205" i="6" s="1"/>
  <c r="Q205" i="6" s="1"/>
  <c r="P205" i="6" s="1"/>
  <c r="O205" i="6"/>
  <c r="N205" i="6" s="1"/>
  <c r="M205" i="6" s="1"/>
  <c r="L205" i="6" s="1"/>
  <c r="K205" i="6" s="1"/>
  <c r="J205" i="6" s="1"/>
  <c r="G205" i="6"/>
  <c r="H205" i="6" s="1"/>
  <c r="J203" i="6"/>
  <c r="H203" i="6"/>
  <c r="J201" i="6"/>
  <c r="H201" i="6"/>
  <c r="J199" i="6"/>
  <c r="H199" i="6"/>
  <c r="J197" i="6"/>
  <c r="H197" i="6"/>
  <c r="P195" i="6"/>
  <c r="L195" i="6"/>
  <c r="K195" i="6" s="1"/>
  <c r="J195" i="6" s="1"/>
  <c r="G195" i="6"/>
  <c r="H195" i="6" s="1"/>
  <c r="M193" i="6"/>
  <c r="H193" i="6"/>
  <c r="P191" i="6"/>
  <c r="L191" i="6"/>
  <c r="K191" i="6" s="1"/>
  <c r="J191" i="6" s="1"/>
  <c r="G191" i="6"/>
  <c r="H191" i="6" s="1"/>
  <c r="T189" i="6"/>
  <c r="P189" i="6"/>
  <c r="O189" i="6" s="1"/>
  <c r="N189" i="6" s="1"/>
  <c r="M189" i="6" s="1"/>
  <c r="L189" i="6"/>
  <c r="K189" i="6" s="1"/>
  <c r="J189" i="6" s="1"/>
  <c r="G189" i="6"/>
  <c r="H189" i="6" s="1"/>
  <c r="T187" i="6"/>
  <c r="P187" i="6"/>
  <c r="O187" i="6" s="1"/>
  <c r="N187" i="6" s="1"/>
  <c r="M187" i="6" s="1"/>
  <c r="L187" i="6"/>
  <c r="K187" i="6" s="1"/>
  <c r="J187" i="6" s="1"/>
  <c r="G187" i="6"/>
  <c r="H187" i="6" s="1"/>
  <c r="T185" i="6"/>
  <c r="P185" i="6"/>
  <c r="O185" i="6" s="1"/>
  <c r="N185" i="6" s="1"/>
  <c r="M185" i="6" s="1"/>
  <c r="L185" i="6"/>
  <c r="K185" i="6" s="1"/>
  <c r="J185" i="6" s="1"/>
  <c r="G185" i="6"/>
  <c r="H185" i="6" s="1"/>
  <c r="S183" i="6"/>
  <c r="O183" i="6"/>
  <c r="N183" i="6" s="1"/>
  <c r="M183" i="6" s="1"/>
  <c r="L183" i="6" s="1"/>
  <c r="K183" i="6"/>
  <c r="J183" i="6" s="1"/>
  <c r="G183" i="6"/>
  <c r="H183" i="6" s="1"/>
  <c r="J160" i="6"/>
  <c r="H160" i="6"/>
  <c r="J158" i="6"/>
  <c r="H158" i="6"/>
  <c r="J156" i="6"/>
  <c r="H156" i="6"/>
  <c r="J154" i="6"/>
  <c r="H154" i="6"/>
  <c r="J152" i="6"/>
  <c r="H152" i="6"/>
  <c r="J150" i="6"/>
  <c r="H150" i="6"/>
  <c r="S148" i="6"/>
  <c r="O148" i="6"/>
  <c r="N148" i="6" s="1"/>
  <c r="M148" i="6" s="1"/>
  <c r="L148" i="6" s="1"/>
  <c r="K148" i="6"/>
  <c r="J148" i="6" s="1"/>
  <c r="G148" i="6"/>
  <c r="H148" i="6" s="1"/>
  <c r="S146" i="6"/>
  <c r="O146" i="6"/>
  <c r="N146" i="6" s="1"/>
  <c r="M146" i="6" s="1"/>
  <c r="L146" i="6" s="1"/>
  <c r="K146" i="6"/>
  <c r="J146" i="6" s="1"/>
  <c r="G146" i="6"/>
  <c r="H146" i="6" s="1"/>
  <c r="X144" i="6"/>
  <c r="P144" i="6"/>
  <c r="O144" i="6" s="1"/>
  <c r="N144" i="6" s="1"/>
  <c r="M144" i="6" s="1"/>
  <c r="L144" i="6" s="1"/>
  <c r="K144" i="6" s="1"/>
  <c r="J144" i="6" s="1"/>
  <c r="G144" i="6"/>
  <c r="H144" i="6" s="1"/>
  <c r="J142" i="6"/>
  <c r="H142" i="6"/>
  <c r="J140" i="6"/>
  <c r="H140" i="6"/>
  <c r="J138" i="6"/>
  <c r="H138" i="6"/>
  <c r="J136" i="6"/>
  <c r="H136" i="6"/>
  <c r="J134" i="6"/>
  <c r="H134" i="6"/>
  <c r="J132" i="6"/>
  <c r="H132" i="6"/>
  <c r="J130" i="6"/>
  <c r="H130" i="6"/>
  <c r="J128" i="6"/>
  <c r="H128" i="6"/>
  <c r="J126" i="6"/>
  <c r="I126" i="6"/>
  <c r="H126" i="6"/>
  <c r="J124" i="6"/>
  <c r="H124" i="6"/>
  <c r="J122" i="6"/>
  <c r="H122" i="6"/>
  <c r="J120" i="6"/>
  <c r="H120" i="6"/>
  <c r="J118" i="6"/>
  <c r="H118" i="6"/>
  <c r="J116" i="6"/>
  <c r="H116" i="6"/>
  <c r="J114" i="6"/>
  <c r="H114" i="6"/>
  <c r="J112" i="6"/>
  <c r="H112" i="6"/>
  <c r="J110" i="6"/>
  <c r="H110" i="6"/>
  <c r="J108" i="6"/>
  <c r="H108" i="6"/>
  <c r="J106" i="6"/>
  <c r="H106" i="6"/>
  <c r="J104" i="6"/>
  <c r="H104" i="6"/>
  <c r="J102" i="6"/>
  <c r="H102" i="6"/>
  <c r="J100" i="6"/>
  <c r="H100" i="6"/>
  <c r="J98" i="6"/>
  <c r="I98" i="6"/>
  <c r="H98" i="6"/>
  <c r="J96" i="6"/>
  <c r="H96" i="6"/>
  <c r="J94" i="6"/>
  <c r="H94" i="6"/>
  <c r="J92" i="6"/>
  <c r="H92" i="6"/>
  <c r="J69" i="6"/>
  <c r="H69" i="6"/>
  <c r="J67" i="6"/>
  <c r="H67" i="6"/>
  <c r="J65" i="6"/>
  <c r="H65" i="6"/>
  <c r="J63" i="6"/>
  <c r="H63" i="6"/>
  <c r="J61" i="6"/>
  <c r="H61" i="6"/>
  <c r="J59" i="6"/>
  <c r="H59" i="6"/>
  <c r="G57" i="6"/>
  <c r="H57" i="6" s="1"/>
  <c r="G55" i="6"/>
  <c r="J55" i="6" s="1"/>
  <c r="J53" i="6"/>
  <c r="H53" i="6"/>
  <c r="J51" i="6"/>
  <c r="H51" i="6"/>
  <c r="H49" i="6"/>
  <c r="G49" i="6" s="1"/>
  <c r="J49" i="6" s="1"/>
  <c r="J47" i="6"/>
  <c r="H47" i="6"/>
  <c r="G45" i="6"/>
  <c r="V45" i="6" s="1"/>
  <c r="J43" i="6"/>
  <c r="H43" i="6"/>
  <c r="J41" i="6"/>
  <c r="H41" i="6"/>
  <c r="J39" i="6"/>
  <c r="H39" i="6"/>
  <c r="M37" i="6"/>
  <c r="G37" i="6"/>
  <c r="H37" i="6" s="1"/>
  <c r="M35" i="6"/>
  <c r="G35" i="6"/>
  <c r="H35" i="6" s="1"/>
  <c r="J33" i="6"/>
  <c r="H33" i="6"/>
  <c r="Q31" i="6"/>
  <c r="M31" i="6"/>
  <c r="L31" i="6" s="1"/>
  <c r="K31" i="6" s="1"/>
  <c r="J31" i="6" s="1"/>
  <c r="G31" i="6"/>
  <c r="H31" i="6" s="1"/>
  <c r="V29" i="6"/>
  <c r="N29" i="6"/>
  <c r="M29" i="6" s="1"/>
  <c r="L29" i="6" s="1"/>
  <c r="K29" i="6" s="1"/>
  <c r="J29" i="6" s="1"/>
  <c r="G29" i="6"/>
  <c r="H29" i="6" s="1"/>
  <c r="J27" i="6"/>
  <c r="H27" i="6"/>
  <c r="G25" i="6"/>
  <c r="H25" i="6" s="1"/>
  <c r="J21" i="6"/>
  <c r="H21" i="6"/>
  <c r="J19" i="6"/>
  <c r="H19" i="6"/>
  <c r="J17" i="6"/>
  <c r="H17" i="6"/>
  <c r="J15" i="6"/>
  <c r="H15" i="6"/>
  <c r="J13" i="6"/>
  <c r="H13" i="6"/>
  <c r="J11" i="6"/>
  <c r="H11" i="6"/>
  <c r="G9" i="6"/>
  <c r="J9" i="6" s="1"/>
  <c r="J7" i="6"/>
  <c r="H7" i="6"/>
  <c r="J5" i="6"/>
  <c r="H5" i="6"/>
  <c r="J3" i="6"/>
  <c r="H3" i="6"/>
  <c r="JE6" i="5"/>
  <c r="JE5" i="5"/>
  <c r="I3" i="5"/>
  <c r="H80" i="4"/>
  <c r="G80" i="4" s="1"/>
  <c r="J80" i="4" s="1"/>
  <c r="H79" i="4"/>
  <c r="G79" i="4" s="1"/>
  <c r="J79" i="4" s="1"/>
  <c r="JE78" i="4"/>
  <c r="J77" i="4"/>
  <c r="H77" i="4"/>
  <c r="JE76" i="4"/>
  <c r="J75" i="4"/>
  <c r="H75" i="4"/>
  <c r="JE74" i="4"/>
  <c r="J73" i="4"/>
  <c r="H73" i="4"/>
  <c r="JE72" i="4"/>
  <c r="JF71" i="4"/>
  <c r="J71" i="4"/>
  <c r="H71" i="4"/>
  <c r="JE70" i="4"/>
  <c r="JF69" i="4"/>
  <c r="J69" i="4"/>
  <c r="H69" i="4"/>
  <c r="J67" i="4"/>
  <c r="H67" i="4"/>
  <c r="J65" i="4"/>
  <c r="H65" i="4"/>
  <c r="O63" i="4"/>
  <c r="J63" i="4"/>
  <c r="G63" i="4"/>
  <c r="H63" i="4" s="1"/>
  <c r="G61" i="4"/>
  <c r="J61" i="4" s="1"/>
  <c r="G59" i="4"/>
  <c r="H59" i="4" s="1"/>
  <c r="J57" i="4"/>
  <c r="H57" i="4"/>
  <c r="J55" i="4"/>
  <c r="H55" i="4"/>
  <c r="J53" i="4"/>
  <c r="H53" i="4"/>
  <c r="J51" i="4"/>
  <c r="H51" i="4"/>
  <c r="G49" i="4"/>
  <c r="H49" i="4" s="1"/>
  <c r="J47" i="4"/>
  <c r="H47" i="4"/>
  <c r="J45" i="4"/>
  <c r="H45" i="4"/>
  <c r="J43" i="4"/>
  <c r="H43" i="4"/>
  <c r="K41" i="4"/>
  <c r="G41" i="4"/>
  <c r="H41" i="4" s="1"/>
  <c r="L39" i="4"/>
  <c r="M39" i="4" s="1"/>
  <c r="N39" i="4" s="1"/>
  <c r="O39" i="4" s="1"/>
  <c r="P39" i="4" s="1"/>
  <c r="Q39" i="4" s="1"/>
  <c r="R39" i="4" s="1"/>
  <c r="S39" i="4" s="1"/>
  <c r="T39" i="4" s="1"/>
  <c r="U39" i="4" s="1"/>
  <c r="V39" i="4" s="1"/>
  <c r="W39" i="4" s="1"/>
  <c r="X39" i="4" s="1"/>
  <c r="Y39" i="4" s="1"/>
  <c r="Z39" i="4" s="1"/>
  <c r="AA39" i="4" s="1"/>
  <c r="AB39" i="4" s="1"/>
  <c r="AC39" i="4" s="1"/>
  <c r="AD39" i="4" s="1"/>
  <c r="AE39" i="4" s="1"/>
  <c r="AF39" i="4" s="1"/>
  <c r="AG39" i="4" s="1"/>
  <c r="AH39" i="4" s="1"/>
  <c r="AI39" i="4" s="1"/>
  <c r="AJ39" i="4" s="1"/>
  <c r="AK39" i="4" s="1"/>
  <c r="AL39" i="4" s="1"/>
  <c r="AM39" i="4" s="1"/>
  <c r="AN39" i="4" s="1"/>
  <c r="AO39" i="4" s="1"/>
  <c r="AP39" i="4" s="1"/>
  <c r="AQ39" i="4" s="1"/>
  <c r="AR39" i="4" s="1"/>
  <c r="AS39" i="4" s="1"/>
  <c r="AT39" i="4" s="1"/>
  <c r="AU39" i="4" s="1"/>
  <c r="AV39" i="4" s="1"/>
  <c r="AW39" i="4" s="1"/>
  <c r="AX39" i="4" s="1"/>
  <c r="AY39" i="4" s="1"/>
  <c r="AZ39" i="4" s="1"/>
  <c r="BA39" i="4" s="1"/>
  <c r="BB39" i="4" s="1"/>
  <c r="BC39" i="4" s="1"/>
  <c r="BD39" i="4" s="1"/>
  <c r="BE39" i="4" s="1"/>
  <c r="BF39" i="4" s="1"/>
  <c r="BG39" i="4" s="1"/>
  <c r="BH39" i="4" s="1"/>
  <c r="BI39" i="4" s="1"/>
  <c r="BJ39" i="4" s="1"/>
  <c r="BK39" i="4" s="1"/>
  <c r="BL39" i="4" s="1"/>
  <c r="BM39" i="4" s="1"/>
  <c r="BN39" i="4" s="1"/>
  <c r="BO39" i="4" s="1"/>
  <c r="BP39" i="4" s="1"/>
  <c r="BQ39" i="4" s="1"/>
  <c r="BR39" i="4" s="1"/>
  <c r="BS39" i="4" s="1"/>
  <c r="BT39" i="4" s="1"/>
  <c r="BU39" i="4" s="1"/>
  <c r="BV39" i="4" s="1"/>
  <c r="BW39" i="4" s="1"/>
  <c r="BX39" i="4" s="1"/>
  <c r="BY39" i="4" s="1"/>
  <c r="BZ39" i="4" s="1"/>
  <c r="CA39" i="4" s="1"/>
  <c r="CB39" i="4" s="1"/>
  <c r="CC39" i="4" s="1"/>
  <c r="CD39" i="4" s="1"/>
  <c r="CE39" i="4" s="1"/>
  <c r="CF39" i="4" s="1"/>
  <c r="CG39" i="4" s="1"/>
  <c r="CH39" i="4" s="1"/>
  <c r="CI39" i="4" s="1"/>
  <c r="CJ39" i="4" s="1"/>
  <c r="CK39" i="4" s="1"/>
  <c r="CL39" i="4" s="1"/>
  <c r="CM39" i="4" s="1"/>
  <c r="CN39" i="4" s="1"/>
  <c r="CO39" i="4" s="1"/>
  <c r="CP39" i="4" s="1"/>
  <c r="CQ39" i="4" s="1"/>
  <c r="CR39" i="4" s="1"/>
  <c r="CS39" i="4" s="1"/>
  <c r="CT39" i="4" s="1"/>
  <c r="CU39" i="4" s="1"/>
  <c r="CV39" i="4" s="1"/>
  <c r="CW39" i="4" s="1"/>
  <c r="CX39" i="4" s="1"/>
  <c r="CY39" i="4" s="1"/>
  <c r="CZ39" i="4" s="1"/>
  <c r="DA39" i="4" s="1"/>
  <c r="DB39" i="4" s="1"/>
  <c r="DC39" i="4" s="1"/>
  <c r="DD39" i="4" s="1"/>
  <c r="DE39" i="4" s="1"/>
  <c r="DF39" i="4" s="1"/>
  <c r="DG39" i="4" s="1"/>
  <c r="DH39" i="4" s="1"/>
  <c r="DI39" i="4" s="1"/>
  <c r="DJ39" i="4" s="1"/>
  <c r="DK39" i="4" s="1"/>
  <c r="DL39" i="4" s="1"/>
  <c r="DM39" i="4" s="1"/>
  <c r="DN39" i="4" s="1"/>
  <c r="DO39" i="4" s="1"/>
  <c r="DP39" i="4" s="1"/>
  <c r="DQ39" i="4" s="1"/>
  <c r="DR39" i="4" s="1"/>
  <c r="DS39" i="4" s="1"/>
  <c r="DT39" i="4" s="1"/>
  <c r="DU39" i="4" s="1"/>
  <c r="DV39" i="4" s="1"/>
  <c r="DW39" i="4" s="1"/>
  <c r="DX39" i="4" s="1"/>
  <c r="DY39" i="4" s="1"/>
  <c r="DZ39" i="4" s="1"/>
  <c r="EA39" i="4" s="1"/>
  <c r="EB39" i="4" s="1"/>
  <c r="EC39" i="4" s="1"/>
  <c r="ED39" i="4" s="1"/>
  <c r="EE39" i="4" s="1"/>
  <c r="EF39" i="4" s="1"/>
  <c r="EG39" i="4" s="1"/>
  <c r="EH39" i="4" s="1"/>
  <c r="EI39" i="4" s="1"/>
  <c r="EJ39" i="4" s="1"/>
  <c r="EK39" i="4" s="1"/>
  <c r="EL39" i="4" s="1"/>
  <c r="EM39" i="4" s="1"/>
  <c r="EN39" i="4" s="1"/>
  <c r="EO39" i="4" s="1"/>
  <c r="EP39" i="4" s="1"/>
  <c r="EQ39" i="4" s="1"/>
  <c r="ER39" i="4" s="1"/>
  <c r="ES39" i="4" s="1"/>
  <c r="J39" i="4"/>
  <c r="G39" i="4"/>
  <c r="H39" i="4" s="1"/>
  <c r="G37" i="4"/>
  <c r="H37" i="4" s="1"/>
  <c r="J35" i="4"/>
  <c r="H35" i="4"/>
  <c r="J33" i="4"/>
  <c r="H33" i="4"/>
  <c r="J31" i="4"/>
  <c r="H31" i="4"/>
  <c r="J29" i="4"/>
  <c r="H29" i="4"/>
  <c r="G29" i="4" s="1"/>
  <c r="J27" i="4"/>
  <c r="H27" i="4"/>
  <c r="K25" i="4"/>
  <c r="H25" i="4"/>
  <c r="H23" i="4"/>
  <c r="G23" i="4" s="1"/>
  <c r="J21" i="4"/>
  <c r="H21" i="4"/>
  <c r="V19" i="4"/>
  <c r="J19" i="4"/>
  <c r="G19" i="4"/>
  <c r="H19" i="4" s="1"/>
  <c r="J17" i="4"/>
  <c r="G17" i="4"/>
  <c r="H17" i="4" s="1"/>
  <c r="J15" i="4"/>
  <c r="G15" i="4"/>
  <c r="H15" i="4" s="1"/>
  <c r="J13" i="4"/>
  <c r="G13" i="4"/>
  <c r="H13" i="4" s="1"/>
  <c r="P11" i="4"/>
  <c r="Q11" i="4" s="1"/>
  <c r="R11" i="4" s="1"/>
  <c r="S11" i="4" s="1"/>
  <c r="T11" i="4" s="1"/>
  <c r="U11" i="4" s="1"/>
  <c r="V11" i="4" s="1"/>
  <c r="W11" i="4" s="1"/>
  <c r="X11" i="4" s="1"/>
  <c r="Y11" i="4" s="1"/>
  <c r="Z11" i="4" s="1"/>
  <c r="AA11" i="4" s="1"/>
  <c r="AB11" i="4" s="1"/>
  <c r="AC11" i="4" s="1"/>
  <c r="AD11" i="4" s="1"/>
  <c r="AE11" i="4" s="1"/>
  <c r="AF11" i="4" s="1"/>
  <c r="AG11" i="4" s="1"/>
  <c r="AH11" i="4" s="1"/>
  <c r="AI11" i="4" s="1"/>
  <c r="AJ11" i="4" s="1"/>
  <c r="AK11" i="4" s="1"/>
  <c r="AL11" i="4" s="1"/>
  <c r="AM11" i="4" s="1"/>
  <c r="AN11" i="4" s="1"/>
  <c r="AO11" i="4" s="1"/>
  <c r="AP11" i="4" s="1"/>
  <c r="AQ11" i="4" s="1"/>
  <c r="AR11" i="4" s="1"/>
  <c r="AS11" i="4" s="1"/>
  <c r="AT11" i="4" s="1"/>
  <c r="AU11" i="4" s="1"/>
  <c r="AV11" i="4" s="1"/>
  <c r="AW11" i="4" s="1"/>
  <c r="AX11" i="4" s="1"/>
  <c r="AY11" i="4" s="1"/>
  <c r="AZ11" i="4" s="1"/>
  <c r="BA11" i="4" s="1"/>
  <c r="BB11" i="4" s="1"/>
  <c r="BC11" i="4" s="1"/>
  <c r="BD11" i="4" s="1"/>
  <c r="BE11" i="4" s="1"/>
  <c r="BF11" i="4" s="1"/>
  <c r="BG11" i="4" s="1"/>
  <c r="BH11" i="4" s="1"/>
  <c r="BI11" i="4" s="1"/>
  <c r="BJ11" i="4" s="1"/>
  <c r="BK11" i="4" s="1"/>
  <c r="BL11" i="4" s="1"/>
  <c r="BM11" i="4" s="1"/>
  <c r="BN11" i="4" s="1"/>
  <c r="BO11" i="4" s="1"/>
  <c r="BP11" i="4" s="1"/>
  <c r="BQ11" i="4" s="1"/>
  <c r="BR11" i="4" s="1"/>
  <c r="BS11" i="4" s="1"/>
  <c r="BT11" i="4" s="1"/>
  <c r="BU11" i="4" s="1"/>
  <c r="BV11" i="4" s="1"/>
  <c r="BW11" i="4" s="1"/>
  <c r="BX11" i="4" s="1"/>
  <c r="BY11" i="4" s="1"/>
  <c r="BZ11" i="4" s="1"/>
  <c r="CA11" i="4" s="1"/>
  <c r="CB11" i="4" s="1"/>
  <c r="CC11" i="4" s="1"/>
  <c r="CD11" i="4" s="1"/>
  <c r="CE11" i="4" s="1"/>
  <c r="CF11" i="4" s="1"/>
  <c r="CG11" i="4" s="1"/>
  <c r="CH11" i="4" s="1"/>
  <c r="CI11" i="4" s="1"/>
  <c r="CJ11" i="4" s="1"/>
  <c r="CK11" i="4" s="1"/>
  <c r="CL11" i="4" s="1"/>
  <c r="CM11" i="4" s="1"/>
  <c r="CN11" i="4" s="1"/>
  <c r="CO11" i="4" s="1"/>
  <c r="CP11" i="4" s="1"/>
  <c r="CQ11" i="4" s="1"/>
  <c r="CR11" i="4" s="1"/>
  <c r="CS11" i="4" s="1"/>
  <c r="CT11" i="4" s="1"/>
  <c r="CU11" i="4" s="1"/>
  <c r="CV11" i="4" s="1"/>
  <c r="CW11" i="4" s="1"/>
  <c r="CX11" i="4" s="1"/>
  <c r="CY11" i="4" s="1"/>
  <c r="CZ11" i="4" s="1"/>
  <c r="DA11" i="4" s="1"/>
  <c r="DB11" i="4" s="1"/>
  <c r="DC11" i="4" s="1"/>
  <c r="DD11" i="4" s="1"/>
  <c r="DE11" i="4" s="1"/>
  <c r="DF11" i="4" s="1"/>
  <c r="DG11" i="4" s="1"/>
  <c r="DH11" i="4" s="1"/>
  <c r="DI11" i="4" s="1"/>
  <c r="DJ11" i="4" s="1"/>
  <c r="DK11" i="4" s="1"/>
  <c r="DL11" i="4" s="1"/>
  <c r="DM11" i="4" s="1"/>
  <c r="DN11" i="4" s="1"/>
  <c r="DO11" i="4" s="1"/>
  <c r="DP11" i="4" s="1"/>
  <c r="DQ11" i="4" s="1"/>
  <c r="DR11" i="4" s="1"/>
  <c r="DS11" i="4" s="1"/>
  <c r="DT11" i="4" s="1"/>
  <c r="DU11" i="4" s="1"/>
  <c r="DV11" i="4" s="1"/>
  <c r="DW11" i="4" s="1"/>
  <c r="DX11" i="4" s="1"/>
  <c r="DY11" i="4" s="1"/>
  <c r="DZ11" i="4" s="1"/>
  <c r="EA11" i="4" s="1"/>
  <c r="EB11" i="4" s="1"/>
  <c r="EC11" i="4" s="1"/>
  <c r="ED11" i="4" s="1"/>
  <c r="EE11" i="4" s="1"/>
  <c r="EF11" i="4" s="1"/>
  <c r="EG11" i="4" s="1"/>
  <c r="EH11" i="4" s="1"/>
  <c r="EI11" i="4" s="1"/>
  <c r="EJ11" i="4" s="1"/>
  <c r="EK11" i="4" s="1"/>
  <c r="EL11" i="4" s="1"/>
  <c r="EM11" i="4" s="1"/>
  <c r="EN11" i="4" s="1"/>
  <c r="EO11" i="4" s="1"/>
  <c r="EP11" i="4" s="1"/>
  <c r="EQ11" i="4" s="1"/>
  <c r="ER11" i="4" s="1"/>
  <c r="ES11" i="4" s="1"/>
  <c r="L11" i="4"/>
  <c r="M11" i="4" s="1"/>
  <c r="N11" i="4" s="1"/>
  <c r="O11" i="4" s="1"/>
  <c r="J11" i="4"/>
  <c r="G11" i="4"/>
  <c r="H11" i="4" s="1"/>
  <c r="M9" i="4"/>
  <c r="N9" i="4" s="1"/>
  <c r="O9" i="4" s="1"/>
  <c r="P9" i="4" s="1"/>
  <c r="Q9" i="4" s="1"/>
  <c r="R9" i="4" s="1"/>
  <c r="S9" i="4" s="1"/>
  <c r="T9" i="4" s="1"/>
  <c r="U9" i="4" s="1"/>
  <c r="V9" i="4" s="1"/>
  <c r="W9" i="4" s="1"/>
  <c r="X9" i="4" s="1"/>
  <c r="Y9" i="4" s="1"/>
  <c r="Z9" i="4" s="1"/>
  <c r="AA9" i="4" s="1"/>
  <c r="AB9" i="4" s="1"/>
  <c r="AC9" i="4" s="1"/>
  <c r="AD9" i="4" s="1"/>
  <c r="AE9" i="4" s="1"/>
  <c r="AF9" i="4" s="1"/>
  <c r="AG9" i="4" s="1"/>
  <c r="AH9" i="4" s="1"/>
  <c r="AI9" i="4" s="1"/>
  <c r="AJ9" i="4" s="1"/>
  <c r="AK9" i="4" s="1"/>
  <c r="AL9" i="4" s="1"/>
  <c r="AM9" i="4" s="1"/>
  <c r="AN9" i="4" s="1"/>
  <c r="AO9" i="4" s="1"/>
  <c r="AP9" i="4" s="1"/>
  <c r="AQ9" i="4" s="1"/>
  <c r="AR9" i="4" s="1"/>
  <c r="AS9" i="4" s="1"/>
  <c r="AT9" i="4" s="1"/>
  <c r="AU9" i="4" s="1"/>
  <c r="AV9" i="4" s="1"/>
  <c r="AW9" i="4" s="1"/>
  <c r="AX9" i="4" s="1"/>
  <c r="AY9" i="4" s="1"/>
  <c r="AZ9" i="4" s="1"/>
  <c r="BA9" i="4" s="1"/>
  <c r="BB9" i="4" s="1"/>
  <c r="BC9" i="4" s="1"/>
  <c r="BD9" i="4" s="1"/>
  <c r="BE9" i="4" s="1"/>
  <c r="BF9" i="4" s="1"/>
  <c r="BG9" i="4" s="1"/>
  <c r="BH9" i="4" s="1"/>
  <c r="BI9" i="4" s="1"/>
  <c r="BJ9" i="4" s="1"/>
  <c r="BK9" i="4" s="1"/>
  <c r="BL9" i="4" s="1"/>
  <c r="BM9" i="4" s="1"/>
  <c r="BN9" i="4" s="1"/>
  <c r="BO9" i="4" s="1"/>
  <c r="BP9" i="4" s="1"/>
  <c r="BQ9" i="4" s="1"/>
  <c r="BR9" i="4" s="1"/>
  <c r="BS9" i="4" s="1"/>
  <c r="BT9" i="4" s="1"/>
  <c r="BU9" i="4" s="1"/>
  <c r="BV9" i="4" s="1"/>
  <c r="BW9" i="4" s="1"/>
  <c r="BX9" i="4" s="1"/>
  <c r="BY9" i="4" s="1"/>
  <c r="BZ9" i="4" s="1"/>
  <c r="CA9" i="4" s="1"/>
  <c r="CB9" i="4" s="1"/>
  <c r="CC9" i="4" s="1"/>
  <c r="CD9" i="4" s="1"/>
  <c r="CE9" i="4" s="1"/>
  <c r="CF9" i="4" s="1"/>
  <c r="CG9" i="4" s="1"/>
  <c r="CH9" i="4" s="1"/>
  <c r="CI9" i="4" s="1"/>
  <c r="CJ9" i="4" s="1"/>
  <c r="CK9" i="4" s="1"/>
  <c r="CL9" i="4" s="1"/>
  <c r="CM9" i="4" s="1"/>
  <c r="CN9" i="4" s="1"/>
  <c r="CO9" i="4" s="1"/>
  <c r="CP9" i="4" s="1"/>
  <c r="CQ9" i="4" s="1"/>
  <c r="CR9" i="4" s="1"/>
  <c r="CS9" i="4" s="1"/>
  <c r="CT9" i="4" s="1"/>
  <c r="CU9" i="4" s="1"/>
  <c r="CV9" i="4" s="1"/>
  <c r="CW9" i="4" s="1"/>
  <c r="CX9" i="4" s="1"/>
  <c r="CY9" i="4" s="1"/>
  <c r="CZ9" i="4" s="1"/>
  <c r="DA9" i="4" s="1"/>
  <c r="DB9" i="4" s="1"/>
  <c r="DC9" i="4" s="1"/>
  <c r="DD9" i="4" s="1"/>
  <c r="DE9" i="4" s="1"/>
  <c r="DF9" i="4" s="1"/>
  <c r="DG9" i="4" s="1"/>
  <c r="DH9" i="4" s="1"/>
  <c r="DI9" i="4" s="1"/>
  <c r="DJ9" i="4" s="1"/>
  <c r="DK9" i="4" s="1"/>
  <c r="DL9" i="4" s="1"/>
  <c r="DM9" i="4" s="1"/>
  <c r="DN9" i="4" s="1"/>
  <c r="DO9" i="4" s="1"/>
  <c r="DP9" i="4" s="1"/>
  <c r="DQ9" i="4" s="1"/>
  <c r="DR9" i="4" s="1"/>
  <c r="DS9" i="4" s="1"/>
  <c r="DT9" i="4" s="1"/>
  <c r="DU9" i="4" s="1"/>
  <c r="DV9" i="4" s="1"/>
  <c r="DW9" i="4" s="1"/>
  <c r="DX9" i="4" s="1"/>
  <c r="DY9" i="4" s="1"/>
  <c r="DZ9" i="4" s="1"/>
  <c r="EA9" i="4" s="1"/>
  <c r="EB9" i="4" s="1"/>
  <c r="EC9" i="4" s="1"/>
  <c r="ED9" i="4" s="1"/>
  <c r="EE9" i="4" s="1"/>
  <c r="EF9" i="4" s="1"/>
  <c r="EG9" i="4" s="1"/>
  <c r="EH9" i="4" s="1"/>
  <c r="EI9" i="4" s="1"/>
  <c r="EJ9" i="4" s="1"/>
  <c r="EK9" i="4" s="1"/>
  <c r="EL9" i="4" s="1"/>
  <c r="EM9" i="4" s="1"/>
  <c r="EN9" i="4" s="1"/>
  <c r="EO9" i="4" s="1"/>
  <c r="EP9" i="4" s="1"/>
  <c r="EQ9" i="4" s="1"/>
  <c r="ER9" i="4" s="1"/>
  <c r="ES9" i="4" s="1"/>
  <c r="J9" i="4"/>
  <c r="G9" i="4"/>
  <c r="H9" i="4" s="1"/>
  <c r="J7" i="4"/>
  <c r="H7" i="4"/>
  <c r="G7" i="4" s="1"/>
  <c r="H5" i="4"/>
  <c r="G5" i="4" s="1"/>
  <c r="P3" i="4"/>
  <c r="J3" i="4"/>
  <c r="H3" i="4"/>
  <c r="F398" i="6" l="1"/>
  <c r="D17" i="10"/>
  <c r="E17" i="10" s="1"/>
  <c r="B33" i="8"/>
  <c r="B34" i="8" s="1"/>
  <c r="C32" i="8" s="1"/>
  <c r="H35" i="11"/>
  <c r="H36" i="11" s="1"/>
  <c r="I34" i="11" s="1"/>
  <c r="I35" i="11" s="1"/>
  <c r="I36" i="11" s="1"/>
  <c r="S267" i="6"/>
  <c r="T267" i="6" s="1"/>
  <c r="U267" i="6" s="1"/>
  <c r="V267" i="6" s="1"/>
  <c r="W267" i="6" s="1"/>
  <c r="X267" i="6" s="1"/>
  <c r="Y267" i="6" s="1"/>
  <c r="Z267" i="6" s="1"/>
  <c r="AA267" i="6" s="1"/>
  <c r="AB267" i="6" s="1"/>
  <c r="AC267" i="6" s="1"/>
  <c r="AD267" i="6" s="1"/>
  <c r="AE267" i="6" s="1"/>
  <c r="AF267" i="6" s="1"/>
  <c r="AG267" i="6" s="1"/>
  <c r="AH267" i="6" s="1"/>
  <c r="AI267" i="6" s="1"/>
  <c r="AJ267" i="6" s="1"/>
  <c r="AK267" i="6" s="1"/>
  <c r="AL267" i="6" s="1"/>
  <c r="AM267" i="6" s="1"/>
  <c r="AN267" i="6" s="1"/>
  <c r="AO267" i="6" s="1"/>
  <c r="AP267" i="6" s="1"/>
  <c r="AQ267" i="6" s="1"/>
  <c r="AR267" i="6" s="1"/>
  <c r="AS267" i="6" s="1"/>
  <c r="AT267" i="6" s="1"/>
  <c r="AU267" i="6" s="1"/>
  <c r="AV267" i="6" s="1"/>
  <c r="AW267" i="6" s="1"/>
  <c r="AX267" i="6" s="1"/>
  <c r="AY267" i="6" s="1"/>
  <c r="AZ267" i="6" s="1"/>
  <c r="BA267" i="6" s="1"/>
  <c r="BB267" i="6" s="1"/>
  <c r="BC267" i="6" s="1"/>
  <c r="BD267" i="6" s="1"/>
  <c r="BE267" i="6" s="1"/>
  <c r="BF267" i="6" s="1"/>
  <c r="BG267" i="6" s="1"/>
  <c r="BH267" i="6" s="1"/>
  <c r="BI267" i="6" s="1"/>
  <c r="BJ267" i="6" s="1"/>
  <c r="BK267" i="6" s="1"/>
  <c r="BL267" i="6" s="1"/>
  <c r="BM267" i="6" s="1"/>
  <c r="BN267" i="6" s="1"/>
  <c r="BO267" i="6" s="1"/>
  <c r="BP267" i="6" s="1"/>
  <c r="BQ267" i="6" s="1"/>
  <c r="BR267" i="6" s="1"/>
  <c r="BS267" i="6" s="1"/>
  <c r="BT267" i="6" s="1"/>
  <c r="BU267" i="6" s="1"/>
  <c r="BV267" i="6" s="1"/>
  <c r="BW267" i="6" s="1"/>
  <c r="BX267" i="6" s="1"/>
  <c r="BY267" i="6" s="1"/>
  <c r="BZ267" i="6" s="1"/>
  <c r="CA267" i="6" s="1"/>
  <c r="CB267" i="6" s="1"/>
  <c r="CC267" i="6" s="1"/>
  <c r="CD267" i="6" s="1"/>
  <c r="CE267" i="6" s="1"/>
  <c r="CF267" i="6" s="1"/>
  <c r="CG267" i="6" s="1"/>
  <c r="CH267" i="6" s="1"/>
  <c r="CI267" i="6" s="1"/>
  <c r="CJ267" i="6" s="1"/>
  <c r="CK267" i="6" s="1"/>
  <c r="CL267" i="6" s="1"/>
  <c r="CM267" i="6" s="1"/>
  <c r="CN267" i="6" s="1"/>
  <c r="CO267" i="6" s="1"/>
  <c r="CP267" i="6" s="1"/>
  <c r="CQ267" i="6" s="1"/>
  <c r="CR267" i="6" s="1"/>
  <c r="CS267" i="6" s="1"/>
  <c r="CT267" i="6" s="1"/>
  <c r="CU267" i="6" s="1"/>
  <c r="CV267" i="6" s="1"/>
  <c r="CW267" i="6" s="1"/>
  <c r="CX267" i="6" s="1"/>
  <c r="CY267" i="6" s="1"/>
  <c r="CZ267" i="6" s="1"/>
  <c r="DA267" i="6" s="1"/>
  <c r="DB267" i="6" s="1"/>
  <c r="DC267" i="6" s="1"/>
  <c r="DD267" i="6" s="1"/>
  <c r="DE267" i="6" s="1"/>
  <c r="S271" i="6"/>
  <c r="T271" i="6" s="1"/>
  <c r="U271" i="6" s="1"/>
  <c r="V271" i="6" s="1"/>
  <c r="W271" i="6" s="1"/>
  <c r="X271" i="6" s="1"/>
  <c r="Y271" i="6" s="1"/>
  <c r="Z271" i="6" s="1"/>
  <c r="AA271" i="6" s="1"/>
  <c r="AB271" i="6" s="1"/>
  <c r="AC271" i="6" s="1"/>
  <c r="AD271" i="6" s="1"/>
  <c r="AE271" i="6" s="1"/>
  <c r="AF271" i="6" s="1"/>
  <c r="AG271" i="6" s="1"/>
  <c r="AH271" i="6" s="1"/>
  <c r="AI271" i="6" s="1"/>
  <c r="AJ271" i="6" s="1"/>
  <c r="AK271" i="6" s="1"/>
  <c r="AL271" i="6" s="1"/>
  <c r="AM271" i="6" s="1"/>
  <c r="AN271" i="6" s="1"/>
  <c r="AO271" i="6" s="1"/>
  <c r="AP271" i="6" s="1"/>
  <c r="AQ271" i="6" s="1"/>
  <c r="AR271" i="6" s="1"/>
  <c r="AS271" i="6" s="1"/>
  <c r="AT271" i="6" s="1"/>
  <c r="AU271" i="6" s="1"/>
  <c r="AV271" i="6" s="1"/>
  <c r="AW271" i="6" s="1"/>
  <c r="AX271" i="6" s="1"/>
  <c r="AY271" i="6" s="1"/>
  <c r="AZ271" i="6" s="1"/>
  <c r="BA271" i="6" s="1"/>
  <c r="BB271" i="6" s="1"/>
  <c r="BC271" i="6" s="1"/>
  <c r="BD271" i="6" s="1"/>
  <c r="BE271" i="6" s="1"/>
  <c r="BF271" i="6" s="1"/>
  <c r="BG271" i="6" s="1"/>
  <c r="BH271" i="6" s="1"/>
  <c r="BI271" i="6" s="1"/>
  <c r="BJ271" i="6" s="1"/>
  <c r="BK271" i="6" s="1"/>
  <c r="BL271" i="6" s="1"/>
  <c r="BM271" i="6" s="1"/>
  <c r="BN271" i="6" s="1"/>
  <c r="BO271" i="6" s="1"/>
  <c r="BP271" i="6" s="1"/>
  <c r="BQ271" i="6" s="1"/>
  <c r="BR271" i="6" s="1"/>
  <c r="BS271" i="6" s="1"/>
  <c r="BT271" i="6" s="1"/>
  <c r="BU271" i="6" s="1"/>
  <c r="BV271" i="6" s="1"/>
  <c r="BW271" i="6" s="1"/>
  <c r="BX271" i="6" s="1"/>
  <c r="BY271" i="6" s="1"/>
  <c r="BZ271" i="6" s="1"/>
  <c r="CA271" i="6" s="1"/>
  <c r="CB271" i="6" s="1"/>
  <c r="CC271" i="6" s="1"/>
  <c r="CD271" i="6" s="1"/>
  <c r="CE271" i="6" s="1"/>
  <c r="CF271" i="6" s="1"/>
  <c r="CG271" i="6" s="1"/>
  <c r="CH271" i="6" s="1"/>
  <c r="CI271" i="6" s="1"/>
  <c r="CJ271" i="6" s="1"/>
  <c r="CK271" i="6" s="1"/>
  <c r="CL271" i="6" s="1"/>
  <c r="CM271" i="6" s="1"/>
  <c r="CN271" i="6" s="1"/>
  <c r="CO271" i="6" s="1"/>
  <c r="CP271" i="6" s="1"/>
  <c r="CQ271" i="6" s="1"/>
  <c r="CR271" i="6" s="1"/>
  <c r="CS271" i="6" s="1"/>
  <c r="CT271" i="6" s="1"/>
  <c r="CU271" i="6" s="1"/>
  <c r="CV271" i="6" s="1"/>
  <c r="CW271" i="6" s="1"/>
  <c r="CX271" i="6" s="1"/>
  <c r="CY271" i="6" s="1"/>
  <c r="CZ271" i="6" s="1"/>
  <c r="DA271" i="6" s="1"/>
  <c r="DB271" i="6" s="1"/>
  <c r="DC271" i="6" s="1"/>
  <c r="DD271" i="6" s="1"/>
  <c r="DE271" i="6" s="1"/>
  <c r="S364" i="6"/>
  <c r="T364" i="6" s="1"/>
  <c r="U364" i="6" s="1"/>
  <c r="V364" i="6" s="1"/>
  <c r="W364" i="6" s="1"/>
  <c r="X364" i="6" s="1"/>
  <c r="Y364" i="6" s="1"/>
  <c r="Z364" i="6" s="1"/>
  <c r="AA364" i="6" s="1"/>
  <c r="AB364" i="6" s="1"/>
  <c r="AC364" i="6" s="1"/>
  <c r="AD364" i="6" s="1"/>
  <c r="AE364" i="6" s="1"/>
  <c r="AF364" i="6" s="1"/>
  <c r="AG364" i="6" s="1"/>
  <c r="AH364" i="6" s="1"/>
  <c r="AI364" i="6" s="1"/>
  <c r="AJ364" i="6" s="1"/>
  <c r="AK364" i="6" s="1"/>
  <c r="AL364" i="6" s="1"/>
  <c r="AM364" i="6" s="1"/>
  <c r="AN364" i="6" s="1"/>
  <c r="AO364" i="6" s="1"/>
  <c r="AP364" i="6" s="1"/>
  <c r="AQ364" i="6" s="1"/>
  <c r="AR364" i="6" s="1"/>
  <c r="AS364" i="6" s="1"/>
  <c r="AT364" i="6" s="1"/>
  <c r="AU364" i="6" s="1"/>
  <c r="AV364" i="6" s="1"/>
  <c r="AW364" i="6" s="1"/>
  <c r="AX364" i="6" s="1"/>
  <c r="AY364" i="6" s="1"/>
  <c r="AZ364" i="6" s="1"/>
  <c r="BA364" i="6" s="1"/>
  <c r="BB364" i="6" s="1"/>
  <c r="BC364" i="6" s="1"/>
  <c r="BD364" i="6" s="1"/>
  <c r="BE364" i="6" s="1"/>
  <c r="BF364" i="6" s="1"/>
  <c r="BG364" i="6" s="1"/>
  <c r="BH364" i="6" s="1"/>
  <c r="BI364" i="6" s="1"/>
  <c r="BJ364" i="6" s="1"/>
  <c r="BK364" i="6" s="1"/>
  <c r="BL364" i="6" s="1"/>
  <c r="BM364" i="6" s="1"/>
  <c r="BN364" i="6" s="1"/>
  <c r="BO364" i="6" s="1"/>
  <c r="BP364" i="6" s="1"/>
  <c r="BQ364" i="6" s="1"/>
  <c r="BR364" i="6" s="1"/>
  <c r="BS364" i="6" s="1"/>
  <c r="BT364" i="6" s="1"/>
  <c r="BU364" i="6" s="1"/>
  <c r="BV364" i="6" s="1"/>
  <c r="BW364" i="6" s="1"/>
  <c r="BX364" i="6" s="1"/>
  <c r="BY364" i="6" s="1"/>
  <c r="BZ364" i="6" s="1"/>
  <c r="CA364" i="6" s="1"/>
  <c r="CB364" i="6" s="1"/>
  <c r="CC364" i="6" s="1"/>
  <c r="CD364" i="6" s="1"/>
  <c r="CE364" i="6" s="1"/>
  <c r="CF364" i="6" s="1"/>
  <c r="CG364" i="6" s="1"/>
  <c r="CH364" i="6" s="1"/>
  <c r="CI364" i="6" s="1"/>
  <c r="CJ364" i="6" s="1"/>
  <c r="CK364" i="6" s="1"/>
  <c r="CL364" i="6" s="1"/>
  <c r="CM364" i="6" s="1"/>
  <c r="CN364" i="6" s="1"/>
  <c r="CO364" i="6" s="1"/>
  <c r="CP364" i="6" s="1"/>
  <c r="CQ364" i="6" s="1"/>
  <c r="CR364" i="6" s="1"/>
  <c r="CS364" i="6" s="1"/>
  <c r="CT364" i="6" s="1"/>
  <c r="CU364" i="6" s="1"/>
  <c r="CV364" i="6" s="1"/>
  <c r="CW364" i="6" s="1"/>
  <c r="CX364" i="6" s="1"/>
  <c r="CY364" i="6" s="1"/>
  <c r="CZ364" i="6" s="1"/>
  <c r="DA364" i="6" s="1"/>
  <c r="DB364" i="6" s="1"/>
  <c r="DC364" i="6" s="1"/>
  <c r="DD364" i="6" s="1"/>
  <c r="DE364" i="6" s="1"/>
  <c r="I8" i="5"/>
  <c r="J4" i="7" s="1"/>
  <c r="K11" i="4"/>
  <c r="ET11" i="4" s="1"/>
  <c r="K13" i="4"/>
  <c r="L13" i="4" s="1"/>
  <c r="M13" i="4" s="1"/>
  <c r="N13" i="4" s="1"/>
  <c r="O13" i="4" s="1"/>
  <c r="P13" i="4" s="1"/>
  <c r="Q13" i="4" s="1"/>
  <c r="R13" i="4" s="1"/>
  <c r="S13" i="4" s="1"/>
  <c r="T13" i="4" s="1"/>
  <c r="U13" i="4" s="1"/>
  <c r="V13" i="4" s="1"/>
  <c r="W13" i="4" s="1"/>
  <c r="X13" i="4" s="1"/>
  <c r="Y13" i="4" s="1"/>
  <c r="Z13" i="4" s="1"/>
  <c r="AA13" i="4" s="1"/>
  <c r="AB13" i="4" s="1"/>
  <c r="AC13" i="4" s="1"/>
  <c r="AD13" i="4" s="1"/>
  <c r="AE13" i="4" s="1"/>
  <c r="AF13" i="4" s="1"/>
  <c r="AG13" i="4" s="1"/>
  <c r="AH13" i="4" s="1"/>
  <c r="AI13" i="4" s="1"/>
  <c r="AJ13" i="4" s="1"/>
  <c r="AK13" i="4" s="1"/>
  <c r="AL13" i="4" s="1"/>
  <c r="AM13" i="4" s="1"/>
  <c r="AN13" i="4" s="1"/>
  <c r="AO13" i="4" s="1"/>
  <c r="AP13" i="4" s="1"/>
  <c r="AQ13" i="4" s="1"/>
  <c r="AR13" i="4" s="1"/>
  <c r="AS13" i="4" s="1"/>
  <c r="AT13" i="4" s="1"/>
  <c r="AU13" i="4" s="1"/>
  <c r="AV13" i="4" s="1"/>
  <c r="AW13" i="4" s="1"/>
  <c r="AX13" i="4" s="1"/>
  <c r="AY13" i="4" s="1"/>
  <c r="AZ13" i="4" s="1"/>
  <c r="BA13" i="4" s="1"/>
  <c r="BB13" i="4" s="1"/>
  <c r="BC13" i="4" s="1"/>
  <c r="BD13" i="4" s="1"/>
  <c r="BE13" i="4" s="1"/>
  <c r="BF13" i="4" s="1"/>
  <c r="BG13" i="4" s="1"/>
  <c r="BH13" i="4" s="1"/>
  <c r="BI13" i="4" s="1"/>
  <c r="BJ13" i="4" s="1"/>
  <c r="BK13" i="4" s="1"/>
  <c r="BL13" i="4" s="1"/>
  <c r="BM13" i="4" s="1"/>
  <c r="BN13" i="4" s="1"/>
  <c r="BO13" i="4" s="1"/>
  <c r="BP13" i="4" s="1"/>
  <c r="BQ13" i="4" s="1"/>
  <c r="BR13" i="4" s="1"/>
  <c r="BS13" i="4" s="1"/>
  <c r="BT13" i="4" s="1"/>
  <c r="BU13" i="4" s="1"/>
  <c r="BV13" i="4" s="1"/>
  <c r="BW13" i="4" s="1"/>
  <c r="BX13" i="4" s="1"/>
  <c r="BY13" i="4" s="1"/>
  <c r="BZ13" i="4" s="1"/>
  <c r="CA13" i="4" s="1"/>
  <c r="CB13" i="4" s="1"/>
  <c r="CC13" i="4" s="1"/>
  <c r="CD13" i="4" s="1"/>
  <c r="CE13" i="4" s="1"/>
  <c r="CF13" i="4" s="1"/>
  <c r="CG13" i="4" s="1"/>
  <c r="CH13" i="4" s="1"/>
  <c r="CI13" i="4" s="1"/>
  <c r="CJ13" i="4" s="1"/>
  <c r="CK13" i="4" s="1"/>
  <c r="CL13" i="4" s="1"/>
  <c r="CM13" i="4" s="1"/>
  <c r="CN13" i="4" s="1"/>
  <c r="CO13" i="4" s="1"/>
  <c r="CP13" i="4" s="1"/>
  <c r="CQ13" i="4" s="1"/>
  <c r="CR13" i="4" s="1"/>
  <c r="CS13" i="4" s="1"/>
  <c r="CT13" i="4" s="1"/>
  <c r="CU13" i="4" s="1"/>
  <c r="CV13" i="4" s="1"/>
  <c r="CW13" i="4" s="1"/>
  <c r="CX13" i="4" s="1"/>
  <c r="CY13" i="4" s="1"/>
  <c r="CZ13" i="4" s="1"/>
  <c r="DA13" i="4" s="1"/>
  <c r="DB13" i="4" s="1"/>
  <c r="DC13" i="4" s="1"/>
  <c r="DD13" i="4" s="1"/>
  <c r="DE13" i="4" s="1"/>
  <c r="DF13" i="4" s="1"/>
  <c r="DG13" i="4" s="1"/>
  <c r="DH13" i="4" s="1"/>
  <c r="DI13" i="4" s="1"/>
  <c r="DJ13" i="4" s="1"/>
  <c r="DK13" i="4" s="1"/>
  <c r="DL13" i="4" s="1"/>
  <c r="DM13" i="4" s="1"/>
  <c r="DN13" i="4" s="1"/>
  <c r="DO13" i="4" s="1"/>
  <c r="DP13" i="4" s="1"/>
  <c r="DQ13" i="4" s="1"/>
  <c r="DR13" i="4" s="1"/>
  <c r="DS13" i="4" s="1"/>
  <c r="DT13" i="4" s="1"/>
  <c r="DU13" i="4" s="1"/>
  <c r="DV13" i="4" s="1"/>
  <c r="DW13" i="4" s="1"/>
  <c r="DX13" i="4" s="1"/>
  <c r="DY13" i="4" s="1"/>
  <c r="DZ13" i="4" s="1"/>
  <c r="EA13" i="4" s="1"/>
  <c r="EB13" i="4" s="1"/>
  <c r="EC13" i="4" s="1"/>
  <c r="ED13" i="4" s="1"/>
  <c r="EE13" i="4" s="1"/>
  <c r="EF13" i="4" s="1"/>
  <c r="EG13" i="4" s="1"/>
  <c r="EH13" i="4" s="1"/>
  <c r="EI13" i="4" s="1"/>
  <c r="EJ13" i="4" s="1"/>
  <c r="EK13" i="4" s="1"/>
  <c r="EL13" i="4" s="1"/>
  <c r="EM13" i="4" s="1"/>
  <c r="EN13" i="4" s="1"/>
  <c r="EO13" i="4" s="1"/>
  <c r="EP13" i="4" s="1"/>
  <c r="EQ13" i="4" s="1"/>
  <c r="ER13" i="4" s="1"/>
  <c r="ES13" i="4" s="1"/>
  <c r="K17" i="4"/>
  <c r="L17" i="4" s="1"/>
  <c r="M17" i="4" s="1"/>
  <c r="N17" i="4" s="1"/>
  <c r="O17" i="4" s="1"/>
  <c r="P17" i="4" s="1"/>
  <c r="Q17" i="4" s="1"/>
  <c r="R17" i="4" s="1"/>
  <c r="S17" i="4" s="1"/>
  <c r="T17" i="4" s="1"/>
  <c r="U17" i="4" s="1"/>
  <c r="V17" i="4" s="1"/>
  <c r="W17" i="4" s="1"/>
  <c r="X17" i="4" s="1"/>
  <c r="Y17" i="4" s="1"/>
  <c r="Z17" i="4" s="1"/>
  <c r="AA17" i="4" s="1"/>
  <c r="AB17" i="4" s="1"/>
  <c r="AC17" i="4" s="1"/>
  <c r="AD17" i="4" s="1"/>
  <c r="AE17" i="4" s="1"/>
  <c r="AF17" i="4" s="1"/>
  <c r="AG17" i="4" s="1"/>
  <c r="AH17" i="4" s="1"/>
  <c r="AI17" i="4" s="1"/>
  <c r="AJ17" i="4" s="1"/>
  <c r="AK17" i="4" s="1"/>
  <c r="AL17" i="4" s="1"/>
  <c r="AM17" i="4" s="1"/>
  <c r="AN17" i="4" s="1"/>
  <c r="AO17" i="4" s="1"/>
  <c r="AP17" i="4" s="1"/>
  <c r="AQ17" i="4" s="1"/>
  <c r="AR17" i="4" s="1"/>
  <c r="AS17" i="4" s="1"/>
  <c r="AT17" i="4" s="1"/>
  <c r="AU17" i="4" s="1"/>
  <c r="AV17" i="4" s="1"/>
  <c r="AW17" i="4" s="1"/>
  <c r="AX17" i="4" s="1"/>
  <c r="AY17" i="4" s="1"/>
  <c r="AZ17" i="4" s="1"/>
  <c r="BA17" i="4" s="1"/>
  <c r="BB17" i="4" s="1"/>
  <c r="BC17" i="4" s="1"/>
  <c r="BD17" i="4" s="1"/>
  <c r="BE17" i="4" s="1"/>
  <c r="BF17" i="4" s="1"/>
  <c r="BG17" i="4" s="1"/>
  <c r="BH17" i="4" s="1"/>
  <c r="BI17" i="4" s="1"/>
  <c r="BJ17" i="4" s="1"/>
  <c r="BK17" i="4" s="1"/>
  <c r="BL17" i="4" s="1"/>
  <c r="BM17" i="4" s="1"/>
  <c r="BN17" i="4" s="1"/>
  <c r="BO17" i="4" s="1"/>
  <c r="BP17" i="4" s="1"/>
  <c r="BQ17" i="4" s="1"/>
  <c r="BR17" i="4" s="1"/>
  <c r="BS17" i="4" s="1"/>
  <c r="BT17" i="4" s="1"/>
  <c r="BU17" i="4" s="1"/>
  <c r="BV17" i="4" s="1"/>
  <c r="BW17" i="4" s="1"/>
  <c r="BX17" i="4" s="1"/>
  <c r="BY17" i="4" s="1"/>
  <c r="BZ17" i="4" s="1"/>
  <c r="CA17" i="4" s="1"/>
  <c r="CB17" i="4" s="1"/>
  <c r="CC17" i="4" s="1"/>
  <c r="CD17" i="4" s="1"/>
  <c r="CE17" i="4" s="1"/>
  <c r="CF17" i="4" s="1"/>
  <c r="CG17" i="4" s="1"/>
  <c r="CH17" i="4" s="1"/>
  <c r="CI17" i="4" s="1"/>
  <c r="CJ17" i="4" s="1"/>
  <c r="CK17" i="4" s="1"/>
  <c r="CL17" i="4" s="1"/>
  <c r="CM17" i="4" s="1"/>
  <c r="CN17" i="4" s="1"/>
  <c r="CO17" i="4" s="1"/>
  <c r="CP17" i="4" s="1"/>
  <c r="CQ17" i="4" s="1"/>
  <c r="CR17" i="4" s="1"/>
  <c r="CS17" i="4" s="1"/>
  <c r="CT17" i="4" s="1"/>
  <c r="CU17" i="4" s="1"/>
  <c r="CV17" i="4" s="1"/>
  <c r="CW17" i="4" s="1"/>
  <c r="CX17" i="4" s="1"/>
  <c r="CY17" i="4" s="1"/>
  <c r="CZ17" i="4" s="1"/>
  <c r="DA17" i="4" s="1"/>
  <c r="DB17" i="4" s="1"/>
  <c r="DC17" i="4" s="1"/>
  <c r="DD17" i="4" s="1"/>
  <c r="DE17" i="4" s="1"/>
  <c r="DF17" i="4" s="1"/>
  <c r="DG17" i="4" s="1"/>
  <c r="DH17" i="4" s="1"/>
  <c r="DI17" i="4" s="1"/>
  <c r="DJ17" i="4" s="1"/>
  <c r="DK17" i="4" s="1"/>
  <c r="DL17" i="4" s="1"/>
  <c r="DM17" i="4" s="1"/>
  <c r="DN17" i="4" s="1"/>
  <c r="DO17" i="4" s="1"/>
  <c r="DP17" i="4" s="1"/>
  <c r="DQ17" i="4" s="1"/>
  <c r="DR17" i="4" s="1"/>
  <c r="DS17" i="4" s="1"/>
  <c r="DT17" i="4" s="1"/>
  <c r="DU17" i="4" s="1"/>
  <c r="DV17" i="4" s="1"/>
  <c r="DW17" i="4" s="1"/>
  <c r="DX17" i="4" s="1"/>
  <c r="DY17" i="4" s="1"/>
  <c r="DZ17" i="4" s="1"/>
  <c r="EA17" i="4" s="1"/>
  <c r="EB17" i="4" s="1"/>
  <c r="EC17" i="4" s="1"/>
  <c r="ED17" i="4" s="1"/>
  <c r="EE17" i="4" s="1"/>
  <c r="EF17" i="4" s="1"/>
  <c r="EG17" i="4" s="1"/>
  <c r="EH17" i="4" s="1"/>
  <c r="EI17" i="4" s="1"/>
  <c r="EJ17" i="4" s="1"/>
  <c r="EK17" i="4" s="1"/>
  <c r="EL17" i="4" s="1"/>
  <c r="EM17" i="4" s="1"/>
  <c r="EN17" i="4" s="1"/>
  <c r="EO17" i="4" s="1"/>
  <c r="EP17" i="4" s="1"/>
  <c r="EQ17" i="4" s="1"/>
  <c r="ER17" i="4" s="1"/>
  <c r="ES17" i="4" s="1"/>
  <c r="K19" i="4"/>
  <c r="L19" i="4" s="1"/>
  <c r="M19" i="4" s="1"/>
  <c r="L25" i="4"/>
  <c r="M25" i="4" s="1"/>
  <c r="N25" i="4" s="1"/>
  <c r="O25" i="4" s="1"/>
  <c r="P25" i="4" s="1"/>
  <c r="Q25" i="4" s="1"/>
  <c r="R25" i="4" s="1"/>
  <c r="S25" i="4" s="1"/>
  <c r="T25" i="4" s="1"/>
  <c r="U25" i="4" s="1"/>
  <c r="V25" i="4" s="1"/>
  <c r="W25" i="4" s="1"/>
  <c r="X25" i="4" s="1"/>
  <c r="Y25" i="4" s="1"/>
  <c r="Z25" i="4" s="1"/>
  <c r="AA25" i="4" s="1"/>
  <c r="AB25" i="4" s="1"/>
  <c r="AC25" i="4" s="1"/>
  <c r="AD25" i="4" s="1"/>
  <c r="AE25" i="4" s="1"/>
  <c r="AF25" i="4" s="1"/>
  <c r="AG25" i="4" s="1"/>
  <c r="AH25" i="4" s="1"/>
  <c r="AI25" i="4" s="1"/>
  <c r="AJ25" i="4" s="1"/>
  <c r="AK25" i="4" s="1"/>
  <c r="AL25" i="4" s="1"/>
  <c r="AM25" i="4" s="1"/>
  <c r="AN25" i="4" s="1"/>
  <c r="AO25" i="4" s="1"/>
  <c r="AP25" i="4" s="1"/>
  <c r="AQ25" i="4" s="1"/>
  <c r="AR25" i="4" s="1"/>
  <c r="AS25" i="4" s="1"/>
  <c r="AT25" i="4" s="1"/>
  <c r="AU25" i="4" s="1"/>
  <c r="AV25" i="4" s="1"/>
  <c r="AW25" i="4" s="1"/>
  <c r="AX25" i="4" s="1"/>
  <c r="AY25" i="4" s="1"/>
  <c r="AZ25" i="4" s="1"/>
  <c r="BA25" i="4" s="1"/>
  <c r="BB25" i="4" s="1"/>
  <c r="BC25" i="4" s="1"/>
  <c r="BD25" i="4" s="1"/>
  <c r="BE25" i="4" s="1"/>
  <c r="BF25" i="4" s="1"/>
  <c r="BG25" i="4" s="1"/>
  <c r="BH25" i="4" s="1"/>
  <c r="BI25" i="4" s="1"/>
  <c r="BJ25" i="4" s="1"/>
  <c r="BK25" i="4" s="1"/>
  <c r="BL25" i="4" s="1"/>
  <c r="BM25" i="4" s="1"/>
  <c r="BN25" i="4" s="1"/>
  <c r="BO25" i="4" s="1"/>
  <c r="BP25" i="4" s="1"/>
  <c r="BQ25" i="4" s="1"/>
  <c r="BR25" i="4" s="1"/>
  <c r="K27" i="4"/>
  <c r="L27" i="4" s="1"/>
  <c r="M27" i="4" s="1"/>
  <c r="N27" i="4" s="1"/>
  <c r="O27" i="4" s="1"/>
  <c r="P27" i="4" s="1"/>
  <c r="Q27" i="4" s="1"/>
  <c r="R27" i="4" s="1"/>
  <c r="S27" i="4" s="1"/>
  <c r="T27" i="4" s="1"/>
  <c r="U27" i="4" s="1"/>
  <c r="V27" i="4" s="1"/>
  <c r="W27" i="4" s="1"/>
  <c r="X27" i="4" s="1"/>
  <c r="Y27" i="4" s="1"/>
  <c r="Z27" i="4" s="1"/>
  <c r="AA27" i="4" s="1"/>
  <c r="AB27" i="4" s="1"/>
  <c r="AC27" i="4" s="1"/>
  <c r="AD27" i="4" s="1"/>
  <c r="AE27" i="4" s="1"/>
  <c r="AF27" i="4" s="1"/>
  <c r="AG27" i="4" s="1"/>
  <c r="AH27" i="4" s="1"/>
  <c r="AI27" i="4" s="1"/>
  <c r="AJ27" i="4" s="1"/>
  <c r="AK27" i="4" s="1"/>
  <c r="AL27" i="4" s="1"/>
  <c r="AM27" i="4" s="1"/>
  <c r="AN27" i="4" s="1"/>
  <c r="AO27" i="4" s="1"/>
  <c r="AP27" i="4" s="1"/>
  <c r="AQ27" i="4" s="1"/>
  <c r="AR27" i="4" s="1"/>
  <c r="AS27" i="4" s="1"/>
  <c r="AT27" i="4" s="1"/>
  <c r="AU27" i="4" s="1"/>
  <c r="AV27" i="4" s="1"/>
  <c r="AW27" i="4" s="1"/>
  <c r="AX27" i="4" s="1"/>
  <c r="AY27" i="4" s="1"/>
  <c r="AZ27" i="4" s="1"/>
  <c r="BA27" i="4" s="1"/>
  <c r="BB27" i="4" s="1"/>
  <c r="BC27" i="4" s="1"/>
  <c r="BD27" i="4" s="1"/>
  <c r="BE27" i="4" s="1"/>
  <c r="BF27" i="4" s="1"/>
  <c r="BG27" i="4" s="1"/>
  <c r="BH27" i="4" s="1"/>
  <c r="BI27" i="4" s="1"/>
  <c r="BJ27" i="4" s="1"/>
  <c r="BK27" i="4" s="1"/>
  <c r="BL27" i="4" s="1"/>
  <c r="BM27" i="4" s="1"/>
  <c r="BN27" i="4" s="1"/>
  <c r="BO27" i="4" s="1"/>
  <c r="BP27" i="4" s="1"/>
  <c r="BQ27" i="4" s="1"/>
  <c r="BR27" i="4" s="1"/>
  <c r="BS27" i="4" s="1"/>
  <c r="BT27" i="4" s="1"/>
  <c r="BU27" i="4" s="1"/>
  <c r="BV27" i="4" s="1"/>
  <c r="BW27" i="4" s="1"/>
  <c r="BX27" i="4" s="1"/>
  <c r="BY27" i="4" s="1"/>
  <c r="BZ27" i="4" s="1"/>
  <c r="CA27" i="4" s="1"/>
  <c r="CB27" i="4" s="1"/>
  <c r="CC27" i="4" s="1"/>
  <c r="CD27" i="4" s="1"/>
  <c r="CE27" i="4" s="1"/>
  <c r="CF27" i="4" s="1"/>
  <c r="CG27" i="4" s="1"/>
  <c r="CH27" i="4" s="1"/>
  <c r="CI27" i="4" s="1"/>
  <c r="CJ27" i="4" s="1"/>
  <c r="CK27" i="4" s="1"/>
  <c r="CL27" i="4" s="1"/>
  <c r="CM27" i="4" s="1"/>
  <c r="CN27" i="4" s="1"/>
  <c r="CO27" i="4" s="1"/>
  <c r="CP27" i="4" s="1"/>
  <c r="CQ27" i="4" s="1"/>
  <c r="CR27" i="4" s="1"/>
  <c r="CS27" i="4" s="1"/>
  <c r="CT27" i="4" s="1"/>
  <c r="CU27" i="4" s="1"/>
  <c r="CV27" i="4" s="1"/>
  <c r="CW27" i="4" s="1"/>
  <c r="CX27" i="4" s="1"/>
  <c r="CY27" i="4" s="1"/>
  <c r="CZ27" i="4" s="1"/>
  <c r="DA27" i="4" s="1"/>
  <c r="DB27" i="4" s="1"/>
  <c r="DC27" i="4" s="1"/>
  <c r="DD27" i="4" s="1"/>
  <c r="DE27" i="4" s="1"/>
  <c r="DF27" i="4" s="1"/>
  <c r="DG27" i="4" s="1"/>
  <c r="DH27" i="4" s="1"/>
  <c r="DI27" i="4" s="1"/>
  <c r="DJ27" i="4" s="1"/>
  <c r="DK27" i="4" s="1"/>
  <c r="DL27" i="4" s="1"/>
  <c r="DM27" i="4" s="1"/>
  <c r="DN27" i="4" s="1"/>
  <c r="DO27" i="4" s="1"/>
  <c r="DP27" i="4" s="1"/>
  <c r="DQ27" i="4" s="1"/>
  <c r="DR27" i="4" s="1"/>
  <c r="DS27" i="4" s="1"/>
  <c r="DT27" i="4" s="1"/>
  <c r="DU27" i="4" s="1"/>
  <c r="DV27" i="4" s="1"/>
  <c r="DW27" i="4" s="1"/>
  <c r="DX27" i="4" s="1"/>
  <c r="DY27" i="4" s="1"/>
  <c r="DZ27" i="4" s="1"/>
  <c r="EA27" i="4" s="1"/>
  <c r="EB27" i="4" s="1"/>
  <c r="EC27" i="4" s="1"/>
  <c r="ED27" i="4" s="1"/>
  <c r="EE27" i="4" s="1"/>
  <c r="EF27" i="4" s="1"/>
  <c r="EG27" i="4" s="1"/>
  <c r="EH27" i="4" s="1"/>
  <c r="EI27" i="4" s="1"/>
  <c r="EJ27" i="4" s="1"/>
  <c r="EK27" i="4" s="1"/>
  <c r="EL27" i="4" s="1"/>
  <c r="EM27" i="4" s="1"/>
  <c r="EN27" i="4" s="1"/>
  <c r="EO27" i="4" s="1"/>
  <c r="EP27" i="4" s="1"/>
  <c r="EQ27" i="4" s="1"/>
  <c r="ER27" i="4" s="1"/>
  <c r="ES27" i="4" s="1"/>
  <c r="K29" i="4"/>
  <c r="L29" i="4" s="1"/>
  <c r="M29" i="4" s="1"/>
  <c r="N29" i="4" s="1"/>
  <c r="O29" i="4" s="1"/>
  <c r="P29" i="4" s="1"/>
  <c r="Q29" i="4" s="1"/>
  <c r="R29" i="4" s="1"/>
  <c r="S29" i="4" s="1"/>
  <c r="T29" i="4" s="1"/>
  <c r="U29" i="4" s="1"/>
  <c r="V29" i="4" s="1"/>
  <c r="W29" i="4" s="1"/>
  <c r="X29" i="4" s="1"/>
  <c r="Y29" i="4" s="1"/>
  <c r="Z29" i="4" s="1"/>
  <c r="AA29" i="4" s="1"/>
  <c r="AB29" i="4" s="1"/>
  <c r="AC29" i="4" s="1"/>
  <c r="AD29" i="4" s="1"/>
  <c r="AE29" i="4" s="1"/>
  <c r="AF29" i="4" s="1"/>
  <c r="AG29" i="4" s="1"/>
  <c r="AH29" i="4" s="1"/>
  <c r="AI29" i="4" s="1"/>
  <c r="AJ29" i="4" s="1"/>
  <c r="AK29" i="4" s="1"/>
  <c r="AL29" i="4" s="1"/>
  <c r="AM29" i="4" s="1"/>
  <c r="AN29" i="4" s="1"/>
  <c r="AO29" i="4" s="1"/>
  <c r="AP29" i="4" s="1"/>
  <c r="AQ29" i="4" s="1"/>
  <c r="AR29" i="4" s="1"/>
  <c r="AS29" i="4" s="1"/>
  <c r="AT29" i="4" s="1"/>
  <c r="AU29" i="4" s="1"/>
  <c r="AV29" i="4" s="1"/>
  <c r="AW29" i="4" s="1"/>
  <c r="AX29" i="4" s="1"/>
  <c r="AY29" i="4" s="1"/>
  <c r="AZ29" i="4" s="1"/>
  <c r="BA29" i="4" s="1"/>
  <c r="BB29" i="4" s="1"/>
  <c r="BC29" i="4" s="1"/>
  <c r="BD29" i="4" s="1"/>
  <c r="BE29" i="4" s="1"/>
  <c r="BF29" i="4" s="1"/>
  <c r="BG29" i="4" s="1"/>
  <c r="BH29" i="4" s="1"/>
  <c r="BI29" i="4" s="1"/>
  <c r="BJ29" i="4" s="1"/>
  <c r="BK29" i="4" s="1"/>
  <c r="BL29" i="4" s="1"/>
  <c r="BM29" i="4" s="1"/>
  <c r="BN29" i="4" s="1"/>
  <c r="BO29" i="4" s="1"/>
  <c r="BP29" i="4" s="1"/>
  <c r="BQ29" i="4" s="1"/>
  <c r="BR29" i="4" s="1"/>
  <c r="BS29" i="4" s="1"/>
  <c r="BT29" i="4" s="1"/>
  <c r="BU29" i="4" s="1"/>
  <c r="BV29" i="4" s="1"/>
  <c r="BW29" i="4" s="1"/>
  <c r="BX29" i="4" s="1"/>
  <c r="BY29" i="4" s="1"/>
  <c r="BZ29" i="4" s="1"/>
  <c r="CA29" i="4" s="1"/>
  <c r="CB29" i="4" s="1"/>
  <c r="CC29" i="4" s="1"/>
  <c r="CD29" i="4" s="1"/>
  <c r="CE29" i="4" s="1"/>
  <c r="CF29" i="4" s="1"/>
  <c r="CG29" i="4" s="1"/>
  <c r="CH29" i="4" s="1"/>
  <c r="CI29" i="4" s="1"/>
  <c r="CJ29" i="4" s="1"/>
  <c r="CK29" i="4" s="1"/>
  <c r="CL29" i="4" s="1"/>
  <c r="CM29" i="4" s="1"/>
  <c r="CN29" i="4" s="1"/>
  <c r="CO29" i="4" s="1"/>
  <c r="CP29" i="4" s="1"/>
  <c r="CQ29" i="4" s="1"/>
  <c r="CR29" i="4" s="1"/>
  <c r="CS29" i="4" s="1"/>
  <c r="CT29" i="4" s="1"/>
  <c r="CU29" i="4" s="1"/>
  <c r="CV29" i="4" s="1"/>
  <c r="CW29" i="4" s="1"/>
  <c r="CX29" i="4" s="1"/>
  <c r="CY29" i="4" s="1"/>
  <c r="CZ29" i="4" s="1"/>
  <c r="DA29" i="4" s="1"/>
  <c r="DB29" i="4" s="1"/>
  <c r="DC29" i="4" s="1"/>
  <c r="DD29" i="4" s="1"/>
  <c r="DE29" i="4" s="1"/>
  <c r="DF29" i="4" s="1"/>
  <c r="DG29" i="4" s="1"/>
  <c r="DH29" i="4" s="1"/>
  <c r="DI29" i="4" s="1"/>
  <c r="DJ29" i="4" s="1"/>
  <c r="DK29" i="4" s="1"/>
  <c r="DL29" i="4" s="1"/>
  <c r="DM29" i="4" s="1"/>
  <c r="DN29" i="4" s="1"/>
  <c r="DO29" i="4" s="1"/>
  <c r="DP29" i="4" s="1"/>
  <c r="DQ29" i="4" s="1"/>
  <c r="DR29" i="4" s="1"/>
  <c r="DS29" i="4" s="1"/>
  <c r="DT29" i="4" s="1"/>
  <c r="DU29" i="4" s="1"/>
  <c r="DV29" i="4" s="1"/>
  <c r="DW29" i="4" s="1"/>
  <c r="DX29" i="4" s="1"/>
  <c r="DY29" i="4" s="1"/>
  <c r="DZ29" i="4" s="1"/>
  <c r="EA29" i="4" s="1"/>
  <c r="EB29" i="4" s="1"/>
  <c r="EC29" i="4" s="1"/>
  <c r="ED29" i="4" s="1"/>
  <c r="EE29" i="4" s="1"/>
  <c r="EF29" i="4" s="1"/>
  <c r="EG29" i="4" s="1"/>
  <c r="EH29" i="4" s="1"/>
  <c r="EI29" i="4" s="1"/>
  <c r="EJ29" i="4" s="1"/>
  <c r="EK29" i="4" s="1"/>
  <c r="EL29" i="4" s="1"/>
  <c r="EM29" i="4" s="1"/>
  <c r="EN29" i="4" s="1"/>
  <c r="EO29" i="4" s="1"/>
  <c r="EP29" i="4" s="1"/>
  <c r="EQ29" i="4" s="1"/>
  <c r="ER29" i="4" s="1"/>
  <c r="ES29" i="4" s="1"/>
  <c r="K31" i="4"/>
  <c r="L31" i="4" s="1"/>
  <c r="M31" i="4" s="1"/>
  <c r="N31" i="4" s="1"/>
  <c r="O31" i="4" s="1"/>
  <c r="P31" i="4" s="1"/>
  <c r="Q31" i="4" s="1"/>
  <c r="R31" i="4" s="1"/>
  <c r="S31" i="4" s="1"/>
  <c r="T31" i="4" s="1"/>
  <c r="U31" i="4" s="1"/>
  <c r="V31" i="4" s="1"/>
  <c r="W31" i="4" s="1"/>
  <c r="X31" i="4" s="1"/>
  <c r="Y31" i="4" s="1"/>
  <c r="Z31" i="4" s="1"/>
  <c r="AA31" i="4" s="1"/>
  <c r="AB31" i="4" s="1"/>
  <c r="AC31" i="4" s="1"/>
  <c r="AD31" i="4" s="1"/>
  <c r="AE31" i="4" s="1"/>
  <c r="AF31" i="4" s="1"/>
  <c r="AG31" i="4" s="1"/>
  <c r="AH31" i="4" s="1"/>
  <c r="AI31" i="4" s="1"/>
  <c r="AJ31" i="4" s="1"/>
  <c r="AK31" i="4" s="1"/>
  <c r="AL31" i="4" s="1"/>
  <c r="AM31" i="4" s="1"/>
  <c r="AN31" i="4" s="1"/>
  <c r="AO31" i="4" s="1"/>
  <c r="AP31" i="4" s="1"/>
  <c r="AQ31" i="4" s="1"/>
  <c r="AR31" i="4" s="1"/>
  <c r="AS31" i="4" s="1"/>
  <c r="AT31" i="4" s="1"/>
  <c r="AU31" i="4" s="1"/>
  <c r="AV31" i="4" s="1"/>
  <c r="AW31" i="4" s="1"/>
  <c r="AX31" i="4" s="1"/>
  <c r="AY31" i="4" s="1"/>
  <c r="AZ31" i="4" s="1"/>
  <c r="BA31" i="4" s="1"/>
  <c r="BB31" i="4" s="1"/>
  <c r="BC31" i="4" s="1"/>
  <c r="BD31" i="4" s="1"/>
  <c r="BE31" i="4" s="1"/>
  <c r="BF31" i="4" s="1"/>
  <c r="BG31" i="4" s="1"/>
  <c r="BH31" i="4" s="1"/>
  <c r="BI31" i="4" s="1"/>
  <c r="BJ31" i="4" s="1"/>
  <c r="BK31" i="4" s="1"/>
  <c r="BL31" i="4" s="1"/>
  <c r="BM31" i="4" s="1"/>
  <c r="BN31" i="4" s="1"/>
  <c r="BO31" i="4" s="1"/>
  <c r="BP31" i="4" s="1"/>
  <c r="BQ31" i="4" s="1"/>
  <c r="BR31" i="4" s="1"/>
  <c r="BS31" i="4" s="1"/>
  <c r="BT31" i="4" s="1"/>
  <c r="BU31" i="4" s="1"/>
  <c r="BV31" i="4" s="1"/>
  <c r="BW31" i="4" s="1"/>
  <c r="BX31" i="4" s="1"/>
  <c r="BY31" i="4" s="1"/>
  <c r="BZ31" i="4" s="1"/>
  <c r="CA31" i="4" s="1"/>
  <c r="CB31" i="4" s="1"/>
  <c r="CC31" i="4" s="1"/>
  <c r="CD31" i="4" s="1"/>
  <c r="CE31" i="4" s="1"/>
  <c r="CF31" i="4" s="1"/>
  <c r="CG31" i="4" s="1"/>
  <c r="CH31" i="4" s="1"/>
  <c r="CI31" i="4" s="1"/>
  <c r="CJ31" i="4" s="1"/>
  <c r="CK31" i="4" s="1"/>
  <c r="CL31" i="4" s="1"/>
  <c r="CM31" i="4" s="1"/>
  <c r="CN31" i="4" s="1"/>
  <c r="CO31" i="4" s="1"/>
  <c r="CP31" i="4" s="1"/>
  <c r="CQ31" i="4" s="1"/>
  <c r="CR31" i="4" s="1"/>
  <c r="CS31" i="4" s="1"/>
  <c r="CT31" i="4" s="1"/>
  <c r="CU31" i="4" s="1"/>
  <c r="CV31" i="4" s="1"/>
  <c r="CW31" i="4" s="1"/>
  <c r="CX31" i="4" s="1"/>
  <c r="CY31" i="4" s="1"/>
  <c r="CZ31" i="4" s="1"/>
  <c r="DA31" i="4" s="1"/>
  <c r="DB31" i="4" s="1"/>
  <c r="DC31" i="4" s="1"/>
  <c r="DD31" i="4" s="1"/>
  <c r="DE31" i="4" s="1"/>
  <c r="DF31" i="4" s="1"/>
  <c r="DG31" i="4" s="1"/>
  <c r="DH31" i="4" s="1"/>
  <c r="DI31" i="4" s="1"/>
  <c r="DJ31" i="4" s="1"/>
  <c r="DK31" i="4" s="1"/>
  <c r="DL31" i="4" s="1"/>
  <c r="DM31" i="4" s="1"/>
  <c r="DN31" i="4" s="1"/>
  <c r="DO31" i="4" s="1"/>
  <c r="DP31" i="4" s="1"/>
  <c r="DQ31" i="4" s="1"/>
  <c r="DR31" i="4" s="1"/>
  <c r="DS31" i="4" s="1"/>
  <c r="DT31" i="4" s="1"/>
  <c r="DU31" i="4" s="1"/>
  <c r="DV31" i="4" s="1"/>
  <c r="DW31" i="4" s="1"/>
  <c r="DX31" i="4" s="1"/>
  <c r="DY31" i="4" s="1"/>
  <c r="DZ31" i="4" s="1"/>
  <c r="EA31" i="4" s="1"/>
  <c r="EB31" i="4" s="1"/>
  <c r="EC31" i="4" s="1"/>
  <c r="ED31" i="4" s="1"/>
  <c r="EE31" i="4" s="1"/>
  <c r="EF31" i="4" s="1"/>
  <c r="EG31" i="4" s="1"/>
  <c r="EH31" i="4" s="1"/>
  <c r="EI31" i="4" s="1"/>
  <c r="EJ31" i="4" s="1"/>
  <c r="EK31" i="4" s="1"/>
  <c r="EL31" i="4" s="1"/>
  <c r="EM31" i="4" s="1"/>
  <c r="EN31" i="4" s="1"/>
  <c r="EO31" i="4" s="1"/>
  <c r="EP31" i="4" s="1"/>
  <c r="EQ31" i="4" s="1"/>
  <c r="ER31" i="4" s="1"/>
  <c r="ES31" i="4" s="1"/>
  <c r="K33" i="4"/>
  <c r="L33" i="4" s="1"/>
  <c r="M33" i="4" s="1"/>
  <c r="N33" i="4" s="1"/>
  <c r="O33" i="4" s="1"/>
  <c r="P33" i="4" s="1"/>
  <c r="Q33" i="4" s="1"/>
  <c r="R33" i="4" s="1"/>
  <c r="S33" i="4" s="1"/>
  <c r="T33" i="4" s="1"/>
  <c r="U33" i="4" s="1"/>
  <c r="V33" i="4" s="1"/>
  <c r="W33" i="4" s="1"/>
  <c r="X33" i="4" s="1"/>
  <c r="Y33" i="4" s="1"/>
  <c r="Z33" i="4" s="1"/>
  <c r="AA33" i="4" s="1"/>
  <c r="AB33" i="4" s="1"/>
  <c r="AC33" i="4" s="1"/>
  <c r="AD33" i="4" s="1"/>
  <c r="AE33" i="4" s="1"/>
  <c r="AF33" i="4" s="1"/>
  <c r="AG33" i="4" s="1"/>
  <c r="AH33" i="4" s="1"/>
  <c r="AI33" i="4" s="1"/>
  <c r="AJ33" i="4" s="1"/>
  <c r="AK33" i="4" s="1"/>
  <c r="AL33" i="4" s="1"/>
  <c r="AM33" i="4" s="1"/>
  <c r="AN33" i="4" s="1"/>
  <c r="AO33" i="4" s="1"/>
  <c r="AP33" i="4" s="1"/>
  <c r="AQ33" i="4" s="1"/>
  <c r="AR33" i="4" s="1"/>
  <c r="AS33" i="4" s="1"/>
  <c r="AT33" i="4" s="1"/>
  <c r="AU33" i="4" s="1"/>
  <c r="AV33" i="4" s="1"/>
  <c r="AW33" i="4" s="1"/>
  <c r="AX33" i="4" s="1"/>
  <c r="AY33" i="4" s="1"/>
  <c r="AZ33" i="4" s="1"/>
  <c r="BA33" i="4" s="1"/>
  <c r="BB33" i="4" s="1"/>
  <c r="BC33" i="4" s="1"/>
  <c r="BD33" i="4" s="1"/>
  <c r="BE33" i="4" s="1"/>
  <c r="BF33" i="4" s="1"/>
  <c r="BG33" i="4" s="1"/>
  <c r="BH33" i="4" s="1"/>
  <c r="BI33" i="4" s="1"/>
  <c r="BJ33" i="4" s="1"/>
  <c r="BK33" i="4" s="1"/>
  <c r="BL33" i="4" s="1"/>
  <c r="BM33" i="4" s="1"/>
  <c r="BN33" i="4" s="1"/>
  <c r="BO33" i="4" s="1"/>
  <c r="BP33" i="4" s="1"/>
  <c r="BQ33" i="4" s="1"/>
  <c r="BR33" i="4" s="1"/>
  <c r="BS33" i="4" s="1"/>
  <c r="BT33" i="4" s="1"/>
  <c r="BU33" i="4" s="1"/>
  <c r="BV33" i="4" s="1"/>
  <c r="BW33" i="4" s="1"/>
  <c r="BX33" i="4" s="1"/>
  <c r="BY33" i="4" s="1"/>
  <c r="BZ33" i="4" s="1"/>
  <c r="CA33" i="4" s="1"/>
  <c r="CB33" i="4" s="1"/>
  <c r="CC33" i="4" s="1"/>
  <c r="CD33" i="4" s="1"/>
  <c r="CE33" i="4" s="1"/>
  <c r="CF33" i="4" s="1"/>
  <c r="CG33" i="4" s="1"/>
  <c r="CH33" i="4" s="1"/>
  <c r="CI33" i="4" s="1"/>
  <c r="CJ33" i="4" s="1"/>
  <c r="CK33" i="4" s="1"/>
  <c r="CL33" i="4" s="1"/>
  <c r="CM33" i="4" s="1"/>
  <c r="CN33" i="4" s="1"/>
  <c r="CO33" i="4" s="1"/>
  <c r="CP33" i="4" s="1"/>
  <c r="CQ33" i="4" s="1"/>
  <c r="CR33" i="4" s="1"/>
  <c r="CS33" i="4" s="1"/>
  <c r="CT33" i="4" s="1"/>
  <c r="CU33" i="4" s="1"/>
  <c r="CV33" i="4" s="1"/>
  <c r="CW33" i="4" s="1"/>
  <c r="CX33" i="4" s="1"/>
  <c r="CY33" i="4" s="1"/>
  <c r="CZ33" i="4" s="1"/>
  <c r="DA33" i="4" s="1"/>
  <c r="DB33" i="4" s="1"/>
  <c r="DC33" i="4" s="1"/>
  <c r="DD33" i="4" s="1"/>
  <c r="DE33" i="4" s="1"/>
  <c r="DF33" i="4" s="1"/>
  <c r="DG33" i="4" s="1"/>
  <c r="DH33" i="4" s="1"/>
  <c r="DI33" i="4" s="1"/>
  <c r="DJ33" i="4" s="1"/>
  <c r="DK33" i="4" s="1"/>
  <c r="DL33" i="4" s="1"/>
  <c r="DM33" i="4" s="1"/>
  <c r="DN33" i="4" s="1"/>
  <c r="DO33" i="4" s="1"/>
  <c r="DP33" i="4" s="1"/>
  <c r="DQ33" i="4" s="1"/>
  <c r="DR33" i="4" s="1"/>
  <c r="DS33" i="4" s="1"/>
  <c r="DT33" i="4" s="1"/>
  <c r="DU33" i="4" s="1"/>
  <c r="DV33" i="4" s="1"/>
  <c r="DW33" i="4" s="1"/>
  <c r="DX33" i="4" s="1"/>
  <c r="DY33" i="4" s="1"/>
  <c r="DZ33" i="4" s="1"/>
  <c r="EA33" i="4" s="1"/>
  <c r="EB33" i="4" s="1"/>
  <c r="EC33" i="4" s="1"/>
  <c r="ED33" i="4" s="1"/>
  <c r="EE33" i="4" s="1"/>
  <c r="EF33" i="4" s="1"/>
  <c r="EG33" i="4" s="1"/>
  <c r="EH33" i="4" s="1"/>
  <c r="EI33" i="4" s="1"/>
  <c r="EJ33" i="4" s="1"/>
  <c r="EK33" i="4" s="1"/>
  <c r="EL33" i="4" s="1"/>
  <c r="EM33" i="4" s="1"/>
  <c r="EN33" i="4" s="1"/>
  <c r="EO33" i="4" s="1"/>
  <c r="EP33" i="4" s="1"/>
  <c r="EQ33" i="4" s="1"/>
  <c r="ER33" i="4" s="1"/>
  <c r="ES33" i="4" s="1"/>
  <c r="K35" i="4"/>
  <c r="L35" i="4" s="1"/>
  <c r="M35" i="4" s="1"/>
  <c r="N35" i="4" s="1"/>
  <c r="O35" i="4" s="1"/>
  <c r="P35" i="4" s="1"/>
  <c r="Q35" i="4" s="1"/>
  <c r="R35" i="4" s="1"/>
  <c r="S35" i="4" s="1"/>
  <c r="T35" i="4" s="1"/>
  <c r="U35" i="4" s="1"/>
  <c r="V35" i="4" s="1"/>
  <c r="W35" i="4" s="1"/>
  <c r="X35" i="4" s="1"/>
  <c r="Y35" i="4" s="1"/>
  <c r="Z35" i="4" s="1"/>
  <c r="AA35" i="4" s="1"/>
  <c r="AB35" i="4" s="1"/>
  <c r="AC35" i="4" s="1"/>
  <c r="AD35" i="4" s="1"/>
  <c r="AE35" i="4" s="1"/>
  <c r="AF35" i="4" s="1"/>
  <c r="AG35" i="4" s="1"/>
  <c r="AH35" i="4" s="1"/>
  <c r="AI35" i="4" s="1"/>
  <c r="AJ35" i="4" s="1"/>
  <c r="AK35" i="4" s="1"/>
  <c r="AL35" i="4" s="1"/>
  <c r="AM35" i="4" s="1"/>
  <c r="AN35" i="4" s="1"/>
  <c r="AO35" i="4" s="1"/>
  <c r="AP35" i="4" s="1"/>
  <c r="AQ35" i="4" s="1"/>
  <c r="AR35" i="4" s="1"/>
  <c r="AS35" i="4" s="1"/>
  <c r="AT35" i="4" s="1"/>
  <c r="AU35" i="4" s="1"/>
  <c r="AV35" i="4" s="1"/>
  <c r="AW35" i="4" s="1"/>
  <c r="AX35" i="4" s="1"/>
  <c r="AY35" i="4" s="1"/>
  <c r="AZ35" i="4" s="1"/>
  <c r="BA35" i="4" s="1"/>
  <c r="BB35" i="4" s="1"/>
  <c r="BC35" i="4" s="1"/>
  <c r="BD35" i="4" s="1"/>
  <c r="BE35" i="4" s="1"/>
  <c r="BF35" i="4" s="1"/>
  <c r="BG35" i="4" s="1"/>
  <c r="BH35" i="4" s="1"/>
  <c r="BI35" i="4" s="1"/>
  <c r="BJ35" i="4" s="1"/>
  <c r="BK35" i="4" s="1"/>
  <c r="BL35" i="4" s="1"/>
  <c r="BM35" i="4" s="1"/>
  <c r="BN35" i="4" s="1"/>
  <c r="BO35" i="4" s="1"/>
  <c r="BP35" i="4" s="1"/>
  <c r="BQ35" i="4" s="1"/>
  <c r="BR35" i="4" s="1"/>
  <c r="BS35" i="4" s="1"/>
  <c r="BT35" i="4" s="1"/>
  <c r="BU35" i="4" s="1"/>
  <c r="BV35" i="4" s="1"/>
  <c r="BW35" i="4" s="1"/>
  <c r="BX35" i="4" s="1"/>
  <c r="BY35" i="4" s="1"/>
  <c r="BZ35" i="4" s="1"/>
  <c r="CA35" i="4" s="1"/>
  <c r="CB35" i="4" s="1"/>
  <c r="CC35" i="4" s="1"/>
  <c r="CD35" i="4" s="1"/>
  <c r="CE35" i="4" s="1"/>
  <c r="CF35" i="4" s="1"/>
  <c r="CG35" i="4" s="1"/>
  <c r="CH35" i="4" s="1"/>
  <c r="CI35" i="4" s="1"/>
  <c r="CJ35" i="4" s="1"/>
  <c r="CK35" i="4" s="1"/>
  <c r="CL35" i="4" s="1"/>
  <c r="CM35" i="4" s="1"/>
  <c r="CN35" i="4" s="1"/>
  <c r="CO35" i="4" s="1"/>
  <c r="CP35" i="4" s="1"/>
  <c r="CQ35" i="4" s="1"/>
  <c r="CR35" i="4" s="1"/>
  <c r="CS35" i="4" s="1"/>
  <c r="CT35" i="4" s="1"/>
  <c r="CU35" i="4" s="1"/>
  <c r="CV35" i="4" s="1"/>
  <c r="CW35" i="4" s="1"/>
  <c r="CX35" i="4" s="1"/>
  <c r="CY35" i="4" s="1"/>
  <c r="CZ35" i="4" s="1"/>
  <c r="DA35" i="4" s="1"/>
  <c r="DB35" i="4" s="1"/>
  <c r="DC35" i="4" s="1"/>
  <c r="DD35" i="4" s="1"/>
  <c r="DE35" i="4" s="1"/>
  <c r="DF35" i="4" s="1"/>
  <c r="DG35" i="4" s="1"/>
  <c r="DH35" i="4" s="1"/>
  <c r="DI35" i="4" s="1"/>
  <c r="DJ35" i="4" s="1"/>
  <c r="DK35" i="4" s="1"/>
  <c r="DL35" i="4" s="1"/>
  <c r="DM35" i="4" s="1"/>
  <c r="DN35" i="4" s="1"/>
  <c r="DO35" i="4" s="1"/>
  <c r="DP35" i="4" s="1"/>
  <c r="DQ35" i="4" s="1"/>
  <c r="DR35" i="4" s="1"/>
  <c r="DS35" i="4" s="1"/>
  <c r="DT35" i="4" s="1"/>
  <c r="DU35" i="4" s="1"/>
  <c r="DV35" i="4" s="1"/>
  <c r="DW35" i="4" s="1"/>
  <c r="DX35" i="4" s="1"/>
  <c r="DY35" i="4" s="1"/>
  <c r="DZ35" i="4" s="1"/>
  <c r="EA35" i="4" s="1"/>
  <c r="EB35" i="4" s="1"/>
  <c r="EC35" i="4" s="1"/>
  <c r="ED35" i="4" s="1"/>
  <c r="EE35" i="4" s="1"/>
  <c r="EF35" i="4" s="1"/>
  <c r="EG35" i="4" s="1"/>
  <c r="EH35" i="4" s="1"/>
  <c r="EI35" i="4" s="1"/>
  <c r="EJ35" i="4" s="1"/>
  <c r="EK35" i="4" s="1"/>
  <c r="EL35" i="4" s="1"/>
  <c r="EM35" i="4" s="1"/>
  <c r="EN35" i="4" s="1"/>
  <c r="EO35" i="4" s="1"/>
  <c r="EP35" i="4" s="1"/>
  <c r="EQ35" i="4" s="1"/>
  <c r="ER35" i="4" s="1"/>
  <c r="ES35" i="4" s="1"/>
  <c r="J41" i="4"/>
  <c r="L41" i="4"/>
  <c r="M41" i="4" s="1"/>
  <c r="N41" i="4" s="1"/>
  <c r="O41" i="4" s="1"/>
  <c r="P41" i="4" s="1"/>
  <c r="Q41" i="4" s="1"/>
  <c r="R41" i="4" s="1"/>
  <c r="S41" i="4" s="1"/>
  <c r="T41" i="4" s="1"/>
  <c r="U41" i="4" s="1"/>
  <c r="V41" i="4" s="1"/>
  <c r="W41" i="4" s="1"/>
  <c r="X41" i="4" s="1"/>
  <c r="Y41" i="4" s="1"/>
  <c r="Z41" i="4" s="1"/>
  <c r="AA41" i="4" s="1"/>
  <c r="AB41" i="4" s="1"/>
  <c r="AC41" i="4" s="1"/>
  <c r="AD41" i="4" s="1"/>
  <c r="AE41" i="4" s="1"/>
  <c r="AF41" i="4" s="1"/>
  <c r="AG41" i="4" s="1"/>
  <c r="AH41" i="4" s="1"/>
  <c r="AI41" i="4" s="1"/>
  <c r="AJ41" i="4" s="1"/>
  <c r="AK41" i="4" s="1"/>
  <c r="AL41" i="4" s="1"/>
  <c r="AM41" i="4" s="1"/>
  <c r="AN41" i="4" s="1"/>
  <c r="AO41" i="4" s="1"/>
  <c r="AP41" i="4" s="1"/>
  <c r="AQ41" i="4" s="1"/>
  <c r="AR41" i="4" s="1"/>
  <c r="AS41" i="4" s="1"/>
  <c r="AT41" i="4" s="1"/>
  <c r="AU41" i="4" s="1"/>
  <c r="AV41" i="4" s="1"/>
  <c r="AW41" i="4" s="1"/>
  <c r="AX41" i="4" s="1"/>
  <c r="AY41" i="4" s="1"/>
  <c r="AZ41" i="4" s="1"/>
  <c r="BA41" i="4" s="1"/>
  <c r="BB41" i="4" s="1"/>
  <c r="BC41" i="4" s="1"/>
  <c r="BD41" i="4" s="1"/>
  <c r="BE41" i="4" s="1"/>
  <c r="BF41" i="4" s="1"/>
  <c r="BG41" i="4" s="1"/>
  <c r="BH41" i="4" s="1"/>
  <c r="BI41" i="4" s="1"/>
  <c r="BJ41" i="4" s="1"/>
  <c r="BK41" i="4" s="1"/>
  <c r="BL41" i="4" s="1"/>
  <c r="BM41" i="4" s="1"/>
  <c r="BN41" i="4" s="1"/>
  <c r="BO41" i="4" s="1"/>
  <c r="BP41" i="4" s="1"/>
  <c r="BQ41" i="4" s="1"/>
  <c r="BR41" i="4" s="1"/>
  <c r="BS41" i="4" s="1"/>
  <c r="BT41" i="4" s="1"/>
  <c r="BU41" i="4" s="1"/>
  <c r="BV41" i="4" s="1"/>
  <c r="BW41" i="4" s="1"/>
  <c r="BX41" i="4" s="1"/>
  <c r="BY41" i="4" s="1"/>
  <c r="BZ41" i="4" s="1"/>
  <c r="CA41" i="4" s="1"/>
  <c r="CB41" i="4" s="1"/>
  <c r="CC41" i="4" s="1"/>
  <c r="CD41" i="4" s="1"/>
  <c r="CE41" i="4" s="1"/>
  <c r="CF41" i="4" s="1"/>
  <c r="CG41" i="4" s="1"/>
  <c r="CH41" i="4" s="1"/>
  <c r="CI41" i="4" s="1"/>
  <c r="CJ41" i="4" s="1"/>
  <c r="CK41" i="4" s="1"/>
  <c r="CL41" i="4" s="1"/>
  <c r="CM41" i="4" s="1"/>
  <c r="CN41" i="4" s="1"/>
  <c r="CO41" i="4" s="1"/>
  <c r="CP41" i="4" s="1"/>
  <c r="CQ41" i="4" s="1"/>
  <c r="CR41" i="4" s="1"/>
  <c r="CS41" i="4" s="1"/>
  <c r="CT41" i="4" s="1"/>
  <c r="CU41" i="4" s="1"/>
  <c r="CV41" i="4" s="1"/>
  <c r="CW41" i="4" s="1"/>
  <c r="CX41" i="4" s="1"/>
  <c r="CY41" i="4" s="1"/>
  <c r="CZ41" i="4" s="1"/>
  <c r="DA41" i="4" s="1"/>
  <c r="DB41" i="4" s="1"/>
  <c r="DC41" i="4" s="1"/>
  <c r="DD41" i="4" s="1"/>
  <c r="DE41" i="4" s="1"/>
  <c r="DF41" i="4" s="1"/>
  <c r="DG41" i="4" s="1"/>
  <c r="DH41" i="4" s="1"/>
  <c r="DI41" i="4" s="1"/>
  <c r="DJ41" i="4" s="1"/>
  <c r="DK41" i="4" s="1"/>
  <c r="DL41" i="4" s="1"/>
  <c r="DM41" i="4" s="1"/>
  <c r="DN41" i="4" s="1"/>
  <c r="DO41" i="4" s="1"/>
  <c r="DP41" i="4" s="1"/>
  <c r="DQ41" i="4" s="1"/>
  <c r="DR41" i="4" s="1"/>
  <c r="DS41" i="4" s="1"/>
  <c r="DT41" i="4" s="1"/>
  <c r="DU41" i="4" s="1"/>
  <c r="DV41" i="4" s="1"/>
  <c r="DW41" i="4" s="1"/>
  <c r="DX41" i="4" s="1"/>
  <c r="DY41" i="4" s="1"/>
  <c r="DZ41" i="4" s="1"/>
  <c r="EA41" i="4" s="1"/>
  <c r="EB41" i="4" s="1"/>
  <c r="EC41" i="4" s="1"/>
  <c r="ED41" i="4" s="1"/>
  <c r="EE41" i="4" s="1"/>
  <c r="EF41" i="4" s="1"/>
  <c r="EG41" i="4" s="1"/>
  <c r="EH41" i="4" s="1"/>
  <c r="EI41" i="4" s="1"/>
  <c r="EJ41" i="4" s="1"/>
  <c r="EK41" i="4" s="1"/>
  <c r="EL41" i="4" s="1"/>
  <c r="EM41" i="4" s="1"/>
  <c r="EN41" i="4" s="1"/>
  <c r="EO41" i="4" s="1"/>
  <c r="EP41" i="4" s="1"/>
  <c r="EQ41" i="4" s="1"/>
  <c r="ER41" i="4" s="1"/>
  <c r="ES41" i="4" s="1"/>
  <c r="K43" i="4"/>
  <c r="L43" i="4" s="1"/>
  <c r="M43" i="4" s="1"/>
  <c r="N43" i="4" s="1"/>
  <c r="O43" i="4" s="1"/>
  <c r="P43" i="4" s="1"/>
  <c r="Q43" i="4" s="1"/>
  <c r="R43" i="4" s="1"/>
  <c r="S43" i="4" s="1"/>
  <c r="T43" i="4" s="1"/>
  <c r="U43" i="4" s="1"/>
  <c r="V43" i="4" s="1"/>
  <c r="W43" i="4" s="1"/>
  <c r="X43" i="4" s="1"/>
  <c r="Y43" i="4" s="1"/>
  <c r="Z43" i="4" s="1"/>
  <c r="AA43" i="4" s="1"/>
  <c r="AB43" i="4" s="1"/>
  <c r="AC43" i="4" s="1"/>
  <c r="AD43" i="4" s="1"/>
  <c r="AE43" i="4" s="1"/>
  <c r="AF43" i="4" s="1"/>
  <c r="AG43" i="4" s="1"/>
  <c r="AH43" i="4" s="1"/>
  <c r="AI43" i="4" s="1"/>
  <c r="AJ43" i="4" s="1"/>
  <c r="AK43" i="4" s="1"/>
  <c r="AL43" i="4" s="1"/>
  <c r="AM43" i="4" s="1"/>
  <c r="AN43" i="4" s="1"/>
  <c r="AO43" i="4" s="1"/>
  <c r="AP43" i="4" s="1"/>
  <c r="AQ43" i="4" s="1"/>
  <c r="AR43" i="4" s="1"/>
  <c r="AS43" i="4" s="1"/>
  <c r="AT43" i="4" s="1"/>
  <c r="AU43" i="4" s="1"/>
  <c r="AV43" i="4" s="1"/>
  <c r="AW43" i="4" s="1"/>
  <c r="AX43" i="4" s="1"/>
  <c r="AY43" i="4" s="1"/>
  <c r="AZ43" i="4" s="1"/>
  <c r="BA43" i="4" s="1"/>
  <c r="BB43" i="4" s="1"/>
  <c r="BC43" i="4" s="1"/>
  <c r="BD43" i="4" s="1"/>
  <c r="BE43" i="4" s="1"/>
  <c r="BF43" i="4" s="1"/>
  <c r="BG43" i="4" s="1"/>
  <c r="BH43" i="4" s="1"/>
  <c r="BI43" i="4" s="1"/>
  <c r="BJ43" i="4" s="1"/>
  <c r="BK43" i="4" s="1"/>
  <c r="BL43" i="4" s="1"/>
  <c r="BM43" i="4" s="1"/>
  <c r="BN43" i="4" s="1"/>
  <c r="BO43" i="4" s="1"/>
  <c r="BP43" i="4" s="1"/>
  <c r="BQ43" i="4" s="1"/>
  <c r="BR43" i="4" s="1"/>
  <c r="BS43" i="4" s="1"/>
  <c r="BT43" i="4" s="1"/>
  <c r="BU43" i="4" s="1"/>
  <c r="BV43" i="4" s="1"/>
  <c r="BW43" i="4" s="1"/>
  <c r="BX43" i="4" s="1"/>
  <c r="BY43" i="4" s="1"/>
  <c r="BZ43" i="4" s="1"/>
  <c r="CA43" i="4" s="1"/>
  <c r="CB43" i="4" s="1"/>
  <c r="CC43" i="4" s="1"/>
  <c r="CD43" i="4" s="1"/>
  <c r="CE43" i="4" s="1"/>
  <c r="CF43" i="4" s="1"/>
  <c r="CG43" i="4" s="1"/>
  <c r="CH43" i="4" s="1"/>
  <c r="CI43" i="4" s="1"/>
  <c r="CJ43" i="4" s="1"/>
  <c r="CK43" i="4" s="1"/>
  <c r="CL43" i="4" s="1"/>
  <c r="CM43" i="4" s="1"/>
  <c r="CN43" i="4" s="1"/>
  <c r="CO43" i="4" s="1"/>
  <c r="CP43" i="4" s="1"/>
  <c r="CQ43" i="4" s="1"/>
  <c r="CR43" i="4" s="1"/>
  <c r="CS43" i="4" s="1"/>
  <c r="CT43" i="4" s="1"/>
  <c r="CU43" i="4" s="1"/>
  <c r="CV43" i="4" s="1"/>
  <c r="CW43" i="4" s="1"/>
  <c r="CX43" i="4" s="1"/>
  <c r="CY43" i="4" s="1"/>
  <c r="CZ43" i="4" s="1"/>
  <c r="DA43" i="4" s="1"/>
  <c r="DB43" i="4" s="1"/>
  <c r="DC43" i="4" s="1"/>
  <c r="DD43" i="4" s="1"/>
  <c r="DE43" i="4" s="1"/>
  <c r="DF43" i="4" s="1"/>
  <c r="DG43" i="4" s="1"/>
  <c r="DH43" i="4" s="1"/>
  <c r="DI43" i="4" s="1"/>
  <c r="DJ43" i="4" s="1"/>
  <c r="DK43" i="4" s="1"/>
  <c r="DL43" i="4" s="1"/>
  <c r="DM43" i="4" s="1"/>
  <c r="DN43" i="4" s="1"/>
  <c r="DO43" i="4" s="1"/>
  <c r="DP43" i="4" s="1"/>
  <c r="DQ43" i="4" s="1"/>
  <c r="DR43" i="4" s="1"/>
  <c r="DS43" i="4" s="1"/>
  <c r="DT43" i="4" s="1"/>
  <c r="DU43" i="4" s="1"/>
  <c r="DV43" i="4" s="1"/>
  <c r="DW43" i="4" s="1"/>
  <c r="DX43" i="4" s="1"/>
  <c r="DY43" i="4" s="1"/>
  <c r="DZ43" i="4" s="1"/>
  <c r="EA43" i="4" s="1"/>
  <c r="EB43" i="4" s="1"/>
  <c r="EC43" i="4" s="1"/>
  <c r="ED43" i="4" s="1"/>
  <c r="EE43" i="4" s="1"/>
  <c r="EF43" i="4" s="1"/>
  <c r="EG43" i="4" s="1"/>
  <c r="EH43" i="4" s="1"/>
  <c r="EI43" i="4" s="1"/>
  <c r="EJ43" i="4" s="1"/>
  <c r="EK43" i="4" s="1"/>
  <c r="EL43" i="4" s="1"/>
  <c r="EM43" i="4" s="1"/>
  <c r="EN43" i="4" s="1"/>
  <c r="EO43" i="4" s="1"/>
  <c r="EP43" i="4" s="1"/>
  <c r="EQ43" i="4" s="1"/>
  <c r="ER43" i="4" s="1"/>
  <c r="ES43" i="4" s="1"/>
  <c r="K45" i="4"/>
  <c r="L45" i="4" s="1"/>
  <c r="M45" i="4" s="1"/>
  <c r="N45" i="4" s="1"/>
  <c r="O45" i="4" s="1"/>
  <c r="P45" i="4" s="1"/>
  <c r="Q45" i="4" s="1"/>
  <c r="R45" i="4" s="1"/>
  <c r="S45" i="4" s="1"/>
  <c r="T45" i="4" s="1"/>
  <c r="U45" i="4" s="1"/>
  <c r="V45" i="4" s="1"/>
  <c r="W45" i="4" s="1"/>
  <c r="X45" i="4" s="1"/>
  <c r="Y45" i="4" s="1"/>
  <c r="Z45" i="4" s="1"/>
  <c r="AA45" i="4" s="1"/>
  <c r="AB45" i="4" s="1"/>
  <c r="AC45" i="4" s="1"/>
  <c r="AD45" i="4" s="1"/>
  <c r="AE45" i="4" s="1"/>
  <c r="AF45" i="4" s="1"/>
  <c r="AG45" i="4" s="1"/>
  <c r="AH45" i="4" s="1"/>
  <c r="AI45" i="4" s="1"/>
  <c r="AJ45" i="4" s="1"/>
  <c r="AK45" i="4" s="1"/>
  <c r="AL45" i="4" s="1"/>
  <c r="AM45" i="4" s="1"/>
  <c r="AN45" i="4" s="1"/>
  <c r="AO45" i="4" s="1"/>
  <c r="AP45" i="4" s="1"/>
  <c r="AQ45" i="4" s="1"/>
  <c r="AR45" i="4" s="1"/>
  <c r="AS45" i="4" s="1"/>
  <c r="AT45" i="4" s="1"/>
  <c r="AU45" i="4" s="1"/>
  <c r="AV45" i="4" s="1"/>
  <c r="AW45" i="4" s="1"/>
  <c r="AX45" i="4" s="1"/>
  <c r="AY45" i="4" s="1"/>
  <c r="AZ45" i="4" s="1"/>
  <c r="BA45" i="4" s="1"/>
  <c r="BB45" i="4" s="1"/>
  <c r="BC45" i="4" s="1"/>
  <c r="BD45" i="4" s="1"/>
  <c r="BE45" i="4" s="1"/>
  <c r="BF45" i="4" s="1"/>
  <c r="BG45" i="4" s="1"/>
  <c r="BH45" i="4" s="1"/>
  <c r="BI45" i="4" s="1"/>
  <c r="BJ45" i="4" s="1"/>
  <c r="BK45" i="4" s="1"/>
  <c r="BL45" i="4" s="1"/>
  <c r="BM45" i="4" s="1"/>
  <c r="BN45" i="4" s="1"/>
  <c r="BO45" i="4" s="1"/>
  <c r="BP45" i="4" s="1"/>
  <c r="BQ45" i="4" s="1"/>
  <c r="BR45" i="4" s="1"/>
  <c r="BS45" i="4" s="1"/>
  <c r="BT45" i="4" s="1"/>
  <c r="BU45" i="4" s="1"/>
  <c r="BV45" i="4" s="1"/>
  <c r="BW45" i="4" s="1"/>
  <c r="BX45" i="4" s="1"/>
  <c r="BY45" i="4" s="1"/>
  <c r="BZ45" i="4" s="1"/>
  <c r="CA45" i="4" s="1"/>
  <c r="CB45" i="4" s="1"/>
  <c r="CC45" i="4" s="1"/>
  <c r="CD45" i="4" s="1"/>
  <c r="CE45" i="4" s="1"/>
  <c r="CF45" i="4" s="1"/>
  <c r="CG45" i="4" s="1"/>
  <c r="CH45" i="4" s="1"/>
  <c r="CI45" i="4" s="1"/>
  <c r="CJ45" i="4" s="1"/>
  <c r="CK45" i="4" s="1"/>
  <c r="CL45" i="4" s="1"/>
  <c r="CM45" i="4" s="1"/>
  <c r="CN45" i="4" s="1"/>
  <c r="CO45" i="4" s="1"/>
  <c r="CP45" i="4" s="1"/>
  <c r="CQ45" i="4" s="1"/>
  <c r="CR45" i="4" s="1"/>
  <c r="CS45" i="4" s="1"/>
  <c r="CT45" i="4" s="1"/>
  <c r="CU45" i="4" s="1"/>
  <c r="CV45" i="4" s="1"/>
  <c r="CW45" i="4" s="1"/>
  <c r="CX45" i="4" s="1"/>
  <c r="CY45" i="4" s="1"/>
  <c r="CZ45" i="4" s="1"/>
  <c r="DA45" i="4" s="1"/>
  <c r="DB45" i="4" s="1"/>
  <c r="DC45" i="4" s="1"/>
  <c r="DD45" i="4" s="1"/>
  <c r="DE45" i="4" s="1"/>
  <c r="DF45" i="4" s="1"/>
  <c r="DG45" i="4" s="1"/>
  <c r="DH45" i="4" s="1"/>
  <c r="DI45" i="4" s="1"/>
  <c r="DJ45" i="4" s="1"/>
  <c r="DK45" i="4" s="1"/>
  <c r="DL45" i="4" s="1"/>
  <c r="DM45" i="4" s="1"/>
  <c r="DN45" i="4" s="1"/>
  <c r="DO45" i="4" s="1"/>
  <c r="DP45" i="4" s="1"/>
  <c r="DQ45" i="4" s="1"/>
  <c r="DR45" i="4" s="1"/>
  <c r="DS45" i="4" s="1"/>
  <c r="DT45" i="4" s="1"/>
  <c r="DU45" i="4" s="1"/>
  <c r="DV45" i="4" s="1"/>
  <c r="DW45" i="4" s="1"/>
  <c r="DX45" i="4" s="1"/>
  <c r="DY45" i="4" s="1"/>
  <c r="DZ45" i="4" s="1"/>
  <c r="EA45" i="4" s="1"/>
  <c r="EB45" i="4" s="1"/>
  <c r="EC45" i="4" s="1"/>
  <c r="ED45" i="4" s="1"/>
  <c r="EE45" i="4" s="1"/>
  <c r="EF45" i="4" s="1"/>
  <c r="EG45" i="4" s="1"/>
  <c r="EH45" i="4" s="1"/>
  <c r="EI45" i="4" s="1"/>
  <c r="EJ45" i="4" s="1"/>
  <c r="EK45" i="4" s="1"/>
  <c r="EL45" i="4" s="1"/>
  <c r="EM45" i="4" s="1"/>
  <c r="EN45" i="4" s="1"/>
  <c r="EO45" i="4" s="1"/>
  <c r="EP45" i="4" s="1"/>
  <c r="EQ45" i="4" s="1"/>
  <c r="ER45" i="4" s="1"/>
  <c r="ES45" i="4" s="1"/>
  <c r="K47" i="4"/>
  <c r="L47" i="4" s="1"/>
  <c r="M47" i="4" s="1"/>
  <c r="N47" i="4" s="1"/>
  <c r="O47" i="4" s="1"/>
  <c r="P47" i="4" s="1"/>
  <c r="Q47" i="4" s="1"/>
  <c r="R47" i="4" s="1"/>
  <c r="S47" i="4" s="1"/>
  <c r="T47" i="4" s="1"/>
  <c r="U47" i="4" s="1"/>
  <c r="V47" i="4" s="1"/>
  <c r="W47" i="4" s="1"/>
  <c r="X47" i="4" s="1"/>
  <c r="Y47" i="4" s="1"/>
  <c r="Z47" i="4" s="1"/>
  <c r="AA47" i="4" s="1"/>
  <c r="AB47" i="4" s="1"/>
  <c r="AC47" i="4" s="1"/>
  <c r="AD47" i="4" s="1"/>
  <c r="AE47" i="4" s="1"/>
  <c r="AF47" i="4" s="1"/>
  <c r="AG47" i="4" s="1"/>
  <c r="AH47" i="4" s="1"/>
  <c r="AI47" i="4" s="1"/>
  <c r="AJ47" i="4" s="1"/>
  <c r="AK47" i="4" s="1"/>
  <c r="AL47" i="4" s="1"/>
  <c r="AM47" i="4" s="1"/>
  <c r="AN47" i="4" s="1"/>
  <c r="AO47" i="4" s="1"/>
  <c r="AP47" i="4" s="1"/>
  <c r="AQ47" i="4" s="1"/>
  <c r="AR47" i="4" s="1"/>
  <c r="AS47" i="4" s="1"/>
  <c r="AT47" i="4" s="1"/>
  <c r="AU47" i="4" s="1"/>
  <c r="AV47" i="4" s="1"/>
  <c r="AW47" i="4" s="1"/>
  <c r="AX47" i="4" s="1"/>
  <c r="AY47" i="4" s="1"/>
  <c r="AZ47" i="4" s="1"/>
  <c r="BA47" i="4" s="1"/>
  <c r="BB47" i="4" s="1"/>
  <c r="BC47" i="4" s="1"/>
  <c r="BD47" i="4" s="1"/>
  <c r="BE47" i="4" s="1"/>
  <c r="BF47" i="4" s="1"/>
  <c r="BG47" i="4" s="1"/>
  <c r="BH47" i="4" s="1"/>
  <c r="BI47" i="4" s="1"/>
  <c r="BJ47" i="4" s="1"/>
  <c r="BK47" i="4" s="1"/>
  <c r="BL47" i="4" s="1"/>
  <c r="BM47" i="4" s="1"/>
  <c r="BN47" i="4" s="1"/>
  <c r="BO47" i="4" s="1"/>
  <c r="BP47" i="4" s="1"/>
  <c r="BQ47" i="4" s="1"/>
  <c r="BR47" i="4" s="1"/>
  <c r="BS47" i="4" s="1"/>
  <c r="BT47" i="4" s="1"/>
  <c r="BU47" i="4" s="1"/>
  <c r="BV47" i="4" s="1"/>
  <c r="BW47" i="4" s="1"/>
  <c r="BX47" i="4" s="1"/>
  <c r="BY47" i="4" s="1"/>
  <c r="BZ47" i="4" s="1"/>
  <c r="CA47" i="4" s="1"/>
  <c r="CB47" i="4" s="1"/>
  <c r="CC47" i="4" s="1"/>
  <c r="CD47" i="4" s="1"/>
  <c r="CE47" i="4" s="1"/>
  <c r="CF47" i="4" s="1"/>
  <c r="CG47" i="4" s="1"/>
  <c r="CH47" i="4" s="1"/>
  <c r="CI47" i="4" s="1"/>
  <c r="CJ47" i="4" s="1"/>
  <c r="CK47" i="4" s="1"/>
  <c r="CL47" i="4" s="1"/>
  <c r="CM47" i="4" s="1"/>
  <c r="CN47" i="4" s="1"/>
  <c r="CO47" i="4" s="1"/>
  <c r="CP47" i="4" s="1"/>
  <c r="CQ47" i="4" s="1"/>
  <c r="CR47" i="4" s="1"/>
  <c r="CS47" i="4" s="1"/>
  <c r="CT47" i="4" s="1"/>
  <c r="CU47" i="4" s="1"/>
  <c r="CV47" i="4" s="1"/>
  <c r="CW47" i="4" s="1"/>
  <c r="CX47" i="4" s="1"/>
  <c r="CY47" i="4" s="1"/>
  <c r="CZ47" i="4" s="1"/>
  <c r="DA47" i="4" s="1"/>
  <c r="DB47" i="4" s="1"/>
  <c r="DC47" i="4" s="1"/>
  <c r="DD47" i="4" s="1"/>
  <c r="DE47" i="4" s="1"/>
  <c r="DF47" i="4" s="1"/>
  <c r="DG47" i="4" s="1"/>
  <c r="DH47" i="4" s="1"/>
  <c r="DI47" i="4" s="1"/>
  <c r="DJ47" i="4" s="1"/>
  <c r="DK47" i="4" s="1"/>
  <c r="DL47" i="4" s="1"/>
  <c r="DM47" i="4" s="1"/>
  <c r="DN47" i="4" s="1"/>
  <c r="DO47" i="4" s="1"/>
  <c r="DP47" i="4" s="1"/>
  <c r="DQ47" i="4" s="1"/>
  <c r="DR47" i="4" s="1"/>
  <c r="DS47" i="4" s="1"/>
  <c r="DT47" i="4" s="1"/>
  <c r="DU47" i="4" s="1"/>
  <c r="DV47" i="4" s="1"/>
  <c r="DW47" i="4" s="1"/>
  <c r="DX47" i="4" s="1"/>
  <c r="DY47" i="4" s="1"/>
  <c r="DZ47" i="4" s="1"/>
  <c r="EA47" i="4" s="1"/>
  <c r="EB47" i="4" s="1"/>
  <c r="EC47" i="4" s="1"/>
  <c r="ED47" i="4" s="1"/>
  <c r="EE47" i="4" s="1"/>
  <c r="EF47" i="4" s="1"/>
  <c r="EG47" i="4" s="1"/>
  <c r="EH47" i="4" s="1"/>
  <c r="EI47" i="4" s="1"/>
  <c r="EJ47" i="4" s="1"/>
  <c r="EK47" i="4" s="1"/>
  <c r="EL47" i="4" s="1"/>
  <c r="EM47" i="4" s="1"/>
  <c r="EN47" i="4" s="1"/>
  <c r="EO47" i="4" s="1"/>
  <c r="EP47" i="4" s="1"/>
  <c r="EQ47" i="4" s="1"/>
  <c r="ER47" i="4" s="1"/>
  <c r="ES47" i="4" s="1"/>
  <c r="N63" i="4"/>
  <c r="M63" i="4" s="1"/>
  <c r="L63" i="4" s="1"/>
  <c r="P63" i="4"/>
  <c r="Q63" i="4" s="1"/>
  <c r="R63" i="4" s="1"/>
  <c r="S63" i="4" s="1"/>
  <c r="T63" i="4" s="1"/>
  <c r="U63" i="4" s="1"/>
  <c r="V63" i="4" s="1"/>
  <c r="W63" i="4" s="1"/>
  <c r="X63" i="4" s="1"/>
  <c r="Y63" i="4" s="1"/>
  <c r="Z63" i="4" s="1"/>
  <c r="AA63" i="4" s="1"/>
  <c r="AB63" i="4" s="1"/>
  <c r="AC63" i="4" s="1"/>
  <c r="AD63" i="4" s="1"/>
  <c r="AE63" i="4" s="1"/>
  <c r="AF63" i="4" s="1"/>
  <c r="AG63" i="4" s="1"/>
  <c r="AH63" i="4" s="1"/>
  <c r="AI63" i="4" s="1"/>
  <c r="AJ63" i="4" s="1"/>
  <c r="AK63" i="4" s="1"/>
  <c r="AL63" i="4" s="1"/>
  <c r="AM63" i="4" s="1"/>
  <c r="AN63" i="4" s="1"/>
  <c r="AO63" i="4" s="1"/>
  <c r="AP63" i="4" s="1"/>
  <c r="AQ63" i="4" s="1"/>
  <c r="AR63" i="4" s="1"/>
  <c r="AS63" i="4" s="1"/>
  <c r="AT63" i="4" s="1"/>
  <c r="AU63" i="4" s="1"/>
  <c r="AV63" i="4" s="1"/>
  <c r="AW63" i="4" s="1"/>
  <c r="AX63" i="4" s="1"/>
  <c r="AY63" i="4" s="1"/>
  <c r="AZ63" i="4" s="1"/>
  <c r="BA63" i="4" s="1"/>
  <c r="BB63" i="4" s="1"/>
  <c r="BC63" i="4" s="1"/>
  <c r="BD63" i="4" s="1"/>
  <c r="BE63" i="4" s="1"/>
  <c r="BF63" i="4" s="1"/>
  <c r="BG63" i="4" s="1"/>
  <c r="BH63" i="4" s="1"/>
  <c r="BI63" i="4" s="1"/>
  <c r="BJ63" i="4" s="1"/>
  <c r="BK63" i="4" s="1"/>
  <c r="BL63" i="4" s="1"/>
  <c r="BM63" i="4" s="1"/>
  <c r="BN63" i="4" s="1"/>
  <c r="BO63" i="4" s="1"/>
  <c r="BP63" i="4" s="1"/>
  <c r="BQ63" i="4" s="1"/>
  <c r="BR63" i="4" s="1"/>
  <c r="BS63" i="4" s="1"/>
  <c r="BT63" i="4" s="1"/>
  <c r="BU63" i="4" s="1"/>
  <c r="BV63" i="4" s="1"/>
  <c r="BW63" i="4" s="1"/>
  <c r="BX63" i="4" s="1"/>
  <c r="BY63" i="4" s="1"/>
  <c r="BZ63" i="4" s="1"/>
  <c r="CA63" i="4" s="1"/>
  <c r="CB63" i="4" s="1"/>
  <c r="CC63" i="4" s="1"/>
  <c r="CD63" i="4" s="1"/>
  <c r="CE63" i="4" s="1"/>
  <c r="CF63" i="4" s="1"/>
  <c r="CG63" i="4" s="1"/>
  <c r="CH63" i="4" s="1"/>
  <c r="CI63" i="4" s="1"/>
  <c r="CJ63" i="4" s="1"/>
  <c r="CK63" i="4" s="1"/>
  <c r="CL63" i="4" s="1"/>
  <c r="CM63" i="4" s="1"/>
  <c r="CN63" i="4" s="1"/>
  <c r="CO63" i="4" s="1"/>
  <c r="CP63" i="4" s="1"/>
  <c r="CQ63" i="4" s="1"/>
  <c r="CR63" i="4" s="1"/>
  <c r="CS63" i="4" s="1"/>
  <c r="CT63" i="4" s="1"/>
  <c r="CU63" i="4" s="1"/>
  <c r="CV63" i="4" s="1"/>
  <c r="CW63" i="4" s="1"/>
  <c r="CX63" i="4" s="1"/>
  <c r="CY63" i="4" s="1"/>
  <c r="CZ63" i="4" s="1"/>
  <c r="DA63" i="4" s="1"/>
  <c r="DB63" i="4" s="1"/>
  <c r="DC63" i="4" s="1"/>
  <c r="DD63" i="4" s="1"/>
  <c r="DE63" i="4" s="1"/>
  <c r="DF63" i="4" s="1"/>
  <c r="DG63" i="4" s="1"/>
  <c r="DH63" i="4" s="1"/>
  <c r="DI63" i="4" s="1"/>
  <c r="DJ63" i="4" s="1"/>
  <c r="DK63" i="4" s="1"/>
  <c r="DL63" i="4" s="1"/>
  <c r="DM63" i="4" s="1"/>
  <c r="DN63" i="4" s="1"/>
  <c r="DO63" i="4" s="1"/>
  <c r="DP63" i="4" s="1"/>
  <c r="DQ63" i="4" s="1"/>
  <c r="DR63" i="4" s="1"/>
  <c r="DS63" i="4" s="1"/>
  <c r="DT63" i="4" s="1"/>
  <c r="DU63" i="4" s="1"/>
  <c r="DV63" i="4" s="1"/>
  <c r="DW63" i="4" s="1"/>
  <c r="DX63" i="4" s="1"/>
  <c r="DY63" i="4" s="1"/>
  <c r="DZ63" i="4" s="1"/>
  <c r="EA63" i="4" s="1"/>
  <c r="EB63" i="4" s="1"/>
  <c r="EC63" i="4" s="1"/>
  <c r="ED63" i="4" s="1"/>
  <c r="EE63" i="4" s="1"/>
  <c r="EF63" i="4" s="1"/>
  <c r="EG63" i="4" s="1"/>
  <c r="EH63" i="4" s="1"/>
  <c r="EI63" i="4" s="1"/>
  <c r="EJ63" i="4" s="1"/>
  <c r="EK63" i="4" s="1"/>
  <c r="EL63" i="4" s="1"/>
  <c r="EM63" i="4" s="1"/>
  <c r="EN63" i="4" s="1"/>
  <c r="EO63" i="4" s="1"/>
  <c r="EP63" i="4" s="1"/>
  <c r="EQ63" i="4" s="1"/>
  <c r="ER63" i="4" s="1"/>
  <c r="ES63" i="4" s="1"/>
  <c r="K65" i="4"/>
  <c r="L65" i="4" s="1"/>
  <c r="M65" i="4" s="1"/>
  <c r="N65" i="4" s="1"/>
  <c r="O65" i="4" s="1"/>
  <c r="P65" i="4" s="1"/>
  <c r="Q65" i="4" s="1"/>
  <c r="R65" i="4" s="1"/>
  <c r="S65" i="4" s="1"/>
  <c r="T65" i="4" s="1"/>
  <c r="U65" i="4" s="1"/>
  <c r="V65" i="4" s="1"/>
  <c r="W65" i="4" s="1"/>
  <c r="X65" i="4" s="1"/>
  <c r="Y65" i="4" s="1"/>
  <c r="Z65" i="4" s="1"/>
  <c r="AA65" i="4" s="1"/>
  <c r="AB65" i="4" s="1"/>
  <c r="AC65" i="4" s="1"/>
  <c r="AD65" i="4" s="1"/>
  <c r="AE65" i="4" s="1"/>
  <c r="AF65" i="4" s="1"/>
  <c r="AG65" i="4" s="1"/>
  <c r="AH65" i="4" s="1"/>
  <c r="AI65" i="4" s="1"/>
  <c r="AJ65" i="4" s="1"/>
  <c r="AK65" i="4" s="1"/>
  <c r="AL65" i="4" s="1"/>
  <c r="AM65" i="4" s="1"/>
  <c r="AN65" i="4" s="1"/>
  <c r="AO65" i="4" s="1"/>
  <c r="AP65" i="4" s="1"/>
  <c r="AQ65" i="4" s="1"/>
  <c r="AR65" i="4" s="1"/>
  <c r="AS65" i="4" s="1"/>
  <c r="AT65" i="4" s="1"/>
  <c r="AU65" i="4" s="1"/>
  <c r="AV65" i="4" s="1"/>
  <c r="AW65" i="4" s="1"/>
  <c r="AX65" i="4" s="1"/>
  <c r="AY65" i="4" s="1"/>
  <c r="AZ65" i="4" s="1"/>
  <c r="BA65" i="4" s="1"/>
  <c r="BB65" i="4" s="1"/>
  <c r="BC65" i="4" s="1"/>
  <c r="BD65" i="4" s="1"/>
  <c r="BE65" i="4" s="1"/>
  <c r="BF65" i="4" s="1"/>
  <c r="BG65" i="4" s="1"/>
  <c r="BH65" i="4" s="1"/>
  <c r="BI65" i="4" s="1"/>
  <c r="BJ65" i="4" s="1"/>
  <c r="BK65" i="4" s="1"/>
  <c r="BL65" i="4" s="1"/>
  <c r="BM65" i="4" s="1"/>
  <c r="BN65" i="4" s="1"/>
  <c r="BO65" i="4" s="1"/>
  <c r="BP65" i="4" s="1"/>
  <c r="BQ65" i="4" s="1"/>
  <c r="BR65" i="4" s="1"/>
  <c r="BS65" i="4" s="1"/>
  <c r="BT65" i="4" s="1"/>
  <c r="BU65" i="4" s="1"/>
  <c r="BV65" i="4" s="1"/>
  <c r="BW65" i="4" s="1"/>
  <c r="BX65" i="4" s="1"/>
  <c r="BY65" i="4" s="1"/>
  <c r="BZ65" i="4" s="1"/>
  <c r="CA65" i="4" s="1"/>
  <c r="CB65" i="4" s="1"/>
  <c r="CC65" i="4" s="1"/>
  <c r="CD65" i="4" s="1"/>
  <c r="CE65" i="4" s="1"/>
  <c r="CF65" i="4" s="1"/>
  <c r="CG65" i="4" s="1"/>
  <c r="CH65" i="4" s="1"/>
  <c r="CI65" i="4" s="1"/>
  <c r="CJ65" i="4" s="1"/>
  <c r="CK65" i="4" s="1"/>
  <c r="CL65" i="4" s="1"/>
  <c r="CM65" i="4" s="1"/>
  <c r="CN65" i="4" s="1"/>
  <c r="CO65" i="4" s="1"/>
  <c r="CP65" i="4" s="1"/>
  <c r="CQ65" i="4" s="1"/>
  <c r="CR65" i="4" s="1"/>
  <c r="CS65" i="4" s="1"/>
  <c r="CT65" i="4" s="1"/>
  <c r="CU65" i="4" s="1"/>
  <c r="CV65" i="4" s="1"/>
  <c r="CW65" i="4" s="1"/>
  <c r="CX65" i="4" s="1"/>
  <c r="CY65" i="4" s="1"/>
  <c r="CZ65" i="4" s="1"/>
  <c r="DA65" i="4" s="1"/>
  <c r="DB65" i="4" s="1"/>
  <c r="DC65" i="4" s="1"/>
  <c r="DD65" i="4" s="1"/>
  <c r="DE65" i="4" s="1"/>
  <c r="DF65" i="4" s="1"/>
  <c r="DG65" i="4" s="1"/>
  <c r="DH65" i="4" s="1"/>
  <c r="DI65" i="4" s="1"/>
  <c r="DJ65" i="4" s="1"/>
  <c r="DK65" i="4" s="1"/>
  <c r="DL65" i="4" s="1"/>
  <c r="DM65" i="4" s="1"/>
  <c r="DN65" i="4" s="1"/>
  <c r="DO65" i="4" s="1"/>
  <c r="DP65" i="4" s="1"/>
  <c r="DQ65" i="4" s="1"/>
  <c r="DR65" i="4" s="1"/>
  <c r="DS65" i="4" s="1"/>
  <c r="DT65" i="4" s="1"/>
  <c r="DU65" i="4" s="1"/>
  <c r="DV65" i="4" s="1"/>
  <c r="DW65" i="4" s="1"/>
  <c r="DX65" i="4" s="1"/>
  <c r="DY65" i="4" s="1"/>
  <c r="DZ65" i="4" s="1"/>
  <c r="EA65" i="4" s="1"/>
  <c r="EB65" i="4" s="1"/>
  <c r="EC65" i="4" s="1"/>
  <c r="ED65" i="4" s="1"/>
  <c r="EE65" i="4" s="1"/>
  <c r="EF65" i="4" s="1"/>
  <c r="EG65" i="4" s="1"/>
  <c r="EH65" i="4" s="1"/>
  <c r="EI65" i="4" s="1"/>
  <c r="EJ65" i="4" s="1"/>
  <c r="EK65" i="4" s="1"/>
  <c r="EL65" i="4" s="1"/>
  <c r="EM65" i="4" s="1"/>
  <c r="EN65" i="4" s="1"/>
  <c r="EO65" i="4" s="1"/>
  <c r="EP65" i="4" s="1"/>
  <c r="EQ65" i="4" s="1"/>
  <c r="ER65" i="4" s="1"/>
  <c r="ES65" i="4" s="1"/>
  <c r="K67" i="4"/>
  <c r="L67" i="4" s="1"/>
  <c r="M67" i="4" s="1"/>
  <c r="N67" i="4" s="1"/>
  <c r="O67" i="4" s="1"/>
  <c r="P67" i="4" s="1"/>
  <c r="Q67" i="4" s="1"/>
  <c r="R67" i="4" s="1"/>
  <c r="S67" i="4" s="1"/>
  <c r="T67" i="4" s="1"/>
  <c r="U67" i="4" s="1"/>
  <c r="V67" i="4" s="1"/>
  <c r="W67" i="4" s="1"/>
  <c r="X67" i="4" s="1"/>
  <c r="Y67" i="4" s="1"/>
  <c r="Z67" i="4" s="1"/>
  <c r="AA67" i="4" s="1"/>
  <c r="AB67" i="4" s="1"/>
  <c r="AC67" i="4" s="1"/>
  <c r="AD67" i="4" s="1"/>
  <c r="AE67" i="4" s="1"/>
  <c r="AF67" i="4" s="1"/>
  <c r="AG67" i="4" s="1"/>
  <c r="AH67" i="4" s="1"/>
  <c r="AI67" i="4" s="1"/>
  <c r="AJ67" i="4" s="1"/>
  <c r="AK67" i="4" s="1"/>
  <c r="AL67" i="4" s="1"/>
  <c r="AM67" i="4" s="1"/>
  <c r="AN67" i="4" s="1"/>
  <c r="AO67" i="4" s="1"/>
  <c r="AP67" i="4" s="1"/>
  <c r="AQ67" i="4" s="1"/>
  <c r="AR67" i="4" s="1"/>
  <c r="AS67" i="4" s="1"/>
  <c r="AT67" i="4" s="1"/>
  <c r="AU67" i="4" s="1"/>
  <c r="AV67" i="4" s="1"/>
  <c r="AW67" i="4" s="1"/>
  <c r="AX67" i="4" s="1"/>
  <c r="AY67" i="4" s="1"/>
  <c r="AZ67" i="4" s="1"/>
  <c r="BA67" i="4" s="1"/>
  <c r="BB67" i="4" s="1"/>
  <c r="BC67" i="4" s="1"/>
  <c r="BD67" i="4" s="1"/>
  <c r="BE67" i="4" s="1"/>
  <c r="BF67" i="4" s="1"/>
  <c r="BG67" i="4" s="1"/>
  <c r="BH67" i="4" s="1"/>
  <c r="BI67" i="4" s="1"/>
  <c r="BJ67" i="4" s="1"/>
  <c r="BK67" i="4" s="1"/>
  <c r="BL67" i="4" s="1"/>
  <c r="BM67" i="4" s="1"/>
  <c r="BN67" i="4" s="1"/>
  <c r="BO67" i="4" s="1"/>
  <c r="BP67" i="4" s="1"/>
  <c r="BQ67" i="4" s="1"/>
  <c r="BR67" i="4" s="1"/>
  <c r="BS67" i="4" s="1"/>
  <c r="BT67" i="4" s="1"/>
  <c r="BU67" i="4" s="1"/>
  <c r="BV67" i="4" s="1"/>
  <c r="BW67" i="4" s="1"/>
  <c r="BX67" i="4" s="1"/>
  <c r="BY67" i="4" s="1"/>
  <c r="BZ67" i="4" s="1"/>
  <c r="CA67" i="4" s="1"/>
  <c r="CB67" i="4" s="1"/>
  <c r="CC67" i="4" s="1"/>
  <c r="CD67" i="4" s="1"/>
  <c r="CE67" i="4" s="1"/>
  <c r="CF67" i="4" s="1"/>
  <c r="CG67" i="4" s="1"/>
  <c r="CH67" i="4" s="1"/>
  <c r="CI67" i="4" s="1"/>
  <c r="CJ67" i="4" s="1"/>
  <c r="CK67" i="4" s="1"/>
  <c r="CL67" i="4" s="1"/>
  <c r="CM67" i="4" s="1"/>
  <c r="CN67" i="4" s="1"/>
  <c r="CO67" i="4" s="1"/>
  <c r="CP67" i="4" s="1"/>
  <c r="CQ67" i="4" s="1"/>
  <c r="CR67" i="4" s="1"/>
  <c r="CS67" i="4" s="1"/>
  <c r="CT67" i="4" s="1"/>
  <c r="CU67" i="4" s="1"/>
  <c r="CV67" i="4" s="1"/>
  <c r="CW67" i="4" s="1"/>
  <c r="CX67" i="4" s="1"/>
  <c r="CY67" i="4" s="1"/>
  <c r="CZ67" i="4" s="1"/>
  <c r="DA67" i="4" s="1"/>
  <c r="DB67" i="4" s="1"/>
  <c r="DC67" i="4" s="1"/>
  <c r="DD67" i="4" s="1"/>
  <c r="DE67" i="4" s="1"/>
  <c r="DF67" i="4" s="1"/>
  <c r="DG67" i="4" s="1"/>
  <c r="DH67" i="4" s="1"/>
  <c r="DI67" i="4" s="1"/>
  <c r="DJ67" i="4" s="1"/>
  <c r="DK67" i="4" s="1"/>
  <c r="DL67" i="4" s="1"/>
  <c r="DM67" i="4" s="1"/>
  <c r="DN67" i="4" s="1"/>
  <c r="DO67" i="4" s="1"/>
  <c r="DP67" i="4" s="1"/>
  <c r="DQ67" i="4" s="1"/>
  <c r="DR67" i="4" s="1"/>
  <c r="DS67" i="4" s="1"/>
  <c r="DT67" i="4" s="1"/>
  <c r="DU67" i="4" s="1"/>
  <c r="DV67" i="4" s="1"/>
  <c r="DW67" i="4" s="1"/>
  <c r="DX67" i="4" s="1"/>
  <c r="DY67" i="4" s="1"/>
  <c r="DZ67" i="4" s="1"/>
  <c r="EA67" i="4" s="1"/>
  <c r="EB67" i="4" s="1"/>
  <c r="EC67" i="4" s="1"/>
  <c r="ED67" i="4" s="1"/>
  <c r="EE67" i="4" s="1"/>
  <c r="EF67" i="4" s="1"/>
  <c r="EG67" i="4" s="1"/>
  <c r="EH67" i="4" s="1"/>
  <c r="EI67" i="4" s="1"/>
  <c r="EJ67" i="4" s="1"/>
  <c r="EK67" i="4" s="1"/>
  <c r="EL67" i="4" s="1"/>
  <c r="EM67" i="4" s="1"/>
  <c r="EN67" i="4" s="1"/>
  <c r="EO67" i="4" s="1"/>
  <c r="EP67" i="4" s="1"/>
  <c r="EQ67" i="4" s="1"/>
  <c r="ER67" i="4" s="1"/>
  <c r="ES67" i="4" s="1"/>
  <c r="K69" i="4"/>
  <c r="L69" i="4" s="1"/>
  <c r="M69" i="4" s="1"/>
  <c r="N69" i="4" s="1"/>
  <c r="O69" i="4" s="1"/>
  <c r="P69" i="4" s="1"/>
  <c r="Q69" i="4" s="1"/>
  <c r="R69" i="4" s="1"/>
  <c r="S69" i="4" s="1"/>
  <c r="T69" i="4" s="1"/>
  <c r="U69" i="4" s="1"/>
  <c r="V69" i="4" s="1"/>
  <c r="W69" i="4" s="1"/>
  <c r="X69" i="4" s="1"/>
  <c r="Y69" i="4" s="1"/>
  <c r="Z69" i="4" s="1"/>
  <c r="AA69" i="4" s="1"/>
  <c r="AB69" i="4" s="1"/>
  <c r="AC69" i="4" s="1"/>
  <c r="AD69" i="4" s="1"/>
  <c r="AE69" i="4" s="1"/>
  <c r="AF69" i="4" s="1"/>
  <c r="AG69" i="4" s="1"/>
  <c r="AH69" i="4" s="1"/>
  <c r="AI69" i="4" s="1"/>
  <c r="AJ69" i="4" s="1"/>
  <c r="AK69" i="4" s="1"/>
  <c r="AL69" i="4" s="1"/>
  <c r="AM69" i="4" s="1"/>
  <c r="AN69" i="4" s="1"/>
  <c r="AO69" i="4" s="1"/>
  <c r="AP69" i="4" s="1"/>
  <c r="AQ69" i="4" s="1"/>
  <c r="AR69" i="4" s="1"/>
  <c r="AS69" i="4" s="1"/>
  <c r="AT69" i="4" s="1"/>
  <c r="AU69" i="4" s="1"/>
  <c r="AV69" i="4" s="1"/>
  <c r="AW69" i="4" s="1"/>
  <c r="AX69" i="4" s="1"/>
  <c r="AY69" i="4" s="1"/>
  <c r="AZ69" i="4" s="1"/>
  <c r="BA69" i="4" s="1"/>
  <c r="BB69" i="4" s="1"/>
  <c r="BC69" i="4" s="1"/>
  <c r="BD69" i="4" s="1"/>
  <c r="BE69" i="4" s="1"/>
  <c r="BF69" i="4" s="1"/>
  <c r="BG69" i="4" s="1"/>
  <c r="BH69" i="4" s="1"/>
  <c r="BI69" i="4" s="1"/>
  <c r="BJ69" i="4" s="1"/>
  <c r="BK69" i="4" s="1"/>
  <c r="BL69" i="4" s="1"/>
  <c r="BM69" i="4" s="1"/>
  <c r="BN69" i="4" s="1"/>
  <c r="BO69" i="4" s="1"/>
  <c r="BP69" i="4" s="1"/>
  <c r="BQ69" i="4" s="1"/>
  <c r="BR69" i="4" s="1"/>
  <c r="BS69" i="4" s="1"/>
  <c r="BT69" i="4" s="1"/>
  <c r="BU69" i="4" s="1"/>
  <c r="BV69" i="4" s="1"/>
  <c r="BW69" i="4" s="1"/>
  <c r="BX69" i="4" s="1"/>
  <c r="BY69" i="4" s="1"/>
  <c r="BZ69" i="4" s="1"/>
  <c r="CA69" i="4" s="1"/>
  <c r="CB69" i="4" s="1"/>
  <c r="CC69" i="4" s="1"/>
  <c r="CD69" i="4" s="1"/>
  <c r="CE69" i="4" s="1"/>
  <c r="CF69" i="4" s="1"/>
  <c r="CG69" i="4" s="1"/>
  <c r="CH69" i="4" s="1"/>
  <c r="CI69" i="4" s="1"/>
  <c r="CJ69" i="4" s="1"/>
  <c r="CK69" i="4" s="1"/>
  <c r="CL69" i="4" s="1"/>
  <c r="CM69" i="4" s="1"/>
  <c r="CN69" i="4" s="1"/>
  <c r="CO69" i="4" s="1"/>
  <c r="CP69" i="4" s="1"/>
  <c r="CQ69" i="4" s="1"/>
  <c r="CR69" i="4" s="1"/>
  <c r="CS69" i="4" s="1"/>
  <c r="CT69" i="4" s="1"/>
  <c r="CU69" i="4" s="1"/>
  <c r="CV69" i="4" s="1"/>
  <c r="CW69" i="4" s="1"/>
  <c r="CX69" i="4" s="1"/>
  <c r="CY69" i="4" s="1"/>
  <c r="CZ69" i="4" s="1"/>
  <c r="DA69" i="4" s="1"/>
  <c r="DB69" i="4" s="1"/>
  <c r="DC69" i="4" s="1"/>
  <c r="DD69" i="4" s="1"/>
  <c r="DE69" i="4" s="1"/>
  <c r="DF69" i="4" s="1"/>
  <c r="DG69" i="4" s="1"/>
  <c r="DH69" i="4" s="1"/>
  <c r="DI69" i="4" s="1"/>
  <c r="DJ69" i="4" s="1"/>
  <c r="DK69" i="4" s="1"/>
  <c r="DL69" i="4" s="1"/>
  <c r="DM69" i="4" s="1"/>
  <c r="DN69" i="4" s="1"/>
  <c r="DO69" i="4" s="1"/>
  <c r="DP69" i="4" s="1"/>
  <c r="DQ69" i="4" s="1"/>
  <c r="DR69" i="4" s="1"/>
  <c r="DS69" i="4" s="1"/>
  <c r="DT69" i="4" s="1"/>
  <c r="DU69" i="4" s="1"/>
  <c r="DV69" i="4" s="1"/>
  <c r="DW69" i="4" s="1"/>
  <c r="DX69" i="4" s="1"/>
  <c r="DY69" i="4" s="1"/>
  <c r="DZ69" i="4" s="1"/>
  <c r="EA69" i="4" s="1"/>
  <c r="EB69" i="4" s="1"/>
  <c r="EC69" i="4" s="1"/>
  <c r="ED69" i="4" s="1"/>
  <c r="EE69" i="4" s="1"/>
  <c r="EF69" i="4" s="1"/>
  <c r="EG69" i="4" s="1"/>
  <c r="EH69" i="4" s="1"/>
  <c r="EI69" i="4" s="1"/>
  <c r="EJ69" i="4" s="1"/>
  <c r="EK69" i="4" s="1"/>
  <c r="EL69" i="4" s="1"/>
  <c r="EM69" i="4" s="1"/>
  <c r="EN69" i="4" s="1"/>
  <c r="EO69" i="4" s="1"/>
  <c r="EP69" i="4" s="1"/>
  <c r="EQ69" i="4" s="1"/>
  <c r="ER69" i="4" s="1"/>
  <c r="ES69" i="4" s="1"/>
  <c r="K71" i="4"/>
  <c r="L71" i="4" s="1"/>
  <c r="M71" i="4" s="1"/>
  <c r="N71" i="4" s="1"/>
  <c r="O71" i="4" s="1"/>
  <c r="K73" i="4"/>
  <c r="L73" i="4" s="1"/>
  <c r="M73" i="4" s="1"/>
  <c r="N73" i="4" s="1"/>
  <c r="O73" i="4" s="1"/>
  <c r="P73" i="4" s="1"/>
  <c r="Q73" i="4" s="1"/>
  <c r="R73" i="4" s="1"/>
  <c r="S73" i="4" s="1"/>
  <c r="T73" i="4" s="1"/>
  <c r="U73" i="4" s="1"/>
  <c r="V73" i="4" s="1"/>
  <c r="W73" i="4" s="1"/>
  <c r="X73" i="4" s="1"/>
  <c r="Y73" i="4" s="1"/>
  <c r="Z73" i="4" s="1"/>
  <c r="AA73" i="4" s="1"/>
  <c r="AB73" i="4" s="1"/>
  <c r="AC73" i="4" s="1"/>
  <c r="AD73" i="4" s="1"/>
  <c r="AE73" i="4" s="1"/>
  <c r="AF73" i="4" s="1"/>
  <c r="AG73" i="4" s="1"/>
  <c r="AH73" i="4" s="1"/>
  <c r="AI73" i="4" s="1"/>
  <c r="AJ73" i="4" s="1"/>
  <c r="AK73" i="4" s="1"/>
  <c r="AL73" i="4" s="1"/>
  <c r="AM73" i="4" s="1"/>
  <c r="AN73" i="4" s="1"/>
  <c r="AO73" i="4" s="1"/>
  <c r="AP73" i="4" s="1"/>
  <c r="AQ73" i="4" s="1"/>
  <c r="AR73" i="4" s="1"/>
  <c r="AS73" i="4" s="1"/>
  <c r="AT73" i="4" s="1"/>
  <c r="AU73" i="4" s="1"/>
  <c r="AV73" i="4" s="1"/>
  <c r="AW73" i="4" s="1"/>
  <c r="AX73" i="4" s="1"/>
  <c r="AY73" i="4" s="1"/>
  <c r="AZ73" i="4" s="1"/>
  <c r="BA73" i="4" s="1"/>
  <c r="BB73" i="4" s="1"/>
  <c r="BC73" i="4" s="1"/>
  <c r="BD73" i="4" s="1"/>
  <c r="BE73" i="4" s="1"/>
  <c r="BF73" i="4" s="1"/>
  <c r="BG73" i="4" s="1"/>
  <c r="BH73" i="4" s="1"/>
  <c r="BI73" i="4" s="1"/>
  <c r="BJ73" i="4" s="1"/>
  <c r="BK73" i="4" s="1"/>
  <c r="BL73" i="4" s="1"/>
  <c r="BM73" i="4" s="1"/>
  <c r="BN73" i="4" s="1"/>
  <c r="BO73" i="4" s="1"/>
  <c r="BP73" i="4" s="1"/>
  <c r="BQ73" i="4" s="1"/>
  <c r="BR73" i="4" s="1"/>
  <c r="BS73" i="4" s="1"/>
  <c r="BT73" i="4" s="1"/>
  <c r="BU73" i="4" s="1"/>
  <c r="BV73" i="4" s="1"/>
  <c r="BW73" i="4" s="1"/>
  <c r="BX73" i="4" s="1"/>
  <c r="BY73" i="4" s="1"/>
  <c r="BZ73" i="4" s="1"/>
  <c r="CA73" i="4" s="1"/>
  <c r="CB73" i="4" s="1"/>
  <c r="CC73" i="4" s="1"/>
  <c r="CD73" i="4" s="1"/>
  <c r="CE73" i="4" s="1"/>
  <c r="CF73" i="4" s="1"/>
  <c r="CG73" i="4" s="1"/>
  <c r="CH73" i="4" s="1"/>
  <c r="CI73" i="4" s="1"/>
  <c r="CJ73" i="4" s="1"/>
  <c r="CK73" i="4" s="1"/>
  <c r="CL73" i="4" s="1"/>
  <c r="CM73" i="4" s="1"/>
  <c r="CN73" i="4" s="1"/>
  <c r="CO73" i="4" s="1"/>
  <c r="CP73" i="4" s="1"/>
  <c r="CQ73" i="4" s="1"/>
  <c r="CR73" i="4" s="1"/>
  <c r="CS73" i="4" s="1"/>
  <c r="CT73" i="4" s="1"/>
  <c r="CU73" i="4" s="1"/>
  <c r="CV73" i="4" s="1"/>
  <c r="CW73" i="4" s="1"/>
  <c r="CX73" i="4" s="1"/>
  <c r="CY73" i="4" s="1"/>
  <c r="CZ73" i="4" s="1"/>
  <c r="DA73" i="4" s="1"/>
  <c r="DB73" i="4" s="1"/>
  <c r="DC73" i="4" s="1"/>
  <c r="DD73" i="4" s="1"/>
  <c r="DE73" i="4" s="1"/>
  <c r="DF73" i="4" s="1"/>
  <c r="DG73" i="4" s="1"/>
  <c r="DH73" i="4" s="1"/>
  <c r="DI73" i="4" s="1"/>
  <c r="DJ73" i="4" s="1"/>
  <c r="DK73" i="4" s="1"/>
  <c r="DL73" i="4" s="1"/>
  <c r="DM73" i="4" s="1"/>
  <c r="DN73" i="4" s="1"/>
  <c r="DO73" i="4" s="1"/>
  <c r="DP73" i="4" s="1"/>
  <c r="DQ73" i="4" s="1"/>
  <c r="DR73" i="4" s="1"/>
  <c r="DS73" i="4" s="1"/>
  <c r="DT73" i="4" s="1"/>
  <c r="DU73" i="4" s="1"/>
  <c r="DV73" i="4" s="1"/>
  <c r="DW73" i="4" s="1"/>
  <c r="DX73" i="4" s="1"/>
  <c r="DY73" i="4" s="1"/>
  <c r="DZ73" i="4" s="1"/>
  <c r="EA73" i="4" s="1"/>
  <c r="EB73" i="4" s="1"/>
  <c r="EC73" i="4" s="1"/>
  <c r="ED73" i="4" s="1"/>
  <c r="EE73" i="4" s="1"/>
  <c r="EF73" i="4" s="1"/>
  <c r="EG73" i="4" s="1"/>
  <c r="EH73" i="4" s="1"/>
  <c r="EI73" i="4" s="1"/>
  <c r="EJ73" i="4" s="1"/>
  <c r="EK73" i="4" s="1"/>
  <c r="EL73" i="4" s="1"/>
  <c r="EM73" i="4" s="1"/>
  <c r="EN73" i="4" s="1"/>
  <c r="EO73" i="4" s="1"/>
  <c r="EP73" i="4" s="1"/>
  <c r="EQ73" i="4" s="1"/>
  <c r="ER73" i="4" s="1"/>
  <c r="ES73" i="4" s="1"/>
  <c r="K77" i="4"/>
  <c r="L77" i="4" s="1"/>
  <c r="M77" i="4" s="1"/>
  <c r="N77" i="4" s="1"/>
  <c r="O77" i="4" s="1"/>
  <c r="P77" i="4" s="1"/>
  <c r="Q77" i="4" s="1"/>
  <c r="R77" i="4" s="1"/>
  <c r="S77" i="4" s="1"/>
  <c r="T77" i="4" s="1"/>
  <c r="U77" i="4" s="1"/>
  <c r="V77" i="4" s="1"/>
  <c r="W77" i="4" s="1"/>
  <c r="X77" i="4" s="1"/>
  <c r="Y77" i="4" s="1"/>
  <c r="Z77" i="4" s="1"/>
  <c r="AA77" i="4" s="1"/>
  <c r="AB77" i="4" s="1"/>
  <c r="AC77" i="4" s="1"/>
  <c r="AD77" i="4" s="1"/>
  <c r="AE77" i="4" s="1"/>
  <c r="AF77" i="4" s="1"/>
  <c r="AG77" i="4" s="1"/>
  <c r="AH77" i="4" s="1"/>
  <c r="AI77" i="4" s="1"/>
  <c r="AJ77" i="4" s="1"/>
  <c r="AK77" i="4" s="1"/>
  <c r="AL77" i="4" s="1"/>
  <c r="AM77" i="4" s="1"/>
  <c r="AN77" i="4" s="1"/>
  <c r="AO77" i="4" s="1"/>
  <c r="AP77" i="4" s="1"/>
  <c r="AQ77" i="4" s="1"/>
  <c r="AR77" i="4" s="1"/>
  <c r="AS77" i="4" s="1"/>
  <c r="AT77" i="4" s="1"/>
  <c r="AU77" i="4" s="1"/>
  <c r="AV77" i="4" s="1"/>
  <c r="AW77" i="4" s="1"/>
  <c r="AX77" i="4" s="1"/>
  <c r="AY77" i="4" s="1"/>
  <c r="AZ77" i="4" s="1"/>
  <c r="BA77" i="4" s="1"/>
  <c r="BB77" i="4" s="1"/>
  <c r="BC77" i="4" s="1"/>
  <c r="BD77" i="4" s="1"/>
  <c r="BE77" i="4" s="1"/>
  <c r="BF77" i="4" s="1"/>
  <c r="BG77" i="4" s="1"/>
  <c r="BH77" i="4" s="1"/>
  <c r="BI77" i="4" s="1"/>
  <c r="BJ77" i="4" s="1"/>
  <c r="BK77" i="4" s="1"/>
  <c r="BL77" i="4" s="1"/>
  <c r="BM77" i="4" s="1"/>
  <c r="BN77" i="4" s="1"/>
  <c r="BO77" i="4" s="1"/>
  <c r="BP77" i="4" s="1"/>
  <c r="BQ77" i="4" s="1"/>
  <c r="BR77" i="4" s="1"/>
  <c r="BS77" i="4" s="1"/>
  <c r="BT77" i="4" s="1"/>
  <c r="BU77" i="4" s="1"/>
  <c r="BV77" i="4" s="1"/>
  <c r="BW77" i="4" s="1"/>
  <c r="BX77" i="4" s="1"/>
  <c r="BY77" i="4" s="1"/>
  <c r="BZ77" i="4" s="1"/>
  <c r="CA77" i="4" s="1"/>
  <c r="CB77" i="4" s="1"/>
  <c r="CC77" i="4" s="1"/>
  <c r="CD77" i="4" s="1"/>
  <c r="CE77" i="4" s="1"/>
  <c r="CF77" i="4" s="1"/>
  <c r="CG77" i="4" s="1"/>
  <c r="CH77" i="4" s="1"/>
  <c r="CI77" i="4" s="1"/>
  <c r="CJ77" i="4" s="1"/>
  <c r="CK77" i="4" s="1"/>
  <c r="CL77" i="4" s="1"/>
  <c r="CM77" i="4" s="1"/>
  <c r="CN77" i="4" s="1"/>
  <c r="CO77" i="4" s="1"/>
  <c r="CP77" i="4" s="1"/>
  <c r="CQ77" i="4" s="1"/>
  <c r="CR77" i="4" s="1"/>
  <c r="CS77" i="4" s="1"/>
  <c r="CT77" i="4" s="1"/>
  <c r="CU77" i="4" s="1"/>
  <c r="CV77" i="4" s="1"/>
  <c r="CW77" i="4" s="1"/>
  <c r="CX77" i="4" s="1"/>
  <c r="CY77" i="4" s="1"/>
  <c r="CZ77" i="4" s="1"/>
  <c r="DA77" i="4" s="1"/>
  <c r="DB77" i="4" s="1"/>
  <c r="DC77" i="4" s="1"/>
  <c r="DD77" i="4" s="1"/>
  <c r="DE77" i="4" s="1"/>
  <c r="DF77" i="4" s="1"/>
  <c r="DG77" i="4" s="1"/>
  <c r="DH77" i="4" s="1"/>
  <c r="DI77" i="4" s="1"/>
  <c r="DJ77" i="4" s="1"/>
  <c r="DK77" i="4" s="1"/>
  <c r="DL77" i="4" s="1"/>
  <c r="DM77" i="4" s="1"/>
  <c r="DN77" i="4" s="1"/>
  <c r="DO77" i="4" s="1"/>
  <c r="DP77" i="4" s="1"/>
  <c r="DQ77" i="4" s="1"/>
  <c r="DR77" i="4" s="1"/>
  <c r="DS77" i="4" s="1"/>
  <c r="DT77" i="4" s="1"/>
  <c r="DU77" i="4" s="1"/>
  <c r="DV77" i="4" s="1"/>
  <c r="DW77" i="4" s="1"/>
  <c r="DX77" i="4" s="1"/>
  <c r="DY77" i="4" s="1"/>
  <c r="DZ77" i="4" s="1"/>
  <c r="EA77" i="4" s="1"/>
  <c r="EB77" i="4" s="1"/>
  <c r="EC77" i="4" s="1"/>
  <c r="ED77" i="4" s="1"/>
  <c r="EE77" i="4" s="1"/>
  <c r="EF77" i="4" s="1"/>
  <c r="EG77" i="4" s="1"/>
  <c r="EH77" i="4" s="1"/>
  <c r="EI77" i="4" s="1"/>
  <c r="EJ77" i="4" s="1"/>
  <c r="EK77" i="4" s="1"/>
  <c r="EL77" i="4" s="1"/>
  <c r="EM77" i="4" s="1"/>
  <c r="EN77" i="4" s="1"/>
  <c r="EO77" i="4" s="1"/>
  <c r="EP77" i="4" s="1"/>
  <c r="EQ77" i="4" s="1"/>
  <c r="ER77" i="4" s="1"/>
  <c r="ES77" i="4" s="1"/>
  <c r="K79" i="4"/>
  <c r="L79" i="4" s="1"/>
  <c r="M79" i="4" s="1"/>
  <c r="N79" i="4" s="1"/>
  <c r="O79" i="4" s="1"/>
  <c r="P79" i="4" s="1"/>
  <c r="Q79" i="4" s="1"/>
  <c r="R79" i="4" s="1"/>
  <c r="S79" i="4" s="1"/>
  <c r="T79" i="4" s="1"/>
  <c r="U79" i="4" s="1"/>
  <c r="V79" i="4" s="1"/>
  <c r="W79" i="4" s="1"/>
  <c r="X79" i="4" s="1"/>
  <c r="Y79" i="4" s="1"/>
  <c r="Z79" i="4" s="1"/>
  <c r="AA79" i="4" s="1"/>
  <c r="AB79" i="4" s="1"/>
  <c r="AC79" i="4" s="1"/>
  <c r="AD79" i="4" s="1"/>
  <c r="AE79" i="4" s="1"/>
  <c r="AF79" i="4" s="1"/>
  <c r="AG79" i="4" s="1"/>
  <c r="AH79" i="4" s="1"/>
  <c r="AI79" i="4" s="1"/>
  <c r="AJ79" i="4" s="1"/>
  <c r="AK79" i="4" s="1"/>
  <c r="AL79" i="4" s="1"/>
  <c r="AM79" i="4" s="1"/>
  <c r="AN79" i="4" s="1"/>
  <c r="AO79" i="4" s="1"/>
  <c r="AP79" i="4" s="1"/>
  <c r="AQ79" i="4" s="1"/>
  <c r="AR79" i="4" s="1"/>
  <c r="AS79" i="4" s="1"/>
  <c r="AT79" i="4" s="1"/>
  <c r="AU79" i="4" s="1"/>
  <c r="AV79" i="4" s="1"/>
  <c r="AW79" i="4" s="1"/>
  <c r="AX79" i="4" s="1"/>
  <c r="AY79" i="4" s="1"/>
  <c r="AZ79" i="4" s="1"/>
  <c r="BA79" i="4" s="1"/>
  <c r="BB79" i="4" s="1"/>
  <c r="BC79" i="4" s="1"/>
  <c r="BD79" i="4" s="1"/>
  <c r="BE79" i="4" s="1"/>
  <c r="BF79" i="4" s="1"/>
  <c r="BG79" i="4" s="1"/>
  <c r="BH79" i="4" s="1"/>
  <c r="BI79" i="4" s="1"/>
  <c r="BJ79" i="4" s="1"/>
  <c r="BK79" i="4" s="1"/>
  <c r="BL79" i="4" s="1"/>
  <c r="BM79" i="4" s="1"/>
  <c r="BN79" i="4" s="1"/>
  <c r="BO79" i="4" s="1"/>
  <c r="BP79" i="4" s="1"/>
  <c r="BQ79" i="4" s="1"/>
  <c r="BR79" i="4" s="1"/>
  <c r="BS79" i="4" s="1"/>
  <c r="BT79" i="4" s="1"/>
  <c r="BU79" i="4" s="1"/>
  <c r="BV79" i="4" s="1"/>
  <c r="BW79" i="4" s="1"/>
  <c r="BX79" i="4" s="1"/>
  <c r="BY79" i="4" s="1"/>
  <c r="BZ79" i="4" s="1"/>
  <c r="CA79" i="4" s="1"/>
  <c r="CB79" i="4" s="1"/>
  <c r="CC79" i="4" s="1"/>
  <c r="CD79" i="4" s="1"/>
  <c r="CE79" i="4" s="1"/>
  <c r="CF79" i="4" s="1"/>
  <c r="CG79" i="4" s="1"/>
  <c r="CH79" i="4" s="1"/>
  <c r="CI79" i="4" s="1"/>
  <c r="CJ79" i="4" s="1"/>
  <c r="CK79" i="4" s="1"/>
  <c r="CL79" i="4" s="1"/>
  <c r="CM79" i="4" s="1"/>
  <c r="CN79" i="4" s="1"/>
  <c r="CO79" i="4" s="1"/>
  <c r="CP79" i="4" s="1"/>
  <c r="CQ79" i="4" s="1"/>
  <c r="CR79" i="4" s="1"/>
  <c r="CS79" i="4" s="1"/>
  <c r="CT79" i="4" s="1"/>
  <c r="CU79" i="4" s="1"/>
  <c r="CV79" i="4" s="1"/>
  <c r="CW79" i="4" s="1"/>
  <c r="CX79" i="4" s="1"/>
  <c r="CY79" i="4" s="1"/>
  <c r="CZ79" i="4" s="1"/>
  <c r="DA79" i="4" s="1"/>
  <c r="DB79" i="4" s="1"/>
  <c r="DC79" i="4" s="1"/>
  <c r="DD79" i="4" s="1"/>
  <c r="DE79" i="4" s="1"/>
  <c r="DF79" i="4" s="1"/>
  <c r="DG79" i="4" s="1"/>
  <c r="DH79" i="4" s="1"/>
  <c r="DI79" i="4" s="1"/>
  <c r="DJ79" i="4" s="1"/>
  <c r="DK79" i="4" s="1"/>
  <c r="DL79" i="4" s="1"/>
  <c r="DM79" i="4" s="1"/>
  <c r="DN79" i="4" s="1"/>
  <c r="DO79" i="4" s="1"/>
  <c r="DP79" i="4" s="1"/>
  <c r="DQ79" i="4" s="1"/>
  <c r="DR79" i="4" s="1"/>
  <c r="DS79" i="4" s="1"/>
  <c r="DT79" i="4" s="1"/>
  <c r="DU79" i="4" s="1"/>
  <c r="DV79" i="4" s="1"/>
  <c r="DW79" i="4" s="1"/>
  <c r="DX79" i="4" s="1"/>
  <c r="DY79" i="4" s="1"/>
  <c r="DZ79" i="4" s="1"/>
  <c r="EA79" i="4" s="1"/>
  <c r="EB79" i="4" s="1"/>
  <c r="EC79" i="4" s="1"/>
  <c r="ED79" i="4" s="1"/>
  <c r="EE79" i="4" s="1"/>
  <c r="EF79" i="4" s="1"/>
  <c r="EG79" i="4" s="1"/>
  <c r="EH79" i="4" s="1"/>
  <c r="EI79" i="4" s="1"/>
  <c r="EJ79" i="4" s="1"/>
  <c r="EK79" i="4" s="1"/>
  <c r="EL79" i="4" s="1"/>
  <c r="EM79" i="4" s="1"/>
  <c r="EN79" i="4" s="1"/>
  <c r="EO79" i="4" s="1"/>
  <c r="EP79" i="4" s="1"/>
  <c r="EQ79" i="4" s="1"/>
  <c r="ER79" i="4" s="1"/>
  <c r="ES79" i="4" s="1"/>
  <c r="K7" i="4"/>
  <c r="L7" i="4" s="1"/>
  <c r="M7" i="4" s="1"/>
  <c r="N7" i="4" s="1"/>
  <c r="O7" i="4" s="1"/>
  <c r="P7" i="4" s="1"/>
  <c r="Q7" i="4" s="1"/>
  <c r="R7" i="4" s="1"/>
  <c r="S7" i="4" s="1"/>
  <c r="T7" i="4" s="1"/>
  <c r="U7" i="4" s="1"/>
  <c r="V7" i="4" s="1"/>
  <c r="W7" i="4" s="1"/>
  <c r="X7" i="4" s="1"/>
  <c r="Y7" i="4" s="1"/>
  <c r="Z7" i="4" s="1"/>
  <c r="AA7" i="4" s="1"/>
  <c r="AB7" i="4" s="1"/>
  <c r="AC7" i="4" s="1"/>
  <c r="AD7" i="4" s="1"/>
  <c r="AE7" i="4" s="1"/>
  <c r="AF7" i="4" s="1"/>
  <c r="AG7" i="4" s="1"/>
  <c r="AH7" i="4" s="1"/>
  <c r="AI7" i="4" s="1"/>
  <c r="AJ7" i="4" s="1"/>
  <c r="AK7" i="4" s="1"/>
  <c r="AL7" i="4" s="1"/>
  <c r="AM7" i="4" s="1"/>
  <c r="AN7" i="4" s="1"/>
  <c r="AO7" i="4" s="1"/>
  <c r="AP7" i="4" s="1"/>
  <c r="AQ7" i="4" s="1"/>
  <c r="AR7" i="4" s="1"/>
  <c r="AS7" i="4" s="1"/>
  <c r="AT7" i="4" s="1"/>
  <c r="AU7" i="4" s="1"/>
  <c r="AV7" i="4" s="1"/>
  <c r="AW7" i="4" s="1"/>
  <c r="AX7" i="4" s="1"/>
  <c r="AY7" i="4" s="1"/>
  <c r="AZ7" i="4" s="1"/>
  <c r="BA7" i="4" s="1"/>
  <c r="BB7" i="4" s="1"/>
  <c r="BC7" i="4" s="1"/>
  <c r="BD7" i="4" s="1"/>
  <c r="BE7" i="4" s="1"/>
  <c r="BF7" i="4" s="1"/>
  <c r="BG7" i="4" s="1"/>
  <c r="BH7" i="4" s="1"/>
  <c r="BI7" i="4" s="1"/>
  <c r="BJ7" i="4" s="1"/>
  <c r="BK7" i="4" s="1"/>
  <c r="BL7" i="4" s="1"/>
  <c r="BM7" i="4" s="1"/>
  <c r="BN7" i="4" s="1"/>
  <c r="BO7" i="4" s="1"/>
  <c r="BP7" i="4" s="1"/>
  <c r="BQ7" i="4" s="1"/>
  <c r="BR7" i="4" s="1"/>
  <c r="BS7" i="4" s="1"/>
  <c r="BT7" i="4" s="1"/>
  <c r="BU7" i="4" s="1"/>
  <c r="BV7" i="4" s="1"/>
  <c r="BW7" i="4" s="1"/>
  <c r="BX7" i="4" s="1"/>
  <c r="BY7" i="4" s="1"/>
  <c r="BZ7" i="4" s="1"/>
  <c r="CA7" i="4" s="1"/>
  <c r="CB7" i="4" s="1"/>
  <c r="CC7" i="4" s="1"/>
  <c r="CD7" i="4" s="1"/>
  <c r="CE7" i="4" s="1"/>
  <c r="CF7" i="4" s="1"/>
  <c r="CG7" i="4" s="1"/>
  <c r="CH7" i="4" s="1"/>
  <c r="CI7" i="4" s="1"/>
  <c r="CJ7" i="4" s="1"/>
  <c r="CK7" i="4" s="1"/>
  <c r="CL7" i="4" s="1"/>
  <c r="CM7" i="4" s="1"/>
  <c r="CN7" i="4" s="1"/>
  <c r="CO7" i="4" s="1"/>
  <c r="CP7" i="4" s="1"/>
  <c r="CQ7" i="4" s="1"/>
  <c r="CR7" i="4" s="1"/>
  <c r="CS7" i="4" s="1"/>
  <c r="CT7" i="4" s="1"/>
  <c r="CU7" i="4" s="1"/>
  <c r="CV7" i="4" s="1"/>
  <c r="CW7" i="4" s="1"/>
  <c r="CX7" i="4" s="1"/>
  <c r="CY7" i="4" s="1"/>
  <c r="CZ7" i="4" s="1"/>
  <c r="DA7" i="4" s="1"/>
  <c r="DB7" i="4" s="1"/>
  <c r="DC7" i="4" s="1"/>
  <c r="DD7" i="4" s="1"/>
  <c r="DE7" i="4" s="1"/>
  <c r="DF7" i="4" s="1"/>
  <c r="DG7" i="4" s="1"/>
  <c r="DH7" i="4" s="1"/>
  <c r="DI7" i="4" s="1"/>
  <c r="DJ7" i="4" s="1"/>
  <c r="DK7" i="4" s="1"/>
  <c r="DL7" i="4" s="1"/>
  <c r="DM7" i="4" s="1"/>
  <c r="DN7" i="4" s="1"/>
  <c r="DO7" i="4" s="1"/>
  <c r="DP7" i="4" s="1"/>
  <c r="DQ7" i="4" s="1"/>
  <c r="DR7" i="4" s="1"/>
  <c r="DS7" i="4" s="1"/>
  <c r="DT7" i="4" s="1"/>
  <c r="DU7" i="4" s="1"/>
  <c r="DV7" i="4" s="1"/>
  <c r="DW7" i="4" s="1"/>
  <c r="DX7" i="4" s="1"/>
  <c r="DY7" i="4" s="1"/>
  <c r="DZ7" i="4" s="1"/>
  <c r="EA7" i="4" s="1"/>
  <c r="EB7" i="4" s="1"/>
  <c r="EC7" i="4" s="1"/>
  <c r="ED7" i="4" s="1"/>
  <c r="EE7" i="4" s="1"/>
  <c r="EF7" i="4" s="1"/>
  <c r="EG7" i="4" s="1"/>
  <c r="EH7" i="4" s="1"/>
  <c r="EI7" i="4" s="1"/>
  <c r="EJ7" i="4" s="1"/>
  <c r="EK7" i="4" s="1"/>
  <c r="EL7" i="4" s="1"/>
  <c r="EM7" i="4" s="1"/>
  <c r="EN7" i="4" s="1"/>
  <c r="EO7" i="4" s="1"/>
  <c r="EP7" i="4" s="1"/>
  <c r="EQ7" i="4" s="1"/>
  <c r="ER7" i="4" s="1"/>
  <c r="ES7" i="4" s="1"/>
  <c r="K9" i="4"/>
  <c r="L9" i="4" s="1"/>
  <c r="U19" i="4"/>
  <c r="T19" i="4" s="1"/>
  <c r="S19" i="4" s="1"/>
  <c r="R19" i="4" s="1"/>
  <c r="Q19" i="4" s="1"/>
  <c r="P19" i="4" s="1"/>
  <c r="O19" i="4" s="1"/>
  <c r="N19" i="4" s="1"/>
  <c r="W19" i="4"/>
  <c r="X19" i="4" s="1"/>
  <c r="Y19" i="4" s="1"/>
  <c r="Z19" i="4" s="1"/>
  <c r="AA19" i="4" s="1"/>
  <c r="AB19" i="4" s="1"/>
  <c r="AC19" i="4" s="1"/>
  <c r="AD19" i="4" s="1"/>
  <c r="AE19" i="4" s="1"/>
  <c r="AF19" i="4" s="1"/>
  <c r="AG19" i="4" s="1"/>
  <c r="AH19" i="4" s="1"/>
  <c r="AI19" i="4" s="1"/>
  <c r="AJ19" i="4" s="1"/>
  <c r="AK19" i="4" s="1"/>
  <c r="AL19" i="4" s="1"/>
  <c r="AM19" i="4" s="1"/>
  <c r="AN19" i="4" s="1"/>
  <c r="AO19" i="4" s="1"/>
  <c r="AP19" i="4" s="1"/>
  <c r="AQ19" i="4" s="1"/>
  <c r="AR19" i="4" s="1"/>
  <c r="AS19" i="4" s="1"/>
  <c r="AT19" i="4" s="1"/>
  <c r="AU19" i="4" s="1"/>
  <c r="AV19" i="4" s="1"/>
  <c r="AW19" i="4" s="1"/>
  <c r="AX19" i="4" s="1"/>
  <c r="AY19" i="4" s="1"/>
  <c r="AZ19" i="4" s="1"/>
  <c r="BA19" i="4" s="1"/>
  <c r="BB19" i="4" s="1"/>
  <c r="BC19" i="4" s="1"/>
  <c r="BD19" i="4" s="1"/>
  <c r="BE19" i="4" s="1"/>
  <c r="BF19" i="4" s="1"/>
  <c r="BG19" i="4" s="1"/>
  <c r="BH19" i="4" s="1"/>
  <c r="BI19" i="4" s="1"/>
  <c r="BJ19" i="4" s="1"/>
  <c r="BK19" i="4" s="1"/>
  <c r="BL19" i="4" s="1"/>
  <c r="BM19" i="4" s="1"/>
  <c r="BN19" i="4" s="1"/>
  <c r="BO19" i="4" s="1"/>
  <c r="BP19" i="4" s="1"/>
  <c r="BQ19" i="4" s="1"/>
  <c r="BR19" i="4" s="1"/>
  <c r="BS19" i="4" s="1"/>
  <c r="BT19" i="4" s="1"/>
  <c r="BU19" i="4" s="1"/>
  <c r="BV19" i="4" s="1"/>
  <c r="BW19" i="4" s="1"/>
  <c r="BX19" i="4" s="1"/>
  <c r="BY19" i="4" s="1"/>
  <c r="BZ19" i="4" s="1"/>
  <c r="CA19" i="4" s="1"/>
  <c r="CB19" i="4" s="1"/>
  <c r="CC19" i="4" s="1"/>
  <c r="CD19" i="4" s="1"/>
  <c r="CE19" i="4" s="1"/>
  <c r="CF19" i="4" s="1"/>
  <c r="CG19" i="4" s="1"/>
  <c r="CH19" i="4" s="1"/>
  <c r="CI19" i="4" s="1"/>
  <c r="CJ19" i="4" s="1"/>
  <c r="CK19" i="4" s="1"/>
  <c r="CL19" i="4" s="1"/>
  <c r="CM19" i="4" s="1"/>
  <c r="CN19" i="4" s="1"/>
  <c r="CO19" i="4" s="1"/>
  <c r="CP19" i="4" s="1"/>
  <c r="CQ19" i="4" s="1"/>
  <c r="CR19" i="4" s="1"/>
  <c r="CS19" i="4" s="1"/>
  <c r="CT19" i="4" s="1"/>
  <c r="CU19" i="4" s="1"/>
  <c r="CV19" i="4" s="1"/>
  <c r="CW19" i="4" s="1"/>
  <c r="CX19" i="4" s="1"/>
  <c r="CY19" i="4" s="1"/>
  <c r="CZ19" i="4" s="1"/>
  <c r="DA19" i="4" s="1"/>
  <c r="DB19" i="4" s="1"/>
  <c r="DC19" i="4" s="1"/>
  <c r="DD19" i="4" s="1"/>
  <c r="DE19" i="4" s="1"/>
  <c r="DF19" i="4" s="1"/>
  <c r="DG19" i="4" s="1"/>
  <c r="DH19" i="4" s="1"/>
  <c r="DI19" i="4" s="1"/>
  <c r="DJ19" i="4" s="1"/>
  <c r="DK19" i="4" s="1"/>
  <c r="DL19" i="4" s="1"/>
  <c r="DM19" i="4" s="1"/>
  <c r="DN19" i="4" s="1"/>
  <c r="DO19" i="4" s="1"/>
  <c r="DP19" i="4" s="1"/>
  <c r="DQ19" i="4" s="1"/>
  <c r="DR19" i="4" s="1"/>
  <c r="DS19" i="4" s="1"/>
  <c r="DT19" i="4" s="1"/>
  <c r="DU19" i="4" s="1"/>
  <c r="DV19" i="4" s="1"/>
  <c r="DW19" i="4" s="1"/>
  <c r="DX19" i="4" s="1"/>
  <c r="DY19" i="4" s="1"/>
  <c r="DZ19" i="4" s="1"/>
  <c r="EA19" i="4" s="1"/>
  <c r="EB19" i="4" s="1"/>
  <c r="EC19" i="4" s="1"/>
  <c r="ED19" i="4" s="1"/>
  <c r="EE19" i="4" s="1"/>
  <c r="EF19" i="4" s="1"/>
  <c r="EG19" i="4" s="1"/>
  <c r="EH19" i="4" s="1"/>
  <c r="EI19" i="4" s="1"/>
  <c r="EJ19" i="4" s="1"/>
  <c r="EK19" i="4" s="1"/>
  <c r="EL19" i="4" s="1"/>
  <c r="EM19" i="4" s="1"/>
  <c r="EN19" i="4" s="1"/>
  <c r="EO19" i="4" s="1"/>
  <c r="EP19" i="4" s="1"/>
  <c r="EQ19" i="4" s="1"/>
  <c r="ER19" i="4" s="1"/>
  <c r="ES19" i="4" s="1"/>
  <c r="K21" i="4"/>
  <c r="L21" i="4" s="1"/>
  <c r="M21" i="4" s="1"/>
  <c r="N21" i="4" s="1"/>
  <c r="O21" i="4" s="1"/>
  <c r="P21" i="4" s="1"/>
  <c r="Q21" i="4" s="1"/>
  <c r="R21" i="4" s="1"/>
  <c r="S21" i="4" s="1"/>
  <c r="T21" i="4" s="1"/>
  <c r="U21" i="4" s="1"/>
  <c r="V21" i="4" s="1"/>
  <c r="W21" i="4" s="1"/>
  <c r="X21" i="4" s="1"/>
  <c r="Y21" i="4" s="1"/>
  <c r="Z21" i="4" s="1"/>
  <c r="K39" i="4"/>
  <c r="ET39" i="4" s="1"/>
  <c r="K51" i="4"/>
  <c r="L51" i="4" s="1"/>
  <c r="M51" i="4" s="1"/>
  <c r="N51" i="4" s="1"/>
  <c r="O51" i="4" s="1"/>
  <c r="P51" i="4" s="1"/>
  <c r="Q51" i="4" s="1"/>
  <c r="R51" i="4" s="1"/>
  <c r="S51" i="4" s="1"/>
  <c r="T51" i="4" s="1"/>
  <c r="U51" i="4" s="1"/>
  <c r="V51" i="4" s="1"/>
  <c r="W51" i="4" s="1"/>
  <c r="X51" i="4" s="1"/>
  <c r="Y51" i="4" s="1"/>
  <c r="Z51" i="4" s="1"/>
  <c r="AA51" i="4" s="1"/>
  <c r="AB51" i="4" s="1"/>
  <c r="AC51" i="4" s="1"/>
  <c r="AD51" i="4" s="1"/>
  <c r="AE51" i="4" s="1"/>
  <c r="AF51" i="4" s="1"/>
  <c r="AG51" i="4" s="1"/>
  <c r="AH51" i="4" s="1"/>
  <c r="AI51" i="4" s="1"/>
  <c r="AJ51" i="4" s="1"/>
  <c r="AK51" i="4" s="1"/>
  <c r="AL51" i="4" s="1"/>
  <c r="AM51" i="4" s="1"/>
  <c r="AN51" i="4" s="1"/>
  <c r="AO51" i="4" s="1"/>
  <c r="AP51" i="4" s="1"/>
  <c r="AQ51" i="4" s="1"/>
  <c r="AR51" i="4" s="1"/>
  <c r="AS51" i="4" s="1"/>
  <c r="AT51" i="4" s="1"/>
  <c r="AU51" i="4" s="1"/>
  <c r="AV51" i="4" s="1"/>
  <c r="AW51" i="4" s="1"/>
  <c r="AX51" i="4" s="1"/>
  <c r="AY51" i="4" s="1"/>
  <c r="AZ51" i="4" s="1"/>
  <c r="BA51" i="4" s="1"/>
  <c r="BB51" i="4" s="1"/>
  <c r="BC51" i="4" s="1"/>
  <c r="BD51" i="4" s="1"/>
  <c r="BE51" i="4" s="1"/>
  <c r="BF51" i="4" s="1"/>
  <c r="BG51" i="4" s="1"/>
  <c r="BH51" i="4" s="1"/>
  <c r="BI51" i="4" s="1"/>
  <c r="BJ51" i="4" s="1"/>
  <c r="BK51" i="4" s="1"/>
  <c r="BL51" i="4" s="1"/>
  <c r="BM51" i="4" s="1"/>
  <c r="BN51" i="4" s="1"/>
  <c r="BO51" i="4" s="1"/>
  <c r="BP51" i="4" s="1"/>
  <c r="BQ51" i="4" s="1"/>
  <c r="BR51" i="4" s="1"/>
  <c r="BS51" i="4" s="1"/>
  <c r="BT51" i="4" s="1"/>
  <c r="BU51" i="4" s="1"/>
  <c r="BV51" i="4" s="1"/>
  <c r="BW51" i="4" s="1"/>
  <c r="BX51" i="4" s="1"/>
  <c r="BY51" i="4" s="1"/>
  <c r="BZ51" i="4" s="1"/>
  <c r="CA51" i="4" s="1"/>
  <c r="CB51" i="4" s="1"/>
  <c r="CC51" i="4" s="1"/>
  <c r="CD51" i="4" s="1"/>
  <c r="CE51" i="4" s="1"/>
  <c r="CF51" i="4" s="1"/>
  <c r="CG51" i="4" s="1"/>
  <c r="CH51" i="4" s="1"/>
  <c r="CI51" i="4" s="1"/>
  <c r="CJ51" i="4" s="1"/>
  <c r="CK51" i="4" s="1"/>
  <c r="CL51" i="4" s="1"/>
  <c r="CM51" i="4" s="1"/>
  <c r="CN51" i="4" s="1"/>
  <c r="CO51" i="4" s="1"/>
  <c r="CP51" i="4" s="1"/>
  <c r="CQ51" i="4" s="1"/>
  <c r="CR51" i="4" s="1"/>
  <c r="CS51" i="4" s="1"/>
  <c r="CT51" i="4" s="1"/>
  <c r="CU51" i="4" s="1"/>
  <c r="CV51" i="4" s="1"/>
  <c r="CW51" i="4" s="1"/>
  <c r="CX51" i="4" s="1"/>
  <c r="CY51" i="4" s="1"/>
  <c r="CZ51" i="4" s="1"/>
  <c r="DA51" i="4" s="1"/>
  <c r="DB51" i="4" s="1"/>
  <c r="DC51" i="4" s="1"/>
  <c r="DD51" i="4" s="1"/>
  <c r="DE51" i="4" s="1"/>
  <c r="DF51" i="4" s="1"/>
  <c r="DG51" i="4" s="1"/>
  <c r="DH51" i="4" s="1"/>
  <c r="DI51" i="4" s="1"/>
  <c r="DJ51" i="4" s="1"/>
  <c r="DK51" i="4" s="1"/>
  <c r="DL51" i="4" s="1"/>
  <c r="DM51" i="4" s="1"/>
  <c r="DN51" i="4" s="1"/>
  <c r="DO51" i="4" s="1"/>
  <c r="DP51" i="4" s="1"/>
  <c r="DQ51" i="4" s="1"/>
  <c r="DR51" i="4" s="1"/>
  <c r="DS51" i="4" s="1"/>
  <c r="DT51" i="4" s="1"/>
  <c r="DU51" i="4" s="1"/>
  <c r="DV51" i="4" s="1"/>
  <c r="DW51" i="4" s="1"/>
  <c r="DX51" i="4" s="1"/>
  <c r="DY51" i="4" s="1"/>
  <c r="DZ51" i="4" s="1"/>
  <c r="EA51" i="4" s="1"/>
  <c r="EB51" i="4" s="1"/>
  <c r="EC51" i="4" s="1"/>
  <c r="ED51" i="4" s="1"/>
  <c r="EE51" i="4" s="1"/>
  <c r="EF51" i="4" s="1"/>
  <c r="EG51" i="4" s="1"/>
  <c r="EH51" i="4" s="1"/>
  <c r="EI51" i="4" s="1"/>
  <c r="EJ51" i="4" s="1"/>
  <c r="EK51" i="4" s="1"/>
  <c r="EL51" i="4" s="1"/>
  <c r="EM51" i="4" s="1"/>
  <c r="EN51" i="4" s="1"/>
  <c r="EO51" i="4" s="1"/>
  <c r="EP51" i="4" s="1"/>
  <c r="EQ51" i="4" s="1"/>
  <c r="ER51" i="4" s="1"/>
  <c r="ES51" i="4" s="1"/>
  <c r="K53" i="4"/>
  <c r="L53" i="4" s="1"/>
  <c r="M53" i="4" s="1"/>
  <c r="N53" i="4" s="1"/>
  <c r="O53" i="4" s="1"/>
  <c r="P53" i="4" s="1"/>
  <c r="Q53" i="4" s="1"/>
  <c r="R53" i="4" s="1"/>
  <c r="S53" i="4" s="1"/>
  <c r="T53" i="4" s="1"/>
  <c r="U53" i="4" s="1"/>
  <c r="V53" i="4" s="1"/>
  <c r="W53" i="4" s="1"/>
  <c r="X53" i="4" s="1"/>
  <c r="Y53" i="4" s="1"/>
  <c r="Z53" i="4" s="1"/>
  <c r="AA53" i="4" s="1"/>
  <c r="AB53" i="4" s="1"/>
  <c r="AC53" i="4" s="1"/>
  <c r="AD53" i="4" s="1"/>
  <c r="AE53" i="4" s="1"/>
  <c r="AF53" i="4" s="1"/>
  <c r="AG53" i="4" s="1"/>
  <c r="AH53" i="4" s="1"/>
  <c r="AI53" i="4" s="1"/>
  <c r="AJ53" i="4" s="1"/>
  <c r="AK53" i="4" s="1"/>
  <c r="AL53" i="4" s="1"/>
  <c r="AM53" i="4" s="1"/>
  <c r="AN53" i="4" s="1"/>
  <c r="AO53" i="4" s="1"/>
  <c r="AP53" i="4" s="1"/>
  <c r="AQ53" i="4" s="1"/>
  <c r="AR53" i="4" s="1"/>
  <c r="AS53" i="4" s="1"/>
  <c r="AT53" i="4" s="1"/>
  <c r="AU53" i="4" s="1"/>
  <c r="AV53" i="4" s="1"/>
  <c r="AW53" i="4" s="1"/>
  <c r="AX53" i="4" s="1"/>
  <c r="AY53" i="4" s="1"/>
  <c r="AZ53" i="4" s="1"/>
  <c r="BA53" i="4" s="1"/>
  <c r="BB53" i="4" s="1"/>
  <c r="BC53" i="4" s="1"/>
  <c r="BD53" i="4" s="1"/>
  <c r="BE53" i="4" s="1"/>
  <c r="BF53" i="4" s="1"/>
  <c r="BG53" i="4" s="1"/>
  <c r="BH53" i="4" s="1"/>
  <c r="BI53" i="4" s="1"/>
  <c r="BJ53" i="4" s="1"/>
  <c r="BK53" i="4" s="1"/>
  <c r="BL53" i="4" s="1"/>
  <c r="BM53" i="4" s="1"/>
  <c r="BN53" i="4" s="1"/>
  <c r="BO53" i="4" s="1"/>
  <c r="BP53" i="4" s="1"/>
  <c r="BQ53" i="4" s="1"/>
  <c r="BR53" i="4" s="1"/>
  <c r="BS53" i="4" s="1"/>
  <c r="BT53" i="4" s="1"/>
  <c r="BU53" i="4" s="1"/>
  <c r="BV53" i="4" s="1"/>
  <c r="BW53" i="4" s="1"/>
  <c r="BX53" i="4" s="1"/>
  <c r="BY53" i="4" s="1"/>
  <c r="BZ53" i="4" s="1"/>
  <c r="CA53" i="4" s="1"/>
  <c r="CB53" i="4" s="1"/>
  <c r="CC53" i="4" s="1"/>
  <c r="CD53" i="4" s="1"/>
  <c r="CE53" i="4" s="1"/>
  <c r="CF53" i="4" s="1"/>
  <c r="CG53" i="4" s="1"/>
  <c r="CH53" i="4" s="1"/>
  <c r="CI53" i="4" s="1"/>
  <c r="CJ53" i="4" s="1"/>
  <c r="CK53" i="4" s="1"/>
  <c r="CL53" i="4" s="1"/>
  <c r="CM53" i="4" s="1"/>
  <c r="CN53" i="4" s="1"/>
  <c r="CO53" i="4" s="1"/>
  <c r="CP53" i="4" s="1"/>
  <c r="CQ53" i="4" s="1"/>
  <c r="CR53" i="4" s="1"/>
  <c r="CS53" i="4" s="1"/>
  <c r="CT53" i="4" s="1"/>
  <c r="CU53" i="4" s="1"/>
  <c r="CV53" i="4" s="1"/>
  <c r="CW53" i="4" s="1"/>
  <c r="CX53" i="4" s="1"/>
  <c r="CY53" i="4" s="1"/>
  <c r="CZ53" i="4" s="1"/>
  <c r="DA53" i="4" s="1"/>
  <c r="DB53" i="4" s="1"/>
  <c r="DC53" i="4" s="1"/>
  <c r="DD53" i="4" s="1"/>
  <c r="DE53" i="4" s="1"/>
  <c r="DF53" i="4" s="1"/>
  <c r="DG53" i="4" s="1"/>
  <c r="DH53" i="4" s="1"/>
  <c r="DI53" i="4" s="1"/>
  <c r="DJ53" i="4" s="1"/>
  <c r="DK53" i="4" s="1"/>
  <c r="DL53" i="4" s="1"/>
  <c r="DM53" i="4" s="1"/>
  <c r="DN53" i="4" s="1"/>
  <c r="DO53" i="4" s="1"/>
  <c r="DP53" i="4" s="1"/>
  <c r="DQ53" i="4" s="1"/>
  <c r="DR53" i="4" s="1"/>
  <c r="DS53" i="4" s="1"/>
  <c r="DT53" i="4" s="1"/>
  <c r="DU53" i="4" s="1"/>
  <c r="DV53" i="4" s="1"/>
  <c r="DW53" i="4" s="1"/>
  <c r="DX53" i="4" s="1"/>
  <c r="DY53" i="4" s="1"/>
  <c r="DZ53" i="4" s="1"/>
  <c r="EA53" i="4" s="1"/>
  <c r="EB53" i="4" s="1"/>
  <c r="EC53" i="4" s="1"/>
  <c r="ED53" i="4" s="1"/>
  <c r="EE53" i="4" s="1"/>
  <c r="EF53" i="4" s="1"/>
  <c r="EG53" i="4" s="1"/>
  <c r="EH53" i="4" s="1"/>
  <c r="EI53" i="4" s="1"/>
  <c r="EJ53" i="4" s="1"/>
  <c r="EK53" i="4" s="1"/>
  <c r="EL53" i="4" s="1"/>
  <c r="EM53" i="4" s="1"/>
  <c r="EN53" i="4" s="1"/>
  <c r="EO53" i="4" s="1"/>
  <c r="EP53" i="4" s="1"/>
  <c r="EQ53" i="4" s="1"/>
  <c r="ER53" i="4" s="1"/>
  <c r="ES53" i="4" s="1"/>
  <c r="K55" i="4"/>
  <c r="L55" i="4" s="1"/>
  <c r="M55" i="4" s="1"/>
  <c r="N55" i="4" s="1"/>
  <c r="O55" i="4" s="1"/>
  <c r="P55" i="4" s="1"/>
  <c r="Q55" i="4" s="1"/>
  <c r="R55" i="4" s="1"/>
  <c r="S55" i="4" s="1"/>
  <c r="T55" i="4" s="1"/>
  <c r="U55" i="4" s="1"/>
  <c r="V55" i="4" s="1"/>
  <c r="W55" i="4" s="1"/>
  <c r="X55" i="4" s="1"/>
  <c r="Y55" i="4" s="1"/>
  <c r="Z55" i="4" s="1"/>
  <c r="AA55" i="4" s="1"/>
  <c r="AB55" i="4" s="1"/>
  <c r="AC55" i="4" s="1"/>
  <c r="AD55" i="4" s="1"/>
  <c r="AE55" i="4" s="1"/>
  <c r="AF55" i="4" s="1"/>
  <c r="AG55" i="4" s="1"/>
  <c r="AH55" i="4" s="1"/>
  <c r="AI55" i="4" s="1"/>
  <c r="AJ55" i="4" s="1"/>
  <c r="AK55" i="4" s="1"/>
  <c r="AL55" i="4" s="1"/>
  <c r="AM55" i="4" s="1"/>
  <c r="AN55" i="4" s="1"/>
  <c r="AO55" i="4" s="1"/>
  <c r="AP55" i="4" s="1"/>
  <c r="AQ55" i="4" s="1"/>
  <c r="AR55" i="4" s="1"/>
  <c r="AS55" i="4" s="1"/>
  <c r="AT55" i="4" s="1"/>
  <c r="AU55" i="4" s="1"/>
  <c r="AV55" i="4" s="1"/>
  <c r="AW55" i="4" s="1"/>
  <c r="AX55" i="4" s="1"/>
  <c r="AY55" i="4" s="1"/>
  <c r="AZ55" i="4" s="1"/>
  <c r="BA55" i="4" s="1"/>
  <c r="BB55" i="4" s="1"/>
  <c r="BC55" i="4" s="1"/>
  <c r="BD55" i="4" s="1"/>
  <c r="BE55" i="4" s="1"/>
  <c r="BF55" i="4" s="1"/>
  <c r="BG55" i="4" s="1"/>
  <c r="BH55" i="4" s="1"/>
  <c r="BI55" i="4" s="1"/>
  <c r="BJ55" i="4" s="1"/>
  <c r="BK55" i="4" s="1"/>
  <c r="BL55" i="4" s="1"/>
  <c r="BM55" i="4" s="1"/>
  <c r="BN55" i="4" s="1"/>
  <c r="BO55" i="4" s="1"/>
  <c r="BP55" i="4" s="1"/>
  <c r="BQ55" i="4" s="1"/>
  <c r="BR55" i="4" s="1"/>
  <c r="BS55" i="4" s="1"/>
  <c r="BT55" i="4" s="1"/>
  <c r="BU55" i="4" s="1"/>
  <c r="BV55" i="4" s="1"/>
  <c r="BW55" i="4" s="1"/>
  <c r="BX55" i="4" s="1"/>
  <c r="BY55" i="4" s="1"/>
  <c r="BZ55" i="4" s="1"/>
  <c r="CA55" i="4" s="1"/>
  <c r="CB55" i="4" s="1"/>
  <c r="CC55" i="4" s="1"/>
  <c r="CD55" i="4" s="1"/>
  <c r="CE55" i="4" s="1"/>
  <c r="CF55" i="4" s="1"/>
  <c r="CG55" i="4" s="1"/>
  <c r="CH55" i="4" s="1"/>
  <c r="CI55" i="4" s="1"/>
  <c r="CJ55" i="4" s="1"/>
  <c r="CK55" i="4" s="1"/>
  <c r="CL55" i="4" s="1"/>
  <c r="CM55" i="4" s="1"/>
  <c r="CN55" i="4" s="1"/>
  <c r="CO55" i="4" s="1"/>
  <c r="CP55" i="4" s="1"/>
  <c r="CQ55" i="4" s="1"/>
  <c r="CR55" i="4" s="1"/>
  <c r="CS55" i="4" s="1"/>
  <c r="CT55" i="4" s="1"/>
  <c r="CU55" i="4" s="1"/>
  <c r="CV55" i="4" s="1"/>
  <c r="CW55" i="4" s="1"/>
  <c r="CX55" i="4" s="1"/>
  <c r="CY55" i="4" s="1"/>
  <c r="CZ55" i="4" s="1"/>
  <c r="DA55" i="4" s="1"/>
  <c r="DB55" i="4" s="1"/>
  <c r="DC55" i="4" s="1"/>
  <c r="DD55" i="4" s="1"/>
  <c r="DE55" i="4" s="1"/>
  <c r="DF55" i="4" s="1"/>
  <c r="DG55" i="4" s="1"/>
  <c r="DH55" i="4" s="1"/>
  <c r="DI55" i="4" s="1"/>
  <c r="DJ55" i="4" s="1"/>
  <c r="DK55" i="4" s="1"/>
  <c r="DL55" i="4" s="1"/>
  <c r="DM55" i="4" s="1"/>
  <c r="DN55" i="4" s="1"/>
  <c r="DO55" i="4" s="1"/>
  <c r="DP55" i="4" s="1"/>
  <c r="DQ55" i="4" s="1"/>
  <c r="DR55" i="4" s="1"/>
  <c r="DS55" i="4" s="1"/>
  <c r="DT55" i="4" s="1"/>
  <c r="DU55" i="4" s="1"/>
  <c r="DV55" i="4" s="1"/>
  <c r="DW55" i="4" s="1"/>
  <c r="DX55" i="4" s="1"/>
  <c r="DY55" i="4" s="1"/>
  <c r="DZ55" i="4" s="1"/>
  <c r="EA55" i="4" s="1"/>
  <c r="EB55" i="4" s="1"/>
  <c r="EC55" i="4" s="1"/>
  <c r="ED55" i="4" s="1"/>
  <c r="EE55" i="4" s="1"/>
  <c r="EF55" i="4" s="1"/>
  <c r="EG55" i="4" s="1"/>
  <c r="EH55" i="4" s="1"/>
  <c r="EI55" i="4" s="1"/>
  <c r="EJ55" i="4" s="1"/>
  <c r="EK55" i="4" s="1"/>
  <c r="EL55" i="4" s="1"/>
  <c r="EM55" i="4" s="1"/>
  <c r="EN55" i="4" s="1"/>
  <c r="EO55" i="4" s="1"/>
  <c r="EP55" i="4" s="1"/>
  <c r="EQ55" i="4" s="1"/>
  <c r="ER55" i="4" s="1"/>
  <c r="ES55" i="4" s="1"/>
  <c r="K57" i="4"/>
  <c r="L57" i="4" s="1"/>
  <c r="M57" i="4" s="1"/>
  <c r="N57" i="4" s="1"/>
  <c r="O57" i="4" s="1"/>
  <c r="P57" i="4" s="1"/>
  <c r="Q57" i="4" s="1"/>
  <c r="R57" i="4" s="1"/>
  <c r="S57" i="4" s="1"/>
  <c r="T57" i="4" s="1"/>
  <c r="U57" i="4" s="1"/>
  <c r="V57" i="4" s="1"/>
  <c r="W57" i="4" s="1"/>
  <c r="X57" i="4" s="1"/>
  <c r="Y57" i="4" s="1"/>
  <c r="Z57" i="4" s="1"/>
  <c r="AA57" i="4" s="1"/>
  <c r="AB57" i="4" s="1"/>
  <c r="AC57" i="4" s="1"/>
  <c r="AD57" i="4" s="1"/>
  <c r="AE57" i="4" s="1"/>
  <c r="AF57" i="4" s="1"/>
  <c r="AG57" i="4" s="1"/>
  <c r="AH57" i="4" s="1"/>
  <c r="AI57" i="4" s="1"/>
  <c r="AJ57" i="4" s="1"/>
  <c r="AK57" i="4" s="1"/>
  <c r="AL57" i="4" s="1"/>
  <c r="AM57" i="4" s="1"/>
  <c r="AN57" i="4" s="1"/>
  <c r="AO57" i="4" s="1"/>
  <c r="AP57" i="4" s="1"/>
  <c r="AQ57" i="4" s="1"/>
  <c r="AR57" i="4" s="1"/>
  <c r="AS57" i="4" s="1"/>
  <c r="AT57" i="4" s="1"/>
  <c r="AU57" i="4" s="1"/>
  <c r="AV57" i="4" s="1"/>
  <c r="AW57" i="4" s="1"/>
  <c r="AX57" i="4" s="1"/>
  <c r="AY57" i="4" s="1"/>
  <c r="AZ57" i="4" s="1"/>
  <c r="BA57" i="4" s="1"/>
  <c r="BB57" i="4" s="1"/>
  <c r="BC57" i="4" s="1"/>
  <c r="BD57" i="4" s="1"/>
  <c r="BE57" i="4" s="1"/>
  <c r="BF57" i="4" s="1"/>
  <c r="BG57" i="4" s="1"/>
  <c r="BH57" i="4" s="1"/>
  <c r="BI57" i="4" s="1"/>
  <c r="BJ57" i="4" s="1"/>
  <c r="BK57" i="4" s="1"/>
  <c r="BL57" i="4" s="1"/>
  <c r="BM57" i="4" s="1"/>
  <c r="BN57" i="4" s="1"/>
  <c r="BO57" i="4" s="1"/>
  <c r="BP57" i="4" s="1"/>
  <c r="BQ57" i="4" s="1"/>
  <c r="BR57" i="4" s="1"/>
  <c r="BS57" i="4" s="1"/>
  <c r="BT57" i="4" s="1"/>
  <c r="BU57" i="4" s="1"/>
  <c r="BV57" i="4" s="1"/>
  <c r="BW57" i="4" s="1"/>
  <c r="BX57" i="4" s="1"/>
  <c r="BY57" i="4" s="1"/>
  <c r="BZ57" i="4" s="1"/>
  <c r="CA57" i="4" s="1"/>
  <c r="CB57" i="4" s="1"/>
  <c r="CC57" i="4" s="1"/>
  <c r="CD57" i="4" s="1"/>
  <c r="CE57" i="4" s="1"/>
  <c r="CF57" i="4" s="1"/>
  <c r="CG57" i="4" s="1"/>
  <c r="CH57" i="4" s="1"/>
  <c r="CI57" i="4" s="1"/>
  <c r="CJ57" i="4" s="1"/>
  <c r="CK57" i="4" s="1"/>
  <c r="CL57" i="4" s="1"/>
  <c r="CM57" i="4" s="1"/>
  <c r="CN57" i="4" s="1"/>
  <c r="CO57" i="4" s="1"/>
  <c r="CP57" i="4" s="1"/>
  <c r="CQ57" i="4" s="1"/>
  <c r="CR57" i="4" s="1"/>
  <c r="CS57" i="4" s="1"/>
  <c r="CT57" i="4" s="1"/>
  <c r="CU57" i="4" s="1"/>
  <c r="CV57" i="4" s="1"/>
  <c r="CW57" i="4" s="1"/>
  <c r="CX57" i="4" s="1"/>
  <c r="CY57" i="4" s="1"/>
  <c r="CZ57" i="4" s="1"/>
  <c r="DA57" i="4" s="1"/>
  <c r="DB57" i="4" s="1"/>
  <c r="DC57" i="4" s="1"/>
  <c r="DD57" i="4" s="1"/>
  <c r="DE57" i="4" s="1"/>
  <c r="DF57" i="4" s="1"/>
  <c r="DG57" i="4" s="1"/>
  <c r="DH57" i="4" s="1"/>
  <c r="DI57" i="4" s="1"/>
  <c r="DJ57" i="4" s="1"/>
  <c r="DK57" i="4" s="1"/>
  <c r="DL57" i="4" s="1"/>
  <c r="DM57" i="4" s="1"/>
  <c r="DN57" i="4" s="1"/>
  <c r="DO57" i="4" s="1"/>
  <c r="DP57" i="4" s="1"/>
  <c r="DQ57" i="4" s="1"/>
  <c r="DR57" i="4" s="1"/>
  <c r="DS57" i="4" s="1"/>
  <c r="DT57" i="4" s="1"/>
  <c r="DU57" i="4" s="1"/>
  <c r="DV57" i="4" s="1"/>
  <c r="DW57" i="4" s="1"/>
  <c r="DX57" i="4" s="1"/>
  <c r="DY57" i="4" s="1"/>
  <c r="DZ57" i="4" s="1"/>
  <c r="EA57" i="4" s="1"/>
  <c r="EB57" i="4" s="1"/>
  <c r="EC57" i="4" s="1"/>
  <c r="ED57" i="4" s="1"/>
  <c r="EE57" i="4" s="1"/>
  <c r="EF57" i="4" s="1"/>
  <c r="EG57" i="4" s="1"/>
  <c r="EH57" i="4" s="1"/>
  <c r="EI57" i="4" s="1"/>
  <c r="EJ57" i="4" s="1"/>
  <c r="EK57" i="4" s="1"/>
  <c r="EL57" i="4" s="1"/>
  <c r="EM57" i="4" s="1"/>
  <c r="EN57" i="4" s="1"/>
  <c r="EO57" i="4" s="1"/>
  <c r="EP57" i="4" s="1"/>
  <c r="EQ57" i="4" s="1"/>
  <c r="ER57" i="4" s="1"/>
  <c r="ES57" i="4" s="1"/>
  <c r="K63" i="4"/>
  <c r="K75" i="4"/>
  <c r="L75" i="4" s="1"/>
  <c r="M75" i="4" s="1"/>
  <c r="N75" i="4" s="1"/>
  <c r="O75" i="4" s="1"/>
  <c r="P75" i="4" s="1"/>
  <c r="Q75" i="4" s="1"/>
  <c r="R75" i="4" s="1"/>
  <c r="S75" i="4" s="1"/>
  <c r="T75" i="4" s="1"/>
  <c r="U75" i="4" s="1"/>
  <c r="V75" i="4" s="1"/>
  <c r="W75" i="4" s="1"/>
  <c r="X75" i="4" s="1"/>
  <c r="Y75" i="4" s="1"/>
  <c r="Z75" i="4" s="1"/>
  <c r="AA75" i="4" s="1"/>
  <c r="AB75" i="4" s="1"/>
  <c r="AC75" i="4" s="1"/>
  <c r="AD75" i="4" s="1"/>
  <c r="AE75" i="4" s="1"/>
  <c r="AF75" i="4" s="1"/>
  <c r="AG75" i="4" s="1"/>
  <c r="AH75" i="4" s="1"/>
  <c r="AI75" i="4" s="1"/>
  <c r="AJ75" i="4" s="1"/>
  <c r="AK75" i="4" s="1"/>
  <c r="AL75" i="4" s="1"/>
  <c r="AM75" i="4" s="1"/>
  <c r="AN75" i="4" s="1"/>
  <c r="AO75" i="4" s="1"/>
  <c r="AP75" i="4" s="1"/>
  <c r="AQ75" i="4" s="1"/>
  <c r="AR75" i="4" s="1"/>
  <c r="AS75" i="4" s="1"/>
  <c r="AT75" i="4" s="1"/>
  <c r="AU75" i="4" s="1"/>
  <c r="AV75" i="4" s="1"/>
  <c r="AW75" i="4" s="1"/>
  <c r="AX75" i="4" s="1"/>
  <c r="AY75" i="4" s="1"/>
  <c r="AZ75" i="4" s="1"/>
  <c r="BA75" i="4" s="1"/>
  <c r="BB75" i="4" s="1"/>
  <c r="BC75" i="4" s="1"/>
  <c r="BD75" i="4" s="1"/>
  <c r="BE75" i="4" s="1"/>
  <c r="BF75" i="4" s="1"/>
  <c r="BG75" i="4" s="1"/>
  <c r="BH75" i="4" s="1"/>
  <c r="BI75" i="4" s="1"/>
  <c r="BJ75" i="4" s="1"/>
  <c r="BK75" i="4" s="1"/>
  <c r="BL75" i="4" s="1"/>
  <c r="BM75" i="4" s="1"/>
  <c r="BN75" i="4" s="1"/>
  <c r="BO75" i="4" s="1"/>
  <c r="BP75" i="4" s="1"/>
  <c r="BQ75" i="4" s="1"/>
  <c r="BR75" i="4" s="1"/>
  <c r="BS75" i="4" s="1"/>
  <c r="BT75" i="4" s="1"/>
  <c r="BU75" i="4" s="1"/>
  <c r="BV75" i="4" s="1"/>
  <c r="BW75" i="4" s="1"/>
  <c r="BX75" i="4" s="1"/>
  <c r="BY75" i="4" s="1"/>
  <c r="BZ75" i="4" s="1"/>
  <c r="CA75" i="4" s="1"/>
  <c r="CB75" i="4" s="1"/>
  <c r="CC75" i="4" s="1"/>
  <c r="CD75" i="4" s="1"/>
  <c r="CE75" i="4" s="1"/>
  <c r="CF75" i="4" s="1"/>
  <c r="CG75" i="4" s="1"/>
  <c r="CH75" i="4" s="1"/>
  <c r="CI75" i="4" s="1"/>
  <c r="CJ75" i="4" s="1"/>
  <c r="CK75" i="4" s="1"/>
  <c r="CL75" i="4" s="1"/>
  <c r="CM75" i="4" s="1"/>
  <c r="CN75" i="4" s="1"/>
  <c r="CO75" i="4" s="1"/>
  <c r="CP75" i="4" s="1"/>
  <c r="CQ75" i="4" s="1"/>
  <c r="CR75" i="4" s="1"/>
  <c r="CS75" i="4" s="1"/>
  <c r="CT75" i="4" s="1"/>
  <c r="CU75" i="4" s="1"/>
  <c r="CV75" i="4" s="1"/>
  <c r="CW75" i="4" s="1"/>
  <c r="CX75" i="4" s="1"/>
  <c r="CY75" i="4" s="1"/>
  <c r="CZ75" i="4" s="1"/>
  <c r="DA75" i="4" s="1"/>
  <c r="DB75" i="4" s="1"/>
  <c r="DC75" i="4" s="1"/>
  <c r="DD75" i="4" s="1"/>
  <c r="DE75" i="4" s="1"/>
  <c r="DF75" i="4" s="1"/>
  <c r="DG75" i="4" s="1"/>
  <c r="DH75" i="4" s="1"/>
  <c r="DI75" i="4" s="1"/>
  <c r="DJ75" i="4" s="1"/>
  <c r="DK75" i="4" s="1"/>
  <c r="DL75" i="4" s="1"/>
  <c r="DM75" i="4" s="1"/>
  <c r="DN75" i="4" s="1"/>
  <c r="DO75" i="4" s="1"/>
  <c r="DP75" i="4" s="1"/>
  <c r="DQ75" i="4" s="1"/>
  <c r="DR75" i="4" s="1"/>
  <c r="DS75" i="4" s="1"/>
  <c r="DT75" i="4" s="1"/>
  <c r="DU75" i="4" s="1"/>
  <c r="DV75" i="4" s="1"/>
  <c r="DW75" i="4" s="1"/>
  <c r="DX75" i="4" s="1"/>
  <c r="DY75" i="4" s="1"/>
  <c r="DZ75" i="4" s="1"/>
  <c r="EA75" i="4" s="1"/>
  <c r="EB75" i="4" s="1"/>
  <c r="EC75" i="4" s="1"/>
  <c r="ED75" i="4" s="1"/>
  <c r="EE75" i="4" s="1"/>
  <c r="EF75" i="4" s="1"/>
  <c r="EG75" i="4" s="1"/>
  <c r="EH75" i="4" s="1"/>
  <c r="EI75" i="4" s="1"/>
  <c r="EJ75" i="4" s="1"/>
  <c r="EK75" i="4" s="1"/>
  <c r="EL75" i="4" s="1"/>
  <c r="EM75" i="4" s="1"/>
  <c r="EN75" i="4" s="1"/>
  <c r="EO75" i="4" s="1"/>
  <c r="EP75" i="4" s="1"/>
  <c r="EQ75" i="4" s="1"/>
  <c r="ER75" i="4" s="1"/>
  <c r="ES75" i="4" s="1"/>
  <c r="K80" i="4"/>
  <c r="L80" i="4" s="1"/>
  <c r="M80" i="4" s="1"/>
  <c r="N80" i="4" s="1"/>
  <c r="O80" i="4" s="1"/>
  <c r="P80" i="4" s="1"/>
  <c r="Q80" i="4" s="1"/>
  <c r="R80" i="4" s="1"/>
  <c r="S80" i="4" s="1"/>
  <c r="T80" i="4" s="1"/>
  <c r="U80" i="4" s="1"/>
  <c r="V80" i="4" s="1"/>
  <c r="W80" i="4" s="1"/>
  <c r="X80" i="4" s="1"/>
  <c r="Y80" i="4" s="1"/>
  <c r="Z80" i="4" s="1"/>
  <c r="AA80" i="4" s="1"/>
  <c r="AB80" i="4" s="1"/>
  <c r="AC80" i="4" s="1"/>
  <c r="AD80" i="4" s="1"/>
  <c r="AE80" i="4" s="1"/>
  <c r="AF80" i="4" s="1"/>
  <c r="AG80" i="4" s="1"/>
  <c r="AH80" i="4" s="1"/>
  <c r="AI80" i="4" s="1"/>
  <c r="AJ80" i="4" s="1"/>
  <c r="AK80" i="4" s="1"/>
  <c r="AL80" i="4" s="1"/>
  <c r="AM80" i="4" s="1"/>
  <c r="AN80" i="4" s="1"/>
  <c r="AO80" i="4" s="1"/>
  <c r="AP80" i="4" s="1"/>
  <c r="AQ80" i="4" s="1"/>
  <c r="AR80" i="4" s="1"/>
  <c r="AS80" i="4" s="1"/>
  <c r="AT80" i="4" s="1"/>
  <c r="AU80" i="4" s="1"/>
  <c r="AV80" i="4" s="1"/>
  <c r="AW80" i="4" s="1"/>
  <c r="AX80" i="4" s="1"/>
  <c r="AY80" i="4" s="1"/>
  <c r="AZ80" i="4" s="1"/>
  <c r="BA80" i="4" s="1"/>
  <c r="BB80" i="4" s="1"/>
  <c r="BC80" i="4" s="1"/>
  <c r="BD80" i="4" s="1"/>
  <c r="BE80" i="4" s="1"/>
  <c r="BF80" i="4" s="1"/>
  <c r="BG80" i="4" s="1"/>
  <c r="BH80" i="4" s="1"/>
  <c r="BI80" i="4" s="1"/>
  <c r="BJ80" i="4" s="1"/>
  <c r="BK80" i="4" s="1"/>
  <c r="BL80" i="4" s="1"/>
  <c r="BM80" i="4" s="1"/>
  <c r="BN80" i="4" s="1"/>
  <c r="BO80" i="4" s="1"/>
  <c r="BP80" i="4" s="1"/>
  <c r="BQ80" i="4" s="1"/>
  <c r="BR80" i="4" s="1"/>
  <c r="BS80" i="4" s="1"/>
  <c r="BT80" i="4" s="1"/>
  <c r="BU80" i="4" s="1"/>
  <c r="BV80" i="4" s="1"/>
  <c r="BW80" i="4" s="1"/>
  <c r="BX80" i="4" s="1"/>
  <c r="BY80" i="4" s="1"/>
  <c r="BZ80" i="4" s="1"/>
  <c r="CA80" i="4" s="1"/>
  <c r="CB80" i="4" s="1"/>
  <c r="CC80" i="4" s="1"/>
  <c r="CD80" i="4" s="1"/>
  <c r="CE80" i="4" s="1"/>
  <c r="CF80" i="4" s="1"/>
  <c r="CG80" i="4" s="1"/>
  <c r="CH80" i="4" s="1"/>
  <c r="CI80" i="4" s="1"/>
  <c r="CJ80" i="4" s="1"/>
  <c r="CK80" i="4" s="1"/>
  <c r="CL80" i="4" s="1"/>
  <c r="CM80" i="4" s="1"/>
  <c r="CN80" i="4" s="1"/>
  <c r="CO80" i="4" s="1"/>
  <c r="CP80" i="4" s="1"/>
  <c r="CQ80" i="4" s="1"/>
  <c r="CR80" i="4" s="1"/>
  <c r="CS80" i="4" s="1"/>
  <c r="CT80" i="4" s="1"/>
  <c r="CU80" i="4" s="1"/>
  <c r="CV80" i="4" s="1"/>
  <c r="CW80" i="4" s="1"/>
  <c r="CX80" i="4" s="1"/>
  <c r="CY80" i="4" s="1"/>
  <c r="CZ80" i="4" s="1"/>
  <c r="DA80" i="4" s="1"/>
  <c r="DB80" i="4" s="1"/>
  <c r="DC80" i="4" s="1"/>
  <c r="DD80" i="4" s="1"/>
  <c r="DE80" i="4" s="1"/>
  <c r="DF80" i="4" s="1"/>
  <c r="DG80" i="4" s="1"/>
  <c r="DH80" i="4" s="1"/>
  <c r="DI80" i="4" s="1"/>
  <c r="DJ80" i="4" s="1"/>
  <c r="DK80" i="4" s="1"/>
  <c r="DL80" i="4" s="1"/>
  <c r="DM80" i="4" s="1"/>
  <c r="DN80" i="4" s="1"/>
  <c r="DO80" i="4" s="1"/>
  <c r="DP80" i="4" s="1"/>
  <c r="DQ80" i="4" s="1"/>
  <c r="DR80" i="4" s="1"/>
  <c r="DS80" i="4" s="1"/>
  <c r="DT80" i="4" s="1"/>
  <c r="DU80" i="4" s="1"/>
  <c r="DV80" i="4" s="1"/>
  <c r="DW80" i="4" s="1"/>
  <c r="DX80" i="4" s="1"/>
  <c r="DY80" i="4" s="1"/>
  <c r="DZ80" i="4" s="1"/>
  <c r="EA80" i="4" s="1"/>
  <c r="EB80" i="4" s="1"/>
  <c r="EC80" i="4" s="1"/>
  <c r="ED80" i="4" s="1"/>
  <c r="EE80" i="4" s="1"/>
  <c r="EF80" i="4" s="1"/>
  <c r="EG80" i="4" s="1"/>
  <c r="EH80" i="4" s="1"/>
  <c r="EI80" i="4" s="1"/>
  <c r="EJ80" i="4" s="1"/>
  <c r="EK80" i="4" s="1"/>
  <c r="EL80" i="4" s="1"/>
  <c r="EM80" i="4" s="1"/>
  <c r="EN80" i="4" s="1"/>
  <c r="EO80" i="4" s="1"/>
  <c r="EP80" i="4" s="1"/>
  <c r="EQ80" i="4" s="1"/>
  <c r="ER80" i="4" s="1"/>
  <c r="ES80" i="4" s="1"/>
  <c r="I397" i="6"/>
  <c r="K120" i="6"/>
  <c r="L120" i="6" s="1"/>
  <c r="M120" i="6" s="1"/>
  <c r="N120" i="6" s="1"/>
  <c r="W144" i="6"/>
  <c r="V144" i="6" s="1"/>
  <c r="U144" i="6" s="1"/>
  <c r="T144" i="6" s="1"/>
  <c r="S144" i="6" s="1"/>
  <c r="R144" i="6" s="1"/>
  <c r="Q144" i="6" s="1"/>
  <c r="Y144" i="6"/>
  <c r="Z144" i="6" s="1"/>
  <c r="AA144" i="6" s="1"/>
  <c r="AB144" i="6" s="1"/>
  <c r="AC144" i="6" s="1"/>
  <c r="AD144" i="6" s="1"/>
  <c r="AE144" i="6" s="1"/>
  <c r="AF144" i="6" s="1"/>
  <c r="AG144" i="6" s="1"/>
  <c r="AH144" i="6" s="1"/>
  <c r="AI144" i="6" s="1"/>
  <c r="AJ144" i="6" s="1"/>
  <c r="AK144" i="6" s="1"/>
  <c r="AL144" i="6" s="1"/>
  <c r="AM144" i="6" s="1"/>
  <c r="AN144" i="6" s="1"/>
  <c r="AO144" i="6" s="1"/>
  <c r="AP144" i="6" s="1"/>
  <c r="AQ144" i="6" s="1"/>
  <c r="AR144" i="6" s="1"/>
  <c r="AS144" i="6" s="1"/>
  <c r="AT144" i="6" s="1"/>
  <c r="AU144" i="6" s="1"/>
  <c r="AV144" i="6" s="1"/>
  <c r="AW144" i="6" s="1"/>
  <c r="AX144" i="6" s="1"/>
  <c r="AY144" i="6" s="1"/>
  <c r="AZ144" i="6" s="1"/>
  <c r="BA144" i="6" s="1"/>
  <c r="BB144" i="6" s="1"/>
  <c r="BC144" i="6" s="1"/>
  <c r="BD144" i="6" s="1"/>
  <c r="BE144" i="6" s="1"/>
  <c r="BF144" i="6" s="1"/>
  <c r="BG144" i="6" s="1"/>
  <c r="BH144" i="6" s="1"/>
  <c r="BI144" i="6" s="1"/>
  <c r="BJ144" i="6" s="1"/>
  <c r="BK144" i="6" s="1"/>
  <c r="BL144" i="6" s="1"/>
  <c r="BM144" i="6" s="1"/>
  <c r="BN144" i="6" s="1"/>
  <c r="BO144" i="6" s="1"/>
  <c r="BP144" i="6" s="1"/>
  <c r="BQ144" i="6" s="1"/>
  <c r="BR144" i="6" s="1"/>
  <c r="BS144" i="6" s="1"/>
  <c r="BT144" i="6" s="1"/>
  <c r="BU144" i="6" s="1"/>
  <c r="BV144" i="6" s="1"/>
  <c r="BW144" i="6" s="1"/>
  <c r="BX144" i="6" s="1"/>
  <c r="BY144" i="6" s="1"/>
  <c r="BZ144" i="6" s="1"/>
  <c r="CA144" i="6" s="1"/>
  <c r="CB144" i="6" s="1"/>
  <c r="CC144" i="6" s="1"/>
  <c r="CD144" i="6" s="1"/>
  <c r="CE144" i="6" s="1"/>
  <c r="CF144" i="6" s="1"/>
  <c r="CG144" i="6" s="1"/>
  <c r="CH144" i="6" s="1"/>
  <c r="CI144" i="6" s="1"/>
  <c r="CJ144" i="6" s="1"/>
  <c r="CK144" i="6" s="1"/>
  <c r="CL144" i="6" s="1"/>
  <c r="CM144" i="6" s="1"/>
  <c r="CN144" i="6" s="1"/>
  <c r="CO144" i="6" s="1"/>
  <c r="CP144" i="6" s="1"/>
  <c r="CQ144" i="6" s="1"/>
  <c r="CR144" i="6" s="1"/>
  <c r="CS144" i="6" s="1"/>
  <c r="CT144" i="6" s="1"/>
  <c r="CU144" i="6" s="1"/>
  <c r="CV144" i="6" s="1"/>
  <c r="CW144" i="6" s="1"/>
  <c r="CX144" i="6" s="1"/>
  <c r="CY144" i="6" s="1"/>
  <c r="CZ144" i="6" s="1"/>
  <c r="DA144" i="6" s="1"/>
  <c r="DB144" i="6" s="1"/>
  <c r="DC144" i="6" s="1"/>
  <c r="DD144" i="6" s="1"/>
  <c r="DE144" i="6" s="1"/>
  <c r="K65" i="6"/>
  <c r="L65" i="6" s="1"/>
  <c r="M65" i="6" s="1"/>
  <c r="N65" i="6" s="1"/>
  <c r="K92" i="6"/>
  <c r="L92" i="6" s="1"/>
  <c r="M92" i="6" s="1"/>
  <c r="N92" i="6" s="1"/>
  <c r="O92" i="6" s="1"/>
  <c r="P92" i="6" s="1"/>
  <c r="Q92" i="6" s="1"/>
  <c r="R92" i="6" s="1"/>
  <c r="S92" i="6" s="1"/>
  <c r="T92" i="6" s="1"/>
  <c r="U92" i="6" s="1"/>
  <c r="V92" i="6" s="1"/>
  <c r="W92" i="6" s="1"/>
  <c r="X92" i="6" s="1"/>
  <c r="Y92" i="6" s="1"/>
  <c r="Z92" i="6" s="1"/>
  <c r="AA92" i="6" s="1"/>
  <c r="AB92" i="6" s="1"/>
  <c r="AC92" i="6" s="1"/>
  <c r="AD92" i="6" s="1"/>
  <c r="AE92" i="6" s="1"/>
  <c r="AF92" i="6" s="1"/>
  <c r="AG92" i="6" s="1"/>
  <c r="AH92" i="6" s="1"/>
  <c r="AI92" i="6" s="1"/>
  <c r="AJ92" i="6" s="1"/>
  <c r="AK92" i="6" s="1"/>
  <c r="AL92" i="6" s="1"/>
  <c r="AM92" i="6" s="1"/>
  <c r="AN92" i="6" s="1"/>
  <c r="AO92" i="6" s="1"/>
  <c r="AP92" i="6" s="1"/>
  <c r="AQ92" i="6" s="1"/>
  <c r="AR92" i="6" s="1"/>
  <c r="AS92" i="6" s="1"/>
  <c r="AT92" i="6" s="1"/>
  <c r="AU92" i="6" s="1"/>
  <c r="AV92" i="6" s="1"/>
  <c r="AW92" i="6" s="1"/>
  <c r="AX92" i="6" s="1"/>
  <c r="AY92" i="6" s="1"/>
  <c r="AZ92" i="6" s="1"/>
  <c r="BA92" i="6" s="1"/>
  <c r="BB92" i="6" s="1"/>
  <c r="BC92" i="6" s="1"/>
  <c r="BD92" i="6" s="1"/>
  <c r="BE92" i="6" s="1"/>
  <c r="BF92" i="6" s="1"/>
  <c r="BG92" i="6" s="1"/>
  <c r="BH92" i="6" s="1"/>
  <c r="BI92" i="6" s="1"/>
  <c r="BJ92" i="6" s="1"/>
  <c r="BK92" i="6" s="1"/>
  <c r="BL92" i="6" s="1"/>
  <c r="BM92" i="6" s="1"/>
  <c r="BN92" i="6" s="1"/>
  <c r="BO92" i="6" s="1"/>
  <c r="BP92" i="6" s="1"/>
  <c r="BQ92" i="6" s="1"/>
  <c r="BR92" i="6" s="1"/>
  <c r="BS92" i="6" s="1"/>
  <c r="BT92" i="6" s="1"/>
  <c r="BU92" i="6" s="1"/>
  <c r="BV92" i="6" s="1"/>
  <c r="BW92" i="6" s="1"/>
  <c r="BX92" i="6" s="1"/>
  <c r="BY92" i="6" s="1"/>
  <c r="BZ92" i="6" s="1"/>
  <c r="CA92" i="6" s="1"/>
  <c r="CB92" i="6" s="1"/>
  <c r="CC92" i="6" s="1"/>
  <c r="CD92" i="6" s="1"/>
  <c r="CE92" i="6" s="1"/>
  <c r="CF92" i="6" s="1"/>
  <c r="CG92" i="6" s="1"/>
  <c r="CH92" i="6" s="1"/>
  <c r="CI92" i="6" s="1"/>
  <c r="CJ92" i="6" s="1"/>
  <c r="CK92" i="6" s="1"/>
  <c r="CL92" i="6" s="1"/>
  <c r="CM92" i="6" s="1"/>
  <c r="CN92" i="6" s="1"/>
  <c r="CO92" i="6" s="1"/>
  <c r="CP92" i="6" s="1"/>
  <c r="CQ92" i="6" s="1"/>
  <c r="CR92" i="6" s="1"/>
  <c r="CS92" i="6" s="1"/>
  <c r="CT92" i="6" s="1"/>
  <c r="CU92" i="6" s="1"/>
  <c r="CV92" i="6" s="1"/>
  <c r="CW92" i="6" s="1"/>
  <c r="CX92" i="6" s="1"/>
  <c r="CY92" i="6" s="1"/>
  <c r="CZ92" i="6" s="1"/>
  <c r="DA92" i="6" s="1"/>
  <c r="DB92" i="6" s="1"/>
  <c r="DC92" i="6" s="1"/>
  <c r="DD92" i="6" s="1"/>
  <c r="DE92" i="6" s="1"/>
  <c r="K96" i="6"/>
  <c r="L96" i="6" s="1"/>
  <c r="M96" i="6" s="1"/>
  <c r="N96" i="6" s="1"/>
  <c r="O191" i="6"/>
  <c r="N191" i="6" s="1"/>
  <c r="M191" i="6" s="1"/>
  <c r="Q191" i="6"/>
  <c r="R191" i="6" s="1"/>
  <c r="L193" i="6"/>
  <c r="K193" i="6" s="1"/>
  <c r="J193" i="6" s="1"/>
  <c r="N193" i="6"/>
  <c r="M207" i="6"/>
  <c r="L207" i="6" s="1"/>
  <c r="K207" i="6" s="1"/>
  <c r="O207" i="6"/>
  <c r="P207" i="6" s="1"/>
  <c r="Q207" i="6" s="1"/>
  <c r="R207" i="6" s="1"/>
  <c r="K281" i="6"/>
  <c r="L281" i="6" s="1"/>
  <c r="M281" i="6" s="1"/>
  <c r="N281" i="6" s="1"/>
  <c r="K283" i="6"/>
  <c r="L283" i="6" s="1"/>
  <c r="M283" i="6" s="1"/>
  <c r="N283" i="6" s="1"/>
  <c r="K285" i="6"/>
  <c r="L285" i="6" s="1"/>
  <c r="M285" i="6" s="1"/>
  <c r="N285" i="6" s="1"/>
  <c r="M350" i="6"/>
  <c r="L350" i="6" s="1"/>
  <c r="K350" i="6" s="1"/>
  <c r="O350" i="6"/>
  <c r="P350" i="6" s="1"/>
  <c r="Q350" i="6" s="1"/>
  <c r="R350" i="6" s="1"/>
  <c r="K124" i="6"/>
  <c r="L124" i="6" s="1"/>
  <c r="M124" i="6" s="1"/>
  <c r="N124" i="6" s="1"/>
  <c r="R146" i="6"/>
  <c r="Q146" i="6" s="1"/>
  <c r="P146" i="6" s="1"/>
  <c r="T146" i="6"/>
  <c r="U146" i="6" s="1"/>
  <c r="V146" i="6" s="1"/>
  <c r="R148" i="6"/>
  <c r="Q148" i="6" s="1"/>
  <c r="P148" i="6" s="1"/>
  <c r="T148" i="6"/>
  <c r="U148" i="6" s="1"/>
  <c r="V148" i="6" s="1"/>
  <c r="K158" i="6"/>
  <c r="L158" i="6" s="1"/>
  <c r="M158" i="6" s="1"/>
  <c r="N158" i="6" s="1"/>
  <c r="R183" i="6"/>
  <c r="Q183" i="6" s="1"/>
  <c r="P183" i="6" s="1"/>
  <c r="T183" i="6"/>
  <c r="U183" i="6" s="1"/>
  <c r="V183" i="6" s="1"/>
  <c r="S185" i="6"/>
  <c r="R185" i="6" s="1"/>
  <c r="Q185" i="6" s="1"/>
  <c r="U185" i="6"/>
  <c r="V185" i="6" s="1"/>
  <c r="S187" i="6"/>
  <c r="R187" i="6" s="1"/>
  <c r="Q187" i="6" s="1"/>
  <c r="U187" i="6"/>
  <c r="V187" i="6" s="1"/>
  <c r="S189" i="6"/>
  <c r="R189" i="6" s="1"/>
  <c r="Q189" i="6" s="1"/>
  <c r="U189" i="6"/>
  <c r="V189" i="6" s="1"/>
  <c r="O195" i="6"/>
  <c r="N195" i="6" s="1"/>
  <c r="M195" i="6" s="1"/>
  <c r="Q195" i="6"/>
  <c r="R195" i="6" s="1"/>
  <c r="K197" i="6"/>
  <c r="L197" i="6" s="1"/>
  <c r="M197" i="6" s="1"/>
  <c r="N197" i="6" s="1"/>
  <c r="V205" i="6"/>
  <c r="U205" i="6" s="1"/>
  <c r="T205" i="6" s="1"/>
  <c r="X205" i="6"/>
  <c r="Y205" i="6" s="1"/>
  <c r="Z205" i="6" s="1"/>
  <c r="O211" i="6"/>
  <c r="N211" i="6" s="1"/>
  <c r="M211" i="6" s="1"/>
  <c r="Q211" i="6"/>
  <c r="R211" i="6" s="1"/>
  <c r="K219" i="6"/>
  <c r="L219" i="6" s="1"/>
  <c r="M219" i="6" s="1"/>
  <c r="N219" i="6" s="1"/>
  <c r="K227" i="6"/>
  <c r="L227" i="6" s="1"/>
  <c r="M227" i="6" s="1"/>
  <c r="N227" i="6" s="1"/>
  <c r="K241" i="6"/>
  <c r="L241" i="6" s="1"/>
  <c r="M241" i="6" s="1"/>
  <c r="N241" i="6" s="1"/>
  <c r="AH348" i="6"/>
  <c r="AG348" i="6" s="1"/>
  <c r="AF348" i="6" s="1"/>
  <c r="AE348" i="6" s="1"/>
  <c r="AD348" i="6" s="1"/>
  <c r="AC348" i="6" s="1"/>
  <c r="AB348" i="6" s="1"/>
  <c r="AJ348" i="6"/>
  <c r="AK348" i="6" s="1"/>
  <c r="AL348" i="6" s="1"/>
  <c r="AM348" i="6" s="1"/>
  <c r="AN348" i="6" s="1"/>
  <c r="AO348" i="6" s="1"/>
  <c r="AP348" i="6" s="1"/>
  <c r="AQ348" i="6" s="1"/>
  <c r="AR348" i="6" s="1"/>
  <c r="AS348" i="6" s="1"/>
  <c r="AT348" i="6" s="1"/>
  <c r="AU348" i="6" s="1"/>
  <c r="AV348" i="6" s="1"/>
  <c r="AW348" i="6" s="1"/>
  <c r="AX348" i="6" s="1"/>
  <c r="AY348" i="6" s="1"/>
  <c r="AZ348" i="6" s="1"/>
  <c r="BA348" i="6" s="1"/>
  <c r="BB348" i="6" s="1"/>
  <c r="BC348" i="6" s="1"/>
  <c r="BD348" i="6" s="1"/>
  <c r="BE348" i="6" s="1"/>
  <c r="BF348" i="6" s="1"/>
  <c r="BG348" i="6" s="1"/>
  <c r="BH348" i="6" s="1"/>
  <c r="BI348" i="6" s="1"/>
  <c r="BJ348" i="6" s="1"/>
  <c r="BK348" i="6" s="1"/>
  <c r="BL348" i="6" s="1"/>
  <c r="BM348" i="6" s="1"/>
  <c r="BN348" i="6" s="1"/>
  <c r="BO348" i="6" s="1"/>
  <c r="BP348" i="6" s="1"/>
  <c r="BQ348" i="6" s="1"/>
  <c r="BR348" i="6" s="1"/>
  <c r="BS348" i="6" s="1"/>
  <c r="BT348" i="6" s="1"/>
  <c r="BU348" i="6" s="1"/>
  <c r="BV348" i="6" s="1"/>
  <c r="BW348" i="6" s="1"/>
  <c r="BX348" i="6" s="1"/>
  <c r="BY348" i="6" s="1"/>
  <c r="BZ348" i="6" s="1"/>
  <c r="CA348" i="6" s="1"/>
  <c r="CB348" i="6" s="1"/>
  <c r="CC348" i="6" s="1"/>
  <c r="CD348" i="6" s="1"/>
  <c r="CE348" i="6" s="1"/>
  <c r="CF348" i="6" s="1"/>
  <c r="CG348" i="6" s="1"/>
  <c r="CH348" i="6" s="1"/>
  <c r="CI348" i="6" s="1"/>
  <c r="CJ348" i="6" s="1"/>
  <c r="CK348" i="6" s="1"/>
  <c r="CL348" i="6" s="1"/>
  <c r="CM348" i="6" s="1"/>
  <c r="CN348" i="6" s="1"/>
  <c r="CO348" i="6" s="1"/>
  <c r="CP348" i="6" s="1"/>
  <c r="CQ348" i="6" s="1"/>
  <c r="CR348" i="6" s="1"/>
  <c r="CS348" i="6" s="1"/>
  <c r="CT348" i="6" s="1"/>
  <c r="CU348" i="6" s="1"/>
  <c r="CV348" i="6" s="1"/>
  <c r="CW348" i="6" s="1"/>
  <c r="CX348" i="6" s="1"/>
  <c r="CY348" i="6" s="1"/>
  <c r="CZ348" i="6" s="1"/>
  <c r="DA348" i="6" s="1"/>
  <c r="DB348" i="6" s="1"/>
  <c r="DC348" i="6" s="1"/>
  <c r="DD348" i="6" s="1"/>
  <c r="DE348" i="6" s="1"/>
  <c r="Q356" i="6"/>
  <c r="P356" i="6" s="1"/>
  <c r="O356" i="6" s="1"/>
  <c r="N356" i="6" s="1"/>
  <c r="M356" i="6" s="1"/>
  <c r="L356" i="6" s="1"/>
  <c r="K356" i="6" s="1"/>
  <c r="S356" i="6"/>
  <c r="T356" i="6" s="1"/>
  <c r="U356" i="6" s="1"/>
  <c r="V356" i="6" s="1"/>
  <c r="W356" i="6" s="1"/>
  <c r="X356" i="6" s="1"/>
  <c r="Y356" i="6" s="1"/>
  <c r="Z356" i="6" s="1"/>
  <c r="AA356" i="6" s="1"/>
  <c r="AB356" i="6" s="1"/>
  <c r="AC356" i="6" s="1"/>
  <c r="AD356" i="6" s="1"/>
  <c r="AE356" i="6" s="1"/>
  <c r="AF356" i="6" s="1"/>
  <c r="AG356" i="6" s="1"/>
  <c r="AH356" i="6" s="1"/>
  <c r="AI356" i="6" s="1"/>
  <c r="AJ356" i="6" s="1"/>
  <c r="AK356" i="6" s="1"/>
  <c r="AL356" i="6" s="1"/>
  <c r="AM356" i="6" s="1"/>
  <c r="AN356" i="6" s="1"/>
  <c r="AO356" i="6" s="1"/>
  <c r="AP356" i="6" s="1"/>
  <c r="AQ356" i="6" s="1"/>
  <c r="AR356" i="6" s="1"/>
  <c r="AS356" i="6" s="1"/>
  <c r="AT356" i="6" s="1"/>
  <c r="AU356" i="6" s="1"/>
  <c r="AV356" i="6" s="1"/>
  <c r="AW356" i="6" s="1"/>
  <c r="AX356" i="6" s="1"/>
  <c r="AY356" i="6" s="1"/>
  <c r="AZ356" i="6" s="1"/>
  <c r="BA356" i="6" s="1"/>
  <c r="BB356" i="6" s="1"/>
  <c r="BC356" i="6" s="1"/>
  <c r="BD356" i="6" s="1"/>
  <c r="BE356" i="6" s="1"/>
  <c r="BF356" i="6" s="1"/>
  <c r="BG356" i="6" s="1"/>
  <c r="BH356" i="6" s="1"/>
  <c r="BI356" i="6" s="1"/>
  <c r="BJ356" i="6" s="1"/>
  <c r="BK356" i="6" s="1"/>
  <c r="BL356" i="6" s="1"/>
  <c r="BM356" i="6" s="1"/>
  <c r="BN356" i="6" s="1"/>
  <c r="BO356" i="6" s="1"/>
  <c r="BP356" i="6" s="1"/>
  <c r="BQ356" i="6" s="1"/>
  <c r="BR356" i="6" s="1"/>
  <c r="BS356" i="6" s="1"/>
  <c r="BT356" i="6" s="1"/>
  <c r="BU356" i="6" s="1"/>
  <c r="BV356" i="6" s="1"/>
  <c r="BW356" i="6" s="1"/>
  <c r="BX356" i="6" s="1"/>
  <c r="BY356" i="6" s="1"/>
  <c r="BZ356" i="6" s="1"/>
  <c r="CA356" i="6" s="1"/>
  <c r="CB356" i="6" s="1"/>
  <c r="CC356" i="6" s="1"/>
  <c r="CD356" i="6" s="1"/>
  <c r="CE356" i="6" s="1"/>
  <c r="CF356" i="6" s="1"/>
  <c r="CG356" i="6" s="1"/>
  <c r="CH356" i="6" s="1"/>
  <c r="CI356" i="6" s="1"/>
  <c r="CJ356" i="6" s="1"/>
  <c r="CK356" i="6" s="1"/>
  <c r="CL356" i="6" s="1"/>
  <c r="CM356" i="6" s="1"/>
  <c r="CN356" i="6" s="1"/>
  <c r="CO356" i="6" s="1"/>
  <c r="CP356" i="6" s="1"/>
  <c r="CQ356" i="6" s="1"/>
  <c r="CR356" i="6" s="1"/>
  <c r="CS356" i="6" s="1"/>
  <c r="CT356" i="6" s="1"/>
  <c r="CU356" i="6" s="1"/>
  <c r="CV356" i="6" s="1"/>
  <c r="CW356" i="6" s="1"/>
  <c r="CX356" i="6" s="1"/>
  <c r="CY356" i="6" s="1"/>
  <c r="CZ356" i="6" s="1"/>
  <c r="DA356" i="6" s="1"/>
  <c r="DB356" i="6" s="1"/>
  <c r="DC356" i="6" s="1"/>
  <c r="DD356" i="6" s="1"/>
  <c r="DE356" i="6" s="1"/>
  <c r="V358" i="6"/>
  <c r="U358" i="6" s="1"/>
  <c r="T358" i="6" s="1"/>
  <c r="S358" i="6" s="1"/>
  <c r="R358" i="6" s="1"/>
  <c r="Q358" i="6" s="1"/>
  <c r="P358" i="6" s="1"/>
  <c r="X358" i="6"/>
  <c r="Y358" i="6" s="1"/>
  <c r="Z358" i="6" s="1"/>
  <c r="AA358" i="6" s="1"/>
  <c r="AB358" i="6" s="1"/>
  <c r="AC358" i="6" s="1"/>
  <c r="AD358" i="6" s="1"/>
  <c r="AE358" i="6" s="1"/>
  <c r="AF358" i="6" s="1"/>
  <c r="AG358" i="6" s="1"/>
  <c r="AH358" i="6" s="1"/>
  <c r="AI358" i="6" s="1"/>
  <c r="AJ358" i="6" s="1"/>
  <c r="AK358" i="6" s="1"/>
  <c r="AL358" i="6" s="1"/>
  <c r="AM358" i="6" s="1"/>
  <c r="AN358" i="6" s="1"/>
  <c r="AO358" i="6" s="1"/>
  <c r="AP358" i="6" s="1"/>
  <c r="AQ358" i="6" s="1"/>
  <c r="AR358" i="6" s="1"/>
  <c r="AS358" i="6" s="1"/>
  <c r="AT358" i="6" s="1"/>
  <c r="AU358" i="6" s="1"/>
  <c r="AV358" i="6" s="1"/>
  <c r="AW358" i="6" s="1"/>
  <c r="AX358" i="6" s="1"/>
  <c r="AY358" i="6" s="1"/>
  <c r="AZ358" i="6" s="1"/>
  <c r="BA358" i="6" s="1"/>
  <c r="BB358" i="6" s="1"/>
  <c r="BC358" i="6" s="1"/>
  <c r="BD358" i="6" s="1"/>
  <c r="BE358" i="6" s="1"/>
  <c r="BF358" i="6" s="1"/>
  <c r="BG358" i="6" s="1"/>
  <c r="BH358" i="6" s="1"/>
  <c r="BI358" i="6" s="1"/>
  <c r="BJ358" i="6" s="1"/>
  <c r="BK358" i="6" s="1"/>
  <c r="BL358" i="6" s="1"/>
  <c r="BM358" i="6" s="1"/>
  <c r="BN358" i="6" s="1"/>
  <c r="BO358" i="6" s="1"/>
  <c r="BP358" i="6" s="1"/>
  <c r="BQ358" i="6" s="1"/>
  <c r="BR358" i="6" s="1"/>
  <c r="BS358" i="6" s="1"/>
  <c r="BT358" i="6" s="1"/>
  <c r="BU358" i="6" s="1"/>
  <c r="BV358" i="6" s="1"/>
  <c r="BW358" i="6" s="1"/>
  <c r="BX358" i="6" s="1"/>
  <c r="BY358" i="6" s="1"/>
  <c r="BZ358" i="6" s="1"/>
  <c r="CA358" i="6" s="1"/>
  <c r="CB358" i="6" s="1"/>
  <c r="CC358" i="6" s="1"/>
  <c r="CD358" i="6" s="1"/>
  <c r="CE358" i="6" s="1"/>
  <c r="CF358" i="6" s="1"/>
  <c r="CG358" i="6" s="1"/>
  <c r="CH358" i="6" s="1"/>
  <c r="CI358" i="6" s="1"/>
  <c r="CJ358" i="6" s="1"/>
  <c r="CK358" i="6" s="1"/>
  <c r="CL358" i="6" s="1"/>
  <c r="CM358" i="6" s="1"/>
  <c r="CN358" i="6" s="1"/>
  <c r="CO358" i="6" s="1"/>
  <c r="CP358" i="6" s="1"/>
  <c r="CQ358" i="6" s="1"/>
  <c r="CR358" i="6" s="1"/>
  <c r="CS358" i="6" s="1"/>
  <c r="CT358" i="6" s="1"/>
  <c r="CU358" i="6" s="1"/>
  <c r="CV358" i="6" s="1"/>
  <c r="CW358" i="6" s="1"/>
  <c r="CX358" i="6" s="1"/>
  <c r="CY358" i="6" s="1"/>
  <c r="CZ358" i="6" s="1"/>
  <c r="DA358" i="6" s="1"/>
  <c r="DB358" i="6" s="1"/>
  <c r="DC358" i="6" s="1"/>
  <c r="DD358" i="6" s="1"/>
  <c r="DE358" i="6" s="1"/>
  <c r="K3" i="6"/>
  <c r="K7" i="6"/>
  <c r="L7" i="6" s="1"/>
  <c r="M7" i="6" s="1"/>
  <c r="N7" i="6" s="1"/>
  <c r="K27" i="6"/>
  <c r="P31" i="6"/>
  <c r="O31" i="6" s="1"/>
  <c r="N31" i="6" s="1"/>
  <c r="R31" i="6"/>
  <c r="K33" i="6"/>
  <c r="L35" i="6"/>
  <c r="K35" i="6" s="1"/>
  <c r="J35" i="6" s="1"/>
  <c r="N35" i="6"/>
  <c r="L37" i="6"/>
  <c r="K37" i="6" s="1"/>
  <c r="J37" i="6" s="1"/>
  <c r="N37" i="6"/>
  <c r="K41" i="6"/>
  <c r="L41" i="6" s="1"/>
  <c r="M41" i="6" s="1"/>
  <c r="N41" i="6" s="1"/>
  <c r="K43" i="6"/>
  <c r="L43" i="6" s="1"/>
  <c r="M43" i="6" s="1"/>
  <c r="N43" i="6" s="1"/>
  <c r="K51" i="6"/>
  <c r="L51" i="6" s="1"/>
  <c r="M51" i="6" s="1"/>
  <c r="N51" i="6" s="1"/>
  <c r="K53" i="6"/>
  <c r="L53" i="6" s="1"/>
  <c r="M53" i="6" s="1"/>
  <c r="N53" i="6" s="1"/>
  <c r="K61" i="6"/>
  <c r="K69" i="6"/>
  <c r="K94" i="6"/>
  <c r="K126" i="6"/>
  <c r="L126" i="6" s="1"/>
  <c r="M126" i="6" s="1"/>
  <c r="N126" i="6" s="1"/>
  <c r="K130" i="6"/>
  <c r="K132" i="6"/>
  <c r="L132" i="6" s="1"/>
  <c r="M132" i="6" s="1"/>
  <c r="N132" i="6" s="1"/>
  <c r="K134" i="6"/>
  <c r="L134" i="6" s="1"/>
  <c r="M134" i="6" s="1"/>
  <c r="N134" i="6" s="1"/>
  <c r="K209" i="6"/>
  <c r="K265" i="6"/>
  <c r="K271" i="6"/>
  <c r="L271" i="6" s="1"/>
  <c r="K279" i="6"/>
  <c r="L279" i="6" s="1"/>
  <c r="M279" i="6" s="1"/>
  <c r="N279" i="6" s="1"/>
  <c r="K289" i="6"/>
  <c r="K291" i="6"/>
  <c r="K299" i="6"/>
  <c r="L299" i="6" s="1"/>
  <c r="M299" i="6" s="1"/>
  <c r="N299" i="6" s="1"/>
  <c r="K303" i="6"/>
  <c r="L303" i="6" s="1"/>
  <c r="M303" i="6" s="1"/>
  <c r="N303" i="6" s="1"/>
  <c r="K346" i="6"/>
  <c r="L346" i="6" s="1"/>
  <c r="M346" i="6" s="1"/>
  <c r="N346" i="6" s="1"/>
  <c r="K354" i="6"/>
  <c r="K11" i="6"/>
  <c r="L11" i="6" s="1"/>
  <c r="M11" i="6" s="1"/>
  <c r="N11" i="6" s="1"/>
  <c r="K13" i="6"/>
  <c r="L13" i="6" s="1"/>
  <c r="M13" i="6" s="1"/>
  <c r="N13" i="6" s="1"/>
  <c r="K15" i="6"/>
  <c r="L15" i="6" s="1"/>
  <c r="M15" i="6" s="1"/>
  <c r="N15" i="6" s="1"/>
  <c r="K17" i="6"/>
  <c r="L17" i="6" s="1"/>
  <c r="M17" i="6" s="1"/>
  <c r="N17" i="6" s="1"/>
  <c r="K19" i="6"/>
  <c r="L19" i="6" s="1"/>
  <c r="M19" i="6" s="1"/>
  <c r="N19" i="6" s="1"/>
  <c r="K21" i="6"/>
  <c r="L21" i="6" s="1"/>
  <c r="M21" i="6" s="1"/>
  <c r="N21" i="6" s="1"/>
  <c r="U29" i="6"/>
  <c r="T29" i="6" s="1"/>
  <c r="S29" i="6" s="1"/>
  <c r="R29" i="6" s="1"/>
  <c r="Q29" i="6" s="1"/>
  <c r="P29" i="6" s="1"/>
  <c r="O29" i="6" s="1"/>
  <c r="W29" i="6"/>
  <c r="X29" i="6" s="1"/>
  <c r="Y29" i="6" s="1"/>
  <c r="Z29" i="6" s="1"/>
  <c r="AA29" i="6" s="1"/>
  <c r="AB29" i="6" s="1"/>
  <c r="AC29" i="6" s="1"/>
  <c r="AD29" i="6" s="1"/>
  <c r="AE29" i="6" s="1"/>
  <c r="AF29" i="6" s="1"/>
  <c r="AG29" i="6" s="1"/>
  <c r="AH29" i="6" s="1"/>
  <c r="AI29" i="6" s="1"/>
  <c r="AJ29" i="6" s="1"/>
  <c r="AK29" i="6" s="1"/>
  <c r="AL29" i="6" s="1"/>
  <c r="AM29" i="6" s="1"/>
  <c r="AN29" i="6" s="1"/>
  <c r="AO29" i="6" s="1"/>
  <c r="AP29" i="6" s="1"/>
  <c r="AQ29" i="6" s="1"/>
  <c r="AR29" i="6" s="1"/>
  <c r="AS29" i="6" s="1"/>
  <c r="AT29" i="6" s="1"/>
  <c r="AU29" i="6" s="1"/>
  <c r="AV29" i="6" s="1"/>
  <c r="AW29" i="6" s="1"/>
  <c r="AX29" i="6" s="1"/>
  <c r="AY29" i="6" s="1"/>
  <c r="AZ29" i="6" s="1"/>
  <c r="BA29" i="6" s="1"/>
  <c r="BB29" i="6" s="1"/>
  <c r="BC29" i="6" s="1"/>
  <c r="BD29" i="6" s="1"/>
  <c r="BE29" i="6" s="1"/>
  <c r="BF29" i="6" s="1"/>
  <c r="BG29" i="6" s="1"/>
  <c r="BH29" i="6" s="1"/>
  <c r="BI29" i="6" s="1"/>
  <c r="BJ29" i="6" s="1"/>
  <c r="BK29" i="6" s="1"/>
  <c r="BL29" i="6" s="1"/>
  <c r="BM29" i="6" s="1"/>
  <c r="BN29" i="6" s="1"/>
  <c r="BO29" i="6" s="1"/>
  <c r="BP29" i="6" s="1"/>
  <c r="BQ29" i="6" s="1"/>
  <c r="BR29" i="6" s="1"/>
  <c r="BS29" i="6" s="1"/>
  <c r="BT29" i="6" s="1"/>
  <c r="BU29" i="6" s="1"/>
  <c r="BV29" i="6" s="1"/>
  <c r="BW29" i="6" s="1"/>
  <c r="BX29" i="6" s="1"/>
  <c r="BY29" i="6" s="1"/>
  <c r="BZ29" i="6" s="1"/>
  <c r="CA29" i="6" s="1"/>
  <c r="CB29" i="6" s="1"/>
  <c r="CC29" i="6" s="1"/>
  <c r="CD29" i="6" s="1"/>
  <c r="CE29" i="6" s="1"/>
  <c r="CF29" i="6" s="1"/>
  <c r="CG29" i="6" s="1"/>
  <c r="CH29" i="6" s="1"/>
  <c r="CI29" i="6" s="1"/>
  <c r="CJ29" i="6" s="1"/>
  <c r="CK29" i="6" s="1"/>
  <c r="CL29" i="6" s="1"/>
  <c r="CM29" i="6" s="1"/>
  <c r="CN29" i="6" s="1"/>
  <c r="CO29" i="6" s="1"/>
  <c r="CP29" i="6" s="1"/>
  <c r="CQ29" i="6" s="1"/>
  <c r="CR29" i="6" s="1"/>
  <c r="CS29" i="6" s="1"/>
  <c r="CT29" i="6" s="1"/>
  <c r="CU29" i="6" s="1"/>
  <c r="CV29" i="6" s="1"/>
  <c r="CW29" i="6" s="1"/>
  <c r="CX29" i="6" s="1"/>
  <c r="CY29" i="6" s="1"/>
  <c r="CZ29" i="6" s="1"/>
  <c r="DA29" i="6" s="1"/>
  <c r="DB29" i="6" s="1"/>
  <c r="DC29" i="6" s="1"/>
  <c r="DD29" i="6" s="1"/>
  <c r="DE29" i="6" s="1"/>
  <c r="U45" i="6"/>
  <c r="T45" i="6" s="1"/>
  <c r="S45" i="6" s="1"/>
  <c r="R45" i="6" s="1"/>
  <c r="Q45" i="6" s="1"/>
  <c r="P45" i="6" s="1"/>
  <c r="O45" i="6" s="1"/>
  <c r="N45" i="6" s="1"/>
  <c r="M45" i="6" s="1"/>
  <c r="L45" i="6" s="1"/>
  <c r="K45" i="6" s="1"/>
  <c r="J45" i="6" s="1"/>
  <c r="W45" i="6"/>
  <c r="X45" i="6" s="1"/>
  <c r="Y45" i="6" s="1"/>
  <c r="Z45" i="6" s="1"/>
  <c r="AA45" i="6" s="1"/>
  <c r="AB45" i="6" s="1"/>
  <c r="AC45" i="6" s="1"/>
  <c r="AD45" i="6" s="1"/>
  <c r="AE45" i="6" s="1"/>
  <c r="AF45" i="6" s="1"/>
  <c r="AG45" i="6" s="1"/>
  <c r="AH45" i="6" s="1"/>
  <c r="AI45" i="6" s="1"/>
  <c r="AJ45" i="6" s="1"/>
  <c r="AK45" i="6" s="1"/>
  <c r="AL45" i="6" s="1"/>
  <c r="AM45" i="6" s="1"/>
  <c r="AN45" i="6" s="1"/>
  <c r="AO45" i="6" s="1"/>
  <c r="AP45" i="6" s="1"/>
  <c r="AQ45" i="6" s="1"/>
  <c r="AR45" i="6" s="1"/>
  <c r="AS45" i="6" s="1"/>
  <c r="AT45" i="6" s="1"/>
  <c r="AU45" i="6" s="1"/>
  <c r="AV45" i="6" s="1"/>
  <c r="AW45" i="6" s="1"/>
  <c r="AX45" i="6" s="1"/>
  <c r="AY45" i="6" s="1"/>
  <c r="AZ45" i="6" s="1"/>
  <c r="BA45" i="6" s="1"/>
  <c r="BB45" i="6" s="1"/>
  <c r="BC45" i="6" s="1"/>
  <c r="BD45" i="6" s="1"/>
  <c r="BE45" i="6" s="1"/>
  <c r="BF45" i="6" s="1"/>
  <c r="BG45" i="6" s="1"/>
  <c r="BH45" i="6" s="1"/>
  <c r="BI45" i="6" s="1"/>
  <c r="BJ45" i="6" s="1"/>
  <c r="BK45" i="6" s="1"/>
  <c r="BL45" i="6" s="1"/>
  <c r="BM45" i="6" s="1"/>
  <c r="BN45" i="6" s="1"/>
  <c r="BO45" i="6" s="1"/>
  <c r="BP45" i="6" s="1"/>
  <c r="BQ45" i="6" s="1"/>
  <c r="BR45" i="6" s="1"/>
  <c r="BS45" i="6" s="1"/>
  <c r="BT45" i="6" s="1"/>
  <c r="BU45" i="6" s="1"/>
  <c r="BV45" i="6" s="1"/>
  <c r="BW45" i="6" s="1"/>
  <c r="BX45" i="6" s="1"/>
  <c r="BY45" i="6" s="1"/>
  <c r="BZ45" i="6" s="1"/>
  <c r="CA45" i="6" s="1"/>
  <c r="CB45" i="6" s="1"/>
  <c r="CC45" i="6" s="1"/>
  <c r="CD45" i="6" s="1"/>
  <c r="CE45" i="6" s="1"/>
  <c r="CF45" i="6" s="1"/>
  <c r="CG45" i="6" s="1"/>
  <c r="CH45" i="6" s="1"/>
  <c r="CI45" i="6" s="1"/>
  <c r="CJ45" i="6" s="1"/>
  <c r="CK45" i="6" s="1"/>
  <c r="CL45" i="6" s="1"/>
  <c r="CM45" i="6" s="1"/>
  <c r="CN45" i="6" s="1"/>
  <c r="CO45" i="6" s="1"/>
  <c r="CP45" i="6" s="1"/>
  <c r="CQ45" i="6" s="1"/>
  <c r="CR45" i="6" s="1"/>
  <c r="CS45" i="6" s="1"/>
  <c r="CT45" i="6" s="1"/>
  <c r="CU45" i="6" s="1"/>
  <c r="CV45" i="6" s="1"/>
  <c r="CW45" i="6" s="1"/>
  <c r="CX45" i="6" s="1"/>
  <c r="CY45" i="6" s="1"/>
  <c r="CZ45" i="6" s="1"/>
  <c r="DA45" i="6" s="1"/>
  <c r="DB45" i="6" s="1"/>
  <c r="DC45" i="6" s="1"/>
  <c r="DD45" i="6" s="1"/>
  <c r="DE45" i="6" s="1"/>
  <c r="K47" i="6"/>
  <c r="L47" i="6" s="1"/>
  <c r="M47" i="6" s="1"/>
  <c r="N47" i="6" s="1"/>
  <c r="K98" i="6"/>
  <c r="L98" i="6" s="1"/>
  <c r="M98" i="6" s="1"/>
  <c r="N98" i="6" s="1"/>
  <c r="K104" i="6"/>
  <c r="L104" i="6" s="1"/>
  <c r="M104" i="6" s="1"/>
  <c r="N104" i="6" s="1"/>
  <c r="K108" i="6"/>
  <c r="K110" i="6"/>
  <c r="K112" i="6"/>
  <c r="K114" i="6"/>
  <c r="K118" i="6"/>
  <c r="L118" i="6" s="1"/>
  <c r="M118" i="6" s="1"/>
  <c r="N118" i="6" s="1"/>
  <c r="K122" i="6"/>
  <c r="K150" i="6"/>
  <c r="L150" i="6" s="1"/>
  <c r="M150" i="6" s="1"/>
  <c r="N150" i="6" s="1"/>
  <c r="K152" i="6"/>
  <c r="L152" i="6" s="1"/>
  <c r="M152" i="6" s="1"/>
  <c r="N152" i="6" s="1"/>
  <c r="K154" i="6"/>
  <c r="L154" i="6" s="1"/>
  <c r="M154" i="6" s="1"/>
  <c r="N154" i="6" s="1"/>
  <c r="K156" i="6"/>
  <c r="L156" i="6" s="1"/>
  <c r="M156" i="6" s="1"/>
  <c r="N156" i="6" s="1"/>
  <c r="K160" i="6"/>
  <c r="L160" i="6" s="1"/>
  <c r="M160" i="6" s="1"/>
  <c r="N160" i="6" s="1"/>
  <c r="K199" i="6"/>
  <c r="K201" i="6"/>
  <c r="K203" i="6"/>
  <c r="K213" i="6"/>
  <c r="L213" i="6" s="1"/>
  <c r="M213" i="6" s="1"/>
  <c r="N213" i="6" s="1"/>
  <c r="K215" i="6"/>
  <c r="K221" i="6"/>
  <c r="L221" i="6" s="1"/>
  <c r="M221" i="6" s="1"/>
  <c r="N221" i="6" s="1"/>
  <c r="K223" i="6"/>
  <c r="L223" i="6" s="1"/>
  <c r="M223" i="6" s="1"/>
  <c r="N223" i="6" s="1"/>
  <c r="K225" i="6"/>
  <c r="L225" i="6" s="1"/>
  <c r="M225" i="6" s="1"/>
  <c r="N225" i="6" s="1"/>
  <c r="K229" i="6"/>
  <c r="L229" i="6" s="1"/>
  <c r="K231" i="6"/>
  <c r="L231" i="6" s="1"/>
  <c r="M231" i="6" s="1"/>
  <c r="N231" i="6" s="1"/>
  <c r="K237" i="6"/>
  <c r="K239" i="6"/>
  <c r="K245" i="6"/>
  <c r="K247" i="6"/>
  <c r="K249" i="6"/>
  <c r="K269" i="6"/>
  <c r="L269" i="6" s="1"/>
  <c r="M269" i="6" s="1"/>
  <c r="K273" i="6"/>
  <c r="L273" i="6" s="1"/>
  <c r="M273" i="6" s="1"/>
  <c r="N273" i="6" s="1"/>
  <c r="K360" i="6"/>
  <c r="K362" i="6"/>
  <c r="L362" i="6" s="1"/>
  <c r="K364" i="6"/>
  <c r="H263" i="6"/>
  <c r="H55" i="6"/>
  <c r="H233" i="6"/>
  <c r="J25" i="6"/>
  <c r="J235" i="6"/>
  <c r="H271" i="6"/>
  <c r="J277" i="6"/>
  <c r="K5" i="6"/>
  <c r="L5" i="6" s="1"/>
  <c r="M5" i="6" s="1"/>
  <c r="N5" i="6" s="1"/>
  <c r="H9" i="6"/>
  <c r="H45" i="6"/>
  <c r="J57" i="6"/>
  <c r="K59" i="6"/>
  <c r="K100" i="6"/>
  <c r="K106" i="6"/>
  <c r="K128" i="6"/>
  <c r="L128" i="6" s="1"/>
  <c r="M128" i="6" s="1"/>
  <c r="N128" i="6" s="1"/>
  <c r="K3" i="5"/>
  <c r="Q3" i="4"/>
  <c r="H61" i="4"/>
  <c r="K3" i="4"/>
  <c r="BO72" i="1"/>
  <c r="K49" i="6"/>
  <c r="L49" i="6" s="1"/>
  <c r="M49" i="6" s="1"/>
  <c r="N49" i="6" s="1"/>
  <c r="K9" i="6"/>
  <c r="L9" i="6" s="1"/>
  <c r="M9" i="6" s="1"/>
  <c r="N9" i="6" s="1"/>
  <c r="K55" i="6"/>
  <c r="L55" i="6" s="1"/>
  <c r="M55" i="6" s="1"/>
  <c r="N55" i="6" s="1"/>
  <c r="K67" i="6"/>
  <c r="K102" i="6"/>
  <c r="L102" i="6" s="1"/>
  <c r="M102" i="6" s="1"/>
  <c r="N102" i="6" s="1"/>
  <c r="K116" i="6"/>
  <c r="K136" i="6"/>
  <c r="K140" i="6"/>
  <c r="K233" i="6"/>
  <c r="L233" i="6" s="1"/>
  <c r="M233" i="6" s="1"/>
  <c r="N233" i="6" s="1"/>
  <c r="L265" i="6"/>
  <c r="M265" i="6" s="1"/>
  <c r="N265" i="6" s="1"/>
  <c r="O265" i="6" s="1"/>
  <c r="P265" i="6" s="1"/>
  <c r="Q265" i="6" s="1"/>
  <c r="R265" i="6" s="1"/>
  <c r="S265" i="6" s="1"/>
  <c r="T265" i="6" s="1"/>
  <c r="U265" i="6" s="1"/>
  <c r="V265" i="6" s="1"/>
  <c r="W265" i="6" s="1"/>
  <c r="X265" i="6" s="1"/>
  <c r="Y265" i="6" s="1"/>
  <c r="Z265" i="6" s="1"/>
  <c r="AA265" i="6" s="1"/>
  <c r="AB265" i="6" s="1"/>
  <c r="AC265" i="6" s="1"/>
  <c r="AD265" i="6" s="1"/>
  <c r="AE265" i="6" s="1"/>
  <c r="AF265" i="6" s="1"/>
  <c r="AG265" i="6" s="1"/>
  <c r="AH265" i="6" s="1"/>
  <c r="AI265" i="6" s="1"/>
  <c r="AJ265" i="6" s="1"/>
  <c r="AK265" i="6" s="1"/>
  <c r="AL265" i="6" s="1"/>
  <c r="AM265" i="6" s="1"/>
  <c r="AN265" i="6" s="1"/>
  <c r="AO265" i="6" s="1"/>
  <c r="AP265" i="6" s="1"/>
  <c r="AQ265" i="6" s="1"/>
  <c r="AR265" i="6" s="1"/>
  <c r="AS265" i="6" s="1"/>
  <c r="AT265" i="6" s="1"/>
  <c r="AU265" i="6" s="1"/>
  <c r="AV265" i="6" s="1"/>
  <c r="AW265" i="6" s="1"/>
  <c r="AX265" i="6" s="1"/>
  <c r="AY265" i="6" s="1"/>
  <c r="AZ265" i="6" s="1"/>
  <c r="BA265" i="6" s="1"/>
  <c r="BB265" i="6" s="1"/>
  <c r="BC265" i="6" s="1"/>
  <c r="BD265" i="6" s="1"/>
  <c r="BE265" i="6" s="1"/>
  <c r="BF265" i="6" s="1"/>
  <c r="BG265" i="6" s="1"/>
  <c r="BH265" i="6" s="1"/>
  <c r="BI265" i="6" s="1"/>
  <c r="BJ265" i="6" s="1"/>
  <c r="BK265" i="6" s="1"/>
  <c r="BL265" i="6" s="1"/>
  <c r="BM265" i="6" s="1"/>
  <c r="BN265" i="6" s="1"/>
  <c r="BO265" i="6" s="1"/>
  <c r="BP265" i="6" s="1"/>
  <c r="BQ265" i="6" s="1"/>
  <c r="BR265" i="6" s="1"/>
  <c r="BS265" i="6" s="1"/>
  <c r="BT265" i="6" s="1"/>
  <c r="BU265" i="6" s="1"/>
  <c r="BV265" i="6" s="1"/>
  <c r="BW265" i="6" s="1"/>
  <c r="BX265" i="6" s="1"/>
  <c r="BY265" i="6" s="1"/>
  <c r="BZ265" i="6" s="1"/>
  <c r="CA265" i="6" s="1"/>
  <c r="CB265" i="6" s="1"/>
  <c r="CC265" i="6" s="1"/>
  <c r="CD265" i="6" s="1"/>
  <c r="CE265" i="6" s="1"/>
  <c r="CF265" i="6" s="1"/>
  <c r="CG265" i="6" s="1"/>
  <c r="CH265" i="6" s="1"/>
  <c r="CI265" i="6" s="1"/>
  <c r="CJ265" i="6" s="1"/>
  <c r="CK265" i="6" s="1"/>
  <c r="CL265" i="6" s="1"/>
  <c r="CM265" i="6" s="1"/>
  <c r="CN265" i="6" s="1"/>
  <c r="CO265" i="6" s="1"/>
  <c r="CP265" i="6" s="1"/>
  <c r="CQ265" i="6" s="1"/>
  <c r="CR265" i="6" s="1"/>
  <c r="CS265" i="6" s="1"/>
  <c r="CT265" i="6" s="1"/>
  <c r="CU265" i="6" s="1"/>
  <c r="CV265" i="6" s="1"/>
  <c r="CW265" i="6" s="1"/>
  <c r="CX265" i="6" s="1"/>
  <c r="CY265" i="6" s="1"/>
  <c r="CZ265" i="6" s="1"/>
  <c r="DA265" i="6" s="1"/>
  <c r="DB265" i="6" s="1"/>
  <c r="DC265" i="6" s="1"/>
  <c r="DD265" i="6" s="1"/>
  <c r="DE265" i="6" s="1"/>
  <c r="K295" i="6"/>
  <c r="L295" i="6" s="1"/>
  <c r="M295" i="6" s="1"/>
  <c r="N295" i="6" s="1"/>
  <c r="K301" i="6"/>
  <c r="L301" i="6" s="1"/>
  <c r="M301" i="6" s="1"/>
  <c r="N301" i="6" s="1"/>
  <c r="K39" i="6"/>
  <c r="L39" i="6" s="1"/>
  <c r="M39" i="6" s="1"/>
  <c r="N39" i="6" s="1"/>
  <c r="K63" i="6"/>
  <c r="L63" i="6" s="1"/>
  <c r="M63" i="6" s="1"/>
  <c r="N63" i="6" s="1"/>
  <c r="K138" i="6"/>
  <c r="K142" i="6"/>
  <c r="L142" i="6" s="1"/>
  <c r="M142" i="6" s="1"/>
  <c r="K217" i="6"/>
  <c r="K267" i="6"/>
  <c r="L267" i="6" s="1"/>
  <c r="K275" i="6"/>
  <c r="L275" i="6" s="1"/>
  <c r="M275" i="6" s="1"/>
  <c r="N275" i="6" s="1"/>
  <c r="K297" i="6"/>
  <c r="M364" i="6"/>
  <c r="N364" i="6" s="1"/>
  <c r="K243" i="6"/>
  <c r="L243" i="6" s="1"/>
  <c r="M243" i="6" s="1"/>
  <c r="N243" i="6" s="1"/>
  <c r="K287" i="6"/>
  <c r="L287" i="6" s="1"/>
  <c r="M287" i="6" s="1"/>
  <c r="N287" i="6" s="1"/>
  <c r="K293" i="6"/>
  <c r="L293" i="6" s="1"/>
  <c r="J263" i="6"/>
  <c r="K15" i="4"/>
  <c r="L15" i="4" s="1"/>
  <c r="M15" i="4" s="1"/>
  <c r="N15" i="4" s="1"/>
  <c r="O15" i="4" s="1"/>
  <c r="P15" i="4" s="1"/>
  <c r="Q15" i="4" s="1"/>
  <c r="R15" i="4" s="1"/>
  <c r="S15" i="4" s="1"/>
  <c r="T15" i="4" s="1"/>
  <c r="U15" i="4" s="1"/>
  <c r="V15" i="4" s="1"/>
  <c r="W15" i="4" s="1"/>
  <c r="X15" i="4" s="1"/>
  <c r="Y15" i="4" s="1"/>
  <c r="Z15" i="4" s="1"/>
  <c r="AA15" i="4" s="1"/>
  <c r="AB15" i="4" s="1"/>
  <c r="AC15" i="4" s="1"/>
  <c r="AD15" i="4" s="1"/>
  <c r="AE15" i="4" s="1"/>
  <c r="AF15" i="4" s="1"/>
  <c r="AG15" i="4" s="1"/>
  <c r="AH15" i="4" s="1"/>
  <c r="AI15" i="4" s="1"/>
  <c r="AJ15" i="4" s="1"/>
  <c r="AK15" i="4" s="1"/>
  <c r="AL15" i="4" s="1"/>
  <c r="AM15" i="4" s="1"/>
  <c r="AN15" i="4" s="1"/>
  <c r="AO15" i="4" s="1"/>
  <c r="AP15" i="4" s="1"/>
  <c r="AQ15" i="4" s="1"/>
  <c r="AR15" i="4" s="1"/>
  <c r="AS15" i="4" s="1"/>
  <c r="AT15" i="4" s="1"/>
  <c r="AU15" i="4" s="1"/>
  <c r="AV15" i="4" s="1"/>
  <c r="AW15" i="4" s="1"/>
  <c r="AX15" i="4" s="1"/>
  <c r="AY15" i="4" s="1"/>
  <c r="AZ15" i="4" s="1"/>
  <c r="BA15" i="4" s="1"/>
  <c r="BB15" i="4" s="1"/>
  <c r="BC15" i="4" s="1"/>
  <c r="BD15" i="4" s="1"/>
  <c r="BE15" i="4" s="1"/>
  <c r="BF15" i="4" s="1"/>
  <c r="BG15" i="4" s="1"/>
  <c r="BH15" i="4" s="1"/>
  <c r="BI15" i="4" s="1"/>
  <c r="BJ15" i="4" s="1"/>
  <c r="BK15" i="4" s="1"/>
  <c r="BL15" i="4" s="1"/>
  <c r="BM15" i="4" s="1"/>
  <c r="BN15" i="4" s="1"/>
  <c r="BO15" i="4" s="1"/>
  <c r="BP15" i="4" s="1"/>
  <c r="BQ15" i="4" s="1"/>
  <c r="BR15" i="4" s="1"/>
  <c r="BS15" i="4" s="1"/>
  <c r="BT15" i="4" s="1"/>
  <c r="BU15" i="4" s="1"/>
  <c r="BV15" i="4" s="1"/>
  <c r="BW15" i="4" s="1"/>
  <c r="BX15" i="4" s="1"/>
  <c r="BY15" i="4" s="1"/>
  <c r="BZ15" i="4" s="1"/>
  <c r="CA15" i="4" s="1"/>
  <c r="CB15" i="4" s="1"/>
  <c r="CC15" i="4" s="1"/>
  <c r="CD15" i="4" s="1"/>
  <c r="CE15" i="4" s="1"/>
  <c r="CF15" i="4" s="1"/>
  <c r="CG15" i="4" s="1"/>
  <c r="CH15" i="4" s="1"/>
  <c r="CI15" i="4" s="1"/>
  <c r="CJ15" i="4" s="1"/>
  <c r="CK15" i="4" s="1"/>
  <c r="CL15" i="4" s="1"/>
  <c r="CM15" i="4" s="1"/>
  <c r="CN15" i="4" s="1"/>
  <c r="CO15" i="4" s="1"/>
  <c r="CP15" i="4" s="1"/>
  <c r="CQ15" i="4" s="1"/>
  <c r="CR15" i="4" s="1"/>
  <c r="CS15" i="4" s="1"/>
  <c r="CT15" i="4" s="1"/>
  <c r="CU15" i="4" s="1"/>
  <c r="CV15" i="4" s="1"/>
  <c r="CW15" i="4" s="1"/>
  <c r="CX15" i="4" s="1"/>
  <c r="CY15" i="4" s="1"/>
  <c r="CZ15" i="4" s="1"/>
  <c r="DA15" i="4" s="1"/>
  <c r="DB15" i="4" s="1"/>
  <c r="DC15" i="4" s="1"/>
  <c r="DD15" i="4" s="1"/>
  <c r="DE15" i="4" s="1"/>
  <c r="DF15" i="4" s="1"/>
  <c r="DG15" i="4" s="1"/>
  <c r="DH15" i="4" s="1"/>
  <c r="DI15" i="4" s="1"/>
  <c r="DJ15" i="4" s="1"/>
  <c r="DK15" i="4" s="1"/>
  <c r="DL15" i="4" s="1"/>
  <c r="DM15" i="4" s="1"/>
  <c r="DN15" i="4" s="1"/>
  <c r="DO15" i="4" s="1"/>
  <c r="DP15" i="4" s="1"/>
  <c r="DQ15" i="4" s="1"/>
  <c r="DR15" i="4" s="1"/>
  <c r="DS15" i="4" s="1"/>
  <c r="DT15" i="4" s="1"/>
  <c r="DU15" i="4" s="1"/>
  <c r="DV15" i="4" s="1"/>
  <c r="DW15" i="4" s="1"/>
  <c r="DX15" i="4" s="1"/>
  <c r="DY15" i="4" s="1"/>
  <c r="DZ15" i="4" s="1"/>
  <c r="EA15" i="4" s="1"/>
  <c r="EB15" i="4" s="1"/>
  <c r="EC15" i="4" s="1"/>
  <c r="ED15" i="4" s="1"/>
  <c r="EE15" i="4" s="1"/>
  <c r="EF15" i="4" s="1"/>
  <c r="EG15" i="4" s="1"/>
  <c r="EH15" i="4" s="1"/>
  <c r="EI15" i="4" s="1"/>
  <c r="EJ15" i="4" s="1"/>
  <c r="EK15" i="4" s="1"/>
  <c r="EL15" i="4" s="1"/>
  <c r="EM15" i="4" s="1"/>
  <c r="EN15" i="4" s="1"/>
  <c r="EO15" i="4" s="1"/>
  <c r="EP15" i="4" s="1"/>
  <c r="EQ15" i="4" s="1"/>
  <c r="ER15" i="4" s="1"/>
  <c r="ES15" i="4" s="1"/>
  <c r="J37" i="4"/>
  <c r="J49" i="4"/>
  <c r="J59" i="4"/>
  <c r="K61" i="4"/>
  <c r="L61" i="4" s="1"/>
  <c r="M61" i="4" s="1"/>
  <c r="N61" i="4" s="1"/>
  <c r="O61" i="4" s="1"/>
  <c r="P61" i="4" s="1"/>
  <c r="Q61" i="4" s="1"/>
  <c r="R61" i="4" s="1"/>
  <c r="S61" i="4" s="1"/>
  <c r="T61" i="4" s="1"/>
  <c r="U61" i="4" s="1"/>
  <c r="V61" i="4" s="1"/>
  <c r="W61" i="4" s="1"/>
  <c r="X61" i="4" s="1"/>
  <c r="Y61" i="4" s="1"/>
  <c r="Z61" i="4" s="1"/>
  <c r="AA61" i="4" s="1"/>
  <c r="AB61" i="4" s="1"/>
  <c r="AC61" i="4" s="1"/>
  <c r="AD61" i="4" s="1"/>
  <c r="AE61" i="4" s="1"/>
  <c r="AF61" i="4" s="1"/>
  <c r="AG61" i="4" s="1"/>
  <c r="AH61" i="4" s="1"/>
  <c r="AI61" i="4" s="1"/>
  <c r="AJ61" i="4" s="1"/>
  <c r="AK61" i="4" s="1"/>
  <c r="AL61" i="4" s="1"/>
  <c r="AM61" i="4" s="1"/>
  <c r="AN61" i="4" s="1"/>
  <c r="AO61" i="4" s="1"/>
  <c r="AP61" i="4" s="1"/>
  <c r="AQ61" i="4" s="1"/>
  <c r="AR61" i="4" s="1"/>
  <c r="AS61" i="4" s="1"/>
  <c r="AT61" i="4" s="1"/>
  <c r="AU61" i="4" s="1"/>
  <c r="AV61" i="4" s="1"/>
  <c r="AW61" i="4" s="1"/>
  <c r="AX61" i="4" s="1"/>
  <c r="AY61" i="4" s="1"/>
  <c r="AZ61" i="4" s="1"/>
  <c r="BA61" i="4" s="1"/>
  <c r="BB61" i="4" s="1"/>
  <c r="BC61" i="4" s="1"/>
  <c r="BD61" i="4" s="1"/>
  <c r="BE61" i="4" s="1"/>
  <c r="BF61" i="4" s="1"/>
  <c r="BG61" i="4" s="1"/>
  <c r="BH61" i="4" s="1"/>
  <c r="BI61" i="4" s="1"/>
  <c r="BJ61" i="4" s="1"/>
  <c r="BK61" i="4" s="1"/>
  <c r="BL61" i="4" s="1"/>
  <c r="BM61" i="4" s="1"/>
  <c r="BN61" i="4" s="1"/>
  <c r="BO61" i="4" s="1"/>
  <c r="BP61" i="4" s="1"/>
  <c r="BQ61" i="4" s="1"/>
  <c r="BR61" i="4" s="1"/>
  <c r="BS61" i="4" s="1"/>
  <c r="BT61" i="4" s="1"/>
  <c r="BU61" i="4" s="1"/>
  <c r="BV61" i="4" s="1"/>
  <c r="BW61" i="4" s="1"/>
  <c r="BX61" i="4" s="1"/>
  <c r="BY61" i="4" s="1"/>
  <c r="BZ61" i="4" s="1"/>
  <c r="CA61" i="4" s="1"/>
  <c r="CB61" i="4" s="1"/>
  <c r="CC61" i="4" s="1"/>
  <c r="CD61" i="4" s="1"/>
  <c r="CE61" i="4" s="1"/>
  <c r="CF61" i="4" s="1"/>
  <c r="CG61" i="4" s="1"/>
  <c r="CH61" i="4" s="1"/>
  <c r="CI61" i="4" s="1"/>
  <c r="CJ61" i="4" s="1"/>
  <c r="CK61" i="4" s="1"/>
  <c r="CL61" i="4" s="1"/>
  <c r="CM61" i="4" s="1"/>
  <c r="CN61" i="4" s="1"/>
  <c r="CO61" i="4" s="1"/>
  <c r="CP61" i="4" s="1"/>
  <c r="CQ61" i="4" s="1"/>
  <c r="CR61" i="4" s="1"/>
  <c r="CS61" i="4" s="1"/>
  <c r="CT61" i="4" s="1"/>
  <c r="CU61" i="4" s="1"/>
  <c r="CV61" i="4" s="1"/>
  <c r="CW61" i="4" s="1"/>
  <c r="CX61" i="4" s="1"/>
  <c r="CY61" i="4" s="1"/>
  <c r="CZ61" i="4" s="1"/>
  <c r="DA61" i="4" s="1"/>
  <c r="DB61" i="4" s="1"/>
  <c r="DC61" i="4" s="1"/>
  <c r="DD61" i="4" s="1"/>
  <c r="DE61" i="4" s="1"/>
  <c r="DF61" i="4" s="1"/>
  <c r="DG61" i="4" s="1"/>
  <c r="DH61" i="4" s="1"/>
  <c r="DI61" i="4" s="1"/>
  <c r="DJ61" i="4" s="1"/>
  <c r="DK61" i="4" s="1"/>
  <c r="DL61" i="4" s="1"/>
  <c r="DM61" i="4" s="1"/>
  <c r="DN61" i="4" s="1"/>
  <c r="DO61" i="4" s="1"/>
  <c r="DP61" i="4" s="1"/>
  <c r="DQ61" i="4" s="1"/>
  <c r="DR61" i="4" s="1"/>
  <c r="DS61" i="4" s="1"/>
  <c r="DT61" i="4" s="1"/>
  <c r="DU61" i="4" s="1"/>
  <c r="DV61" i="4" s="1"/>
  <c r="DW61" i="4" s="1"/>
  <c r="DX61" i="4" s="1"/>
  <c r="DY61" i="4" s="1"/>
  <c r="DZ61" i="4" s="1"/>
  <c r="EA61" i="4" s="1"/>
  <c r="EB61" i="4" s="1"/>
  <c r="EC61" i="4" s="1"/>
  <c r="ED61" i="4" s="1"/>
  <c r="EE61" i="4" s="1"/>
  <c r="EF61" i="4" s="1"/>
  <c r="EG61" i="4" s="1"/>
  <c r="EH61" i="4" s="1"/>
  <c r="EI61" i="4" s="1"/>
  <c r="EJ61" i="4" s="1"/>
  <c r="EK61" i="4" s="1"/>
  <c r="EL61" i="4" s="1"/>
  <c r="EM61" i="4" s="1"/>
  <c r="EN61" i="4" s="1"/>
  <c r="EO61" i="4" s="1"/>
  <c r="EP61" i="4" s="1"/>
  <c r="EQ61" i="4" s="1"/>
  <c r="ER61" i="4" s="1"/>
  <c r="ES61" i="4" s="1"/>
  <c r="K8" i="5" l="1"/>
  <c r="F14" i="5" s="1"/>
  <c r="ET63" i="4"/>
  <c r="ET79" i="4"/>
  <c r="ET73" i="4"/>
  <c r="ET69" i="4"/>
  <c r="ET65" i="4"/>
  <c r="ET45" i="4"/>
  <c r="ET35" i="4"/>
  <c r="ET31" i="4"/>
  <c r="ET27" i="4"/>
  <c r="ET19" i="4"/>
  <c r="ET15" i="4"/>
  <c r="ET75" i="4"/>
  <c r="JE75" i="4" s="1"/>
  <c r="ET61" i="4"/>
  <c r="ET55" i="4"/>
  <c r="ET51" i="4"/>
  <c r="ET7" i="4"/>
  <c r="ET41" i="4"/>
  <c r="ET77" i="4"/>
  <c r="JE77" i="4" s="1"/>
  <c r="ET67" i="4"/>
  <c r="ET47" i="4"/>
  <c r="ET43" i="4"/>
  <c r="ET33" i="4"/>
  <c r="ET29" i="4"/>
  <c r="ET17" i="4"/>
  <c r="ET13" i="4"/>
  <c r="ET80" i="4"/>
  <c r="ET57" i="4"/>
  <c r="ET53" i="4"/>
  <c r="ET9" i="4"/>
  <c r="AA21" i="4"/>
  <c r="AB21" i="4" s="1"/>
  <c r="AC21" i="4" s="1"/>
  <c r="AD21" i="4" s="1"/>
  <c r="AE21" i="4" s="1"/>
  <c r="AF21" i="4" s="1"/>
  <c r="AG21" i="4" s="1"/>
  <c r="AH21" i="4" s="1"/>
  <c r="AI21" i="4" s="1"/>
  <c r="AJ21" i="4" s="1"/>
  <c r="AK21" i="4" s="1"/>
  <c r="AL21" i="4" s="1"/>
  <c r="AM21" i="4" s="1"/>
  <c r="AN21" i="4" s="1"/>
  <c r="AO21" i="4" s="1"/>
  <c r="AP21" i="4" s="1"/>
  <c r="AQ21" i="4" s="1"/>
  <c r="AR21" i="4" s="1"/>
  <c r="AS21" i="4" s="1"/>
  <c r="AT21" i="4" s="1"/>
  <c r="AU21" i="4" s="1"/>
  <c r="AV21" i="4" s="1"/>
  <c r="AW21" i="4" s="1"/>
  <c r="AX21" i="4" s="1"/>
  <c r="AY21" i="4" s="1"/>
  <c r="AZ21" i="4" s="1"/>
  <c r="BA21" i="4" s="1"/>
  <c r="BB21" i="4" s="1"/>
  <c r="BC21" i="4" s="1"/>
  <c r="BD21" i="4" s="1"/>
  <c r="BE21" i="4" s="1"/>
  <c r="BF21" i="4" s="1"/>
  <c r="BG21" i="4" s="1"/>
  <c r="BH21" i="4" s="1"/>
  <c r="BI21" i="4" s="1"/>
  <c r="BJ21" i="4" s="1"/>
  <c r="BK21" i="4" s="1"/>
  <c r="BL21" i="4" s="1"/>
  <c r="BM21" i="4" s="1"/>
  <c r="BN21" i="4" s="1"/>
  <c r="BO21" i="4" s="1"/>
  <c r="BP21" i="4" s="1"/>
  <c r="BQ21" i="4" s="1"/>
  <c r="BR21" i="4" s="1"/>
  <c r="BS21" i="4" s="1"/>
  <c r="BT21" i="4" s="1"/>
  <c r="BU21" i="4" s="1"/>
  <c r="BV21" i="4" s="1"/>
  <c r="BW21" i="4" s="1"/>
  <c r="BX21" i="4" s="1"/>
  <c r="BY21" i="4" s="1"/>
  <c r="BZ21" i="4" s="1"/>
  <c r="CA21" i="4" s="1"/>
  <c r="CB21" i="4" s="1"/>
  <c r="CC21" i="4" s="1"/>
  <c r="CD21" i="4" s="1"/>
  <c r="CE21" i="4" s="1"/>
  <c r="CF21" i="4" s="1"/>
  <c r="CG21" i="4" s="1"/>
  <c r="CH21" i="4" s="1"/>
  <c r="CI21" i="4" s="1"/>
  <c r="CJ21" i="4" s="1"/>
  <c r="CK21" i="4" s="1"/>
  <c r="CL21" i="4" s="1"/>
  <c r="CM21" i="4" s="1"/>
  <c r="CN21" i="4" s="1"/>
  <c r="CO21" i="4" s="1"/>
  <c r="CP21" i="4" s="1"/>
  <c r="CQ21" i="4" s="1"/>
  <c r="CR21" i="4" s="1"/>
  <c r="CS21" i="4" s="1"/>
  <c r="CT21" i="4" s="1"/>
  <c r="CU21" i="4" s="1"/>
  <c r="CV21" i="4" s="1"/>
  <c r="CW21" i="4" s="1"/>
  <c r="CX21" i="4" s="1"/>
  <c r="CY21" i="4" s="1"/>
  <c r="CZ21" i="4" s="1"/>
  <c r="DA21" i="4" s="1"/>
  <c r="DB21" i="4" s="1"/>
  <c r="DC21" i="4" s="1"/>
  <c r="DD21" i="4" s="1"/>
  <c r="DE21" i="4" s="1"/>
  <c r="DF21" i="4" s="1"/>
  <c r="DG21" i="4" s="1"/>
  <c r="DH21" i="4" s="1"/>
  <c r="DI21" i="4" s="1"/>
  <c r="DJ21" i="4" s="1"/>
  <c r="DK21" i="4" s="1"/>
  <c r="DL21" i="4" s="1"/>
  <c r="DM21" i="4" s="1"/>
  <c r="DN21" i="4" s="1"/>
  <c r="DO21" i="4" s="1"/>
  <c r="DP21" i="4" s="1"/>
  <c r="DQ21" i="4" s="1"/>
  <c r="DR21" i="4" s="1"/>
  <c r="DS21" i="4" s="1"/>
  <c r="DT21" i="4" s="1"/>
  <c r="DU21" i="4" s="1"/>
  <c r="DV21" i="4" s="1"/>
  <c r="DW21" i="4" s="1"/>
  <c r="DX21" i="4" s="1"/>
  <c r="DY21" i="4" s="1"/>
  <c r="DZ21" i="4" s="1"/>
  <c r="EA21" i="4" s="1"/>
  <c r="EB21" i="4" s="1"/>
  <c r="EC21" i="4" s="1"/>
  <c r="ED21" i="4" s="1"/>
  <c r="EE21" i="4" s="1"/>
  <c r="EF21" i="4" s="1"/>
  <c r="EG21" i="4" s="1"/>
  <c r="EH21" i="4" s="1"/>
  <c r="EI21" i="4" s="1"/>
  <c r="EJ21" i="4" s="1"/>
  <c r="EK21" i="4" s="1"/>
  <c r="EL21" i="4" s="1"/>
  <c r="EM21" i="4" s="1"/>
  <c r="EN21" i="4" s="1"/>
  <c r="EO21" i="4" s="1"/>
  <c r="EP21" i="4" s="1"/>
  <c r="EQ21" i="4" s="1"/>
  <c r="ER21" i="4" s="1"/>
  <c r="ES21" i="4" s="1"/>
  <c r="H397" i="6"/>
  <c r="J8" i="7" s="1"/>
  <c r="DF364" i="6"/>
  <c r="DF265" i="6"/>
  <c r="DF358" i="6"/>
  <c r="DF356" i="6"/>
  <c r="DF348" i="6"/>
  <c r="DF144" i="6"/>
  <c r="DF92" i="6"/>
  <c r="L354" i="6"/>
  <c r="DF267" i="6"/>
  <c r="DF29" i="6"/>
  <c r="DF45" i="6"/>
  <c r="DF271" i="6"/>
  <c r="E88" i="4"/>
  <c r="C33" i="8"/>
  <c r="E403" i="6" s="1"/>
  <c r="G397" i="6"/>
  <c r="O287" i="6"/>
  <c r="O275" i="6"/>
  <c r="L217" i="6"/>
  <c r="M217" i="6" s="1"/>
  <c r="N217" i="6" s="1"/>
  <c r="O217" i="6" s="1"/>
  <c r="P217" i="6" s="1"/>
  <c r="Q217" i="6" s="1"/>
  <c r="R217" i="6" s="1"/>
  <c r="S217" i="6" s="1"/>
  <c r="T217" i="6" s="1"/>
  <c r="U217" i="6" s="1"/>
  <c r="V217" i="6" s="1"/>
  <c r="W217" i="6" s="1"/>
  <c r="X217" i="6" s="1"/>
  <c r="Y217" i="6" s="1"/>
  <c r="Z217" i="6" s="1"/>
  <c r="AA217" i="6" s="1"/>
  <c r="AB217" i="6" s="1"/>
  <c r="AC217" i="6" s="1"/>
  <c r="AD217" i="6" s="1"/>
  <c r="AE217" i="6" s="1"/>
  <c r="AF217" i="6" s="1"/>
  <c r="AG217" i="6" s="1"/>
  <c r="AH217" i="6" s="1"/>
  <c r="AI217" i="6" s="1"/>
  <c r="AJ217" i="6" s="1"/>
  <c r="AK217" i="6" s="1"/>
  <c r="AL217" i="6" s="1"/>
  <c r="AM217" i="6" s="1"/>
  <c r="AN217" i="6" s="1"/>
  <c r="AO217" i="6" s="1"/>
  <c r="AP217" i="6" s="1"/>
  <c r="AQ217" i="6" s="1"/>
  <c r="AR217" i="6" s="1"/>
  <c r="AS217" i="6" s="1"/>
  <c r="AT217" i="6" s="1"/>
  <c r="AU217" i="6" s="1"/>
  <c r="AV217" i="6" s="1"/>
  <c r="AW217" i="6" s="1"/>
  <c r="AX217" i="6" s="1"/>
  <c r="AY217" i="6" s="1"/>
  <c r="AZ217" i="6" s="1"/>
  <c r="BA217" i="6" s="1"/>
  <c r="BB217" i="6" s="1"/>
  <c r="BC217" i="6" s="1"/>
  <c r="BD217" i="6" s="1"/>
  <c r="BE217" i="6" s="1"/>
  <c r="BF217" i="6" s="1"/>
  <c r="BG217" i="6" s="1"/>
  <c r="BH217" i="6" s="1"/>
  <c r="BI217" i="6" s="1"/>
  <c r="BJ217" i="6" s="1"/>
  <c r="BK217" i="6" s="1"/>
  <c r="BL217" i="6" s="1"/>
  <c r="BM217" i="6" s="1"/>
  <c r="BN217" i="6" s="1"/>
  <c r="BO217" i="6" s="1"/>
  <c r="BP217" i="6" s="1"/>
  <c r="BQ217" i="6" s="1"/>
  <c r="BR217" i="6" s="1"/>
  <c r="BS217" i="6" s="1"/>
  <c r="BT217" i="6" s="1"/>
  <c r="BU217" i="6" s="1"/>
  <c r="BV217" i="6" s="1"/>
  <c r="BW217" i="6" s="1"/>
  <c r="BX217" i="6" s="1"/>
  <c r="BY217" i="6" s="1"/>
  <c r="BZ217" i="6" s="1"/>
  <c r="CA217" i="6" s="1"/>
  <c r="CB217" i="6" s="1"/>
  <c r="CC217" i="6" s="1"/>
  <c r="CD217" i="6" s="1"/>
  <c r="CE217" i="6" s="1"/>
  <c r="CF217" i="6" s="1"/>
  <c r="CG217" i="6" s="1"/>
  <c r="CH217" i="6" s="1"/>
  <c r="CI217" i="6" s="1"/>
  <c r="CJ217" i="6" s="1"/>
  <c r="CK217" i="6" s="1"/>
  <c r="CL217" i="6" s="1"/>
  <c r="CM217" i="6" s="1"/>
  <c r="CN217" i="6" s="1"/>
  <c r="CO217" i="6" s="1"/>
  <c r="CP217" i="6" s="1"/>
  <c r="CQ217" i="6" s="1"/>
  <c r="CR217" i="6" s="1"/>
  <c r="CS217" i="6" s="1"/>
  <c r="CT217" i="6" s="1"/>
  <c r="CU217" i="6" s="1"/>
  <c r="CV217" i="6" s="1"/>
  <c r="CW217" i="6" s="1"/>
  <c r="CX217" i="6" s="1"/>
  <c r="CY217" i="6" s="1"/>
  <c r="CZ217" i="6" s="1"/>
  <c r="DA217" i="6" s="1"/>
  <c r="DB217" i="6" s="1"/>
  <c r="DC217" i="6" s="1"/>
  <c r="DD217" i="6" s="1"/>
  <c r="DE217" i="6" s="1"/>
  <c r="L138" i="6"/>
  <c r="M138" i="6" s="1"/>
  <c r="N138" i="6" s="1"/>
  <c r="O138" i="6" s="1"/>
  <c r="P138" i="6" s="1"/>
  <c r="Q138" i="6" s="1"/>
  <c r="R138" i="6" s="1"/>
  <c r="S138" i="6" s="1"/>
  <c r="T138" i="6" s="1"/>
  <c r="U138" i="6" s="1"/>
  <c r="V138" i="6" s="1"/>
  <c r="W138" i="6" s="1"/>
  <c r="X138" i="6" s="1"/>
  <c r="Y138" i="6" s="1"/>
  <c r="Z138" i="6" s="1"/>
  <c r="AA138" i="6" s="1"/>
  <c r="AB138" i="6" s="1"/>
  <c r="AC138" i="6" s="1"/>
  <c r="AD138" i="6" s="1"/>
  <c r="AE138" i="6" s="1"/>
  <c r="AF138" i="6" s="1"/>
  <c r="AG138" i="6" s="1"/>
  <c r="AH138" i="6" s="1"/>
  <c r="AI138" i="6" s="1"/>
  <c r="AJ138" i="6" s="1"/>
  <c r="AK138" i="6" s="1"/>
  <c r="AL138" i="6" s="1"/>
  <c r="AM138" i="6" s="1"/>
  <c r="AN138" i="6" s="1"/>
  <c r="AO138" i="6" s="1"/>
  <c r="AP138" i="6" s="1"/>
  <c r="AQ138" i="6" s="1"/>
  <c r="AR138" i="6" s="1"/>
  <c r="AS138" i="6" s="1"/>
  <c r="AT138" i="6" s="1"/>
  <c r="AU138" i="6" s="1"/>
  <c r="AV138" i="6" s="1"/>
  <c r="AW138" i="6" s="1"/>
  <c r="AX138" i="6" s="1"/>
  <c r="AY138" i="6" s="1"/>
  <c r="AZ138" i="6" s="1"/>
  <c r="BA138" i="6" s="1"/>
  <c r="BB138" i="6" s="1"/>
  <c r="BC138" i="6" s="1"/>
  <c r="BD138" i="6" s="1"/>
  <c r="BE138" i="6" s="1"/>
  <c r="BF138" i="6" s="1"/>
  <c r="BG138" i="6" s="1"/>
  <c r="BH138" i="6" s="1"/>
  <c r="BI138" i="6" s="1"/>
  <c r="BJ138" i="6" s="1"/>
  <c r="BK138" i="6" s="1"/>
  <c r="BL138" i="6" s="1"/>
  <c r="BM138" i="6" s="1"/>
  <c r="BN138" i="6" s="1"/>
  <c r="BO138" i="6" s="1"/>
  <c r="BP138" i="6" s="1"/>
  <c r="BQ138" i="6" s="1"/>
  <c r="BR138" i="6" s="1"/>
  <c r="BS138" i="6" s="1"/>
  <c r="BT138" i="6" s="1"/>
  <c r="BU138" i="6" s="1"/>
  <c r="BV138" i="6" s="1"/>
  <c r="BW138" i="6" s="1"/>
  <c r="BX138" i="6" s="1"/>
  <c r="BY138" i="6" s="1"/>
  <c r="BZ138" i="6" s="1"/>
  <c r="CA138" i="6" s="1"/>
  <c r="CB138" i="6" s="1"/>
  <c r="CC138" i="6" s="1"/>
  <c r="CD138" i="6" s="1"/>
  <c r="CE138" i="6" s="1"/>
  <c r="CF138" i="6" s="1"/>
  <c r="CG138" i="6" s="1"/>
  <c r="CH138" i="6" s="1"/>
  <c r="CI138" i="6" s="1"/>
  <c r="CJ138" i="6" s="1"/>
  <c r="CK138" i="6" s="1"/>
  <c r="CL138" i="6" s="1"/>
  <c r="CM138" i="6" s="1"/>
  <c r="CN138" i="6" s="1"/>
  <c r="CO138" i="6" s="1"/>
  <c r="CP138" i="6" s="1"/>
  <c r="CQ138" i="6" s="1"/>
  <c r="CR138" i="6" s="1"/>
  <c r="CS138" i="6" s="1"/>
  <c r="CT138" i="6" s="1"/>
  <c r="CU138" i="6" s="1"/>
  <c r="CV138" i="6" s="1"/>
  <c r="CW138" i="6" s="1"/>
  <c r="CX138" i="6" s="1"/>
  <c r="CY138" i="6" s="1"/>
  <c r="CZ138" i="6" s="1"/>
  <c r="DA138" i="6" s="1"/>
  <c r="DB138" i="6" s="1"/>
  <c r="DC138" i="6" s="1"/>
  <c r="DD138" i="6" s="1"/>
  <c r="DE138" i="6" s="1"/>
  <c r="O39" i="6"/>
  <c r="O295" i="6"/>
  <c r="O233" i="6"/>
  <c r="L136" i="6"/>
  <c r="O102" i="6"/>
  <c r="O55" i="6"/>
  <c r="P55" i="6" s="1"/>
  <c r="Q55" i="6" s="1"/>
  <c r="R55" i="6" s="1"/>
  <c r="S55" i="6" s="1"/>
  <c r="T55" i="6" s="1"/>
  <c r="U55" i="6" s="1"/>
  <c r="V55" i="6" s="1"/>
  <c r="W55" i="6" s="1"/>
  <c r="X55" i="6" s="1"/>
  <c r="Y55" i="6" s="1"/>
  <c r="Z55" i="6" s="1"/>
  <c r="AA55" i="6" s="1"/>
  <c r="AB55" i="6" s="1"/>
  <c r="AC55" i="6" s="1"/>
  <c r="AD55" i="6" s="1"/>
  <c r="AE55" i="6" s="1"/>
  <c r="AF55" i="6" s="1"/>
  <c r="AG55" i="6" s="1"/>
  <c r="AH55" i="6" s="1"/>
  <c r="AI55" i="6" s="1"/>
  <c r="AJ55" i="6" s="1"/>
  <c r="AK55" i="6" s="1"/>
  <c r="AL55" i="6" s="1"/>
  <c r="AM55" i="6" s="1"/>
  <c r="AN55" i="6" s="1"/>
  <c r="AO55" i="6" s="1"/>
  <c r="AP55" i="6" s="1"/>
  <c r="AQ55" i="6" s="1"/>
  <c r="AR55" i="6" s="1"/>
  <c r="AS55" i="6" s="1"/>
  <c r="AT55" i="6" s="1"/>
  <c r="AU55" i="6" s="1"/>
  <c r="AV55" i="6" s="1"/>
  <c r="AW55" i="6" s="1"/>
  <c r="AX55" i="6" s="1"/>
  <c r="AY55" i="6" s="1"/>
  <c r="AZ55" i="6" s="1"/>
  <c r="BA55" i="6" s="1"/>
  <c r="BB55" i="6" s="1"/>
  <c r="BC55" i="6" s="1"/>
  <c r="BD55" i="6" s="1"/>
  <c r="BE55" i="6" s="1"/>
  <c r="BF55" i="6" s="1"/>
  <c r="BG55" i="6" s="1"/>
  <c r="BH55" i="6" s="1"/>
  <c r="BI55" i="6" s="1"/>
  <c r="BJ55" i="6" s="1"/>
  <c r="BK55" i="6" s="1"/>
  <c r="BL55" i="6" s="1"/>
  <c r="BM55" i="6" s="1"/>
  <c r="BN55" i="6" s="1"/>
  <c r="BO55" i="6" s="1"/>
  <c r="BP55" i="6" s="1"/>
  <c r="BQ55" i="6" s="1"/>
  <c r="BR55" i="6" s="1"/>
  <c r="BS55" i="6" s="1"/>
  <c r="BT55" i="6" s="1"/>
  <c r="BU55" i="6" s="1"/>
  <c r="BV55" i="6" s="1"/>
  <c r="BW55" i="6" s="1"/>
  <c r="BX55" i="6" s="1"/>
  <c r="BY55" i="6" s="1"/>
  <c r="BZ55" i="6" s="1"/>
  <c r="CA55" i="6" s="1"/>
  <c r="CB55" i="6" s="1"/>
  <c r="CC55" i="6" s="1"/>
  <c r="CD55" i="6" s="1"/>
  <c r="CE55" i="6" s="1"/>
  <c r="CF55" i="6" s="1"/>
  <c r="CG55" i="6" s="1"/>
  <c r="CH55" i="6" s="1"/>
  <c r="CI55" i="6" s="1"/>
  <c r="CJ55" i="6" s="1"/>
  <c r="CK55" i="6" s="1"/>
  <c r="CL55" i="6" s="1"/>
  <c r="CM55" i="6" s="1"/>
  <c r="CN55" i="6" s="1"/>
  <c r="CO55" i="6" s="1"/>
  <c r="CP55" i="6" s="1"/>
  <c r="CQ55" i="6" s="1"/>
  <c r="CR55" i="6" s="1"/>
  <c r="CS55" i="6" s="1"/>
  <c r="CT55" i="6" s="1"/>
  <c r="CU55" i="6" s="1"/>
  <c r="CV55" i="6" s="1"/>
  <c r="CW55" i="6" s="1"/>
  <c r="CX55" i="6" s="1"/>
  <c r="CY55" i="6" s="1"/>
  <c r="CZ55" i="6" s="1"/>
  <c r="DA55" i="6" s="1"/>
  <c r="DB55" i="6" s="1"/>
  <c r="DC55" i="6" s="1"/>
  <c r="DD55" i="6" s="1"/>
  <c r="DE55" i="6" s="1"/>
  <c r="O49" i="6"/>
  <c r="P49" i="6" s="1"/>
  <c r="Q49" i="6" s="1"/>
  <c r="R49" i="6" s="1"/>
  <c r="S49" i="6" s="1"/>
  <c r="T49" i="6" s="1"/>
  <c r="U49" i="6" s="1"/>
  <c r="V49" i="6" s="1"/>
  <c r="W49" i="6" s="1"/>
  <c r="X49" i="6" s="1"/>
  <c r="Y49" i="6" s="1"/>
  <c r="Z49" i="6" s="1"/>
  <c r="AA49" i="6" s="1"/>
  <c r="AB49" i="6" s="1"/>
  <c r="AC49" i="6" s="1"/>
  <c r="AD49" i="6" s="1"/>
  <c r="AE49" i="6" s="1"/>
  <c r="AF49" i="6" s="1"/>
  <c r="AG49" i="6" s="1"/>
  <c r="AH49" i="6" s="1"/>
  <c r="AI49" i="6" s="1"/>
  <c r="AJ49" i="6" s="1"/>
  <c r="AK49" i="6" s="1"/>
  <c r="AL49" i="6" s="1"/>
  <c r="AM49" i="6" s="1"/>
  <c r="AN49" i="6" s="1"/>
  <c r="AO49" i="6" s="1"/>
  <c r="AP49" i="6" s="1"/>
  <c r="AQ49" i="6" s="1"/>
  <c r="AR49" i="6" s="1"/>
  <c r="AS49" i="6" s="1"/>
  <c r="AT49" i="6" s="1"/>
  <c r="AU49" i="6" s="1"/>
  <c r="AV49" i="6" s="1"/>
  <c r="AW49" i="6" s="1"/>
  <c r="AX49" i="6" s="1"/>
  <c r="AY49" i="6" s="1"/>
  <c r="AZ49" i="6" s="1"/>
  <c r="BA49" i="6" s="1"/>
  <c r="BB49" i="6" s="1"/>
  <c r="BC49" i="6" s="1"/>
  <c r="BD49" i="6" s="1"/>
  <c r="BE49" i="6" s="1"/>
  <c r="BF49" i="6" s="1"/>
  <c r="BG49" i="6" s="1"/>
  <c r="BH49" i="6" s="1"/>
  <c r="BI49" i="6" s="1"/>
  <c r="BJ49" i="6" s="1"/>
  <c r="BK49" i="6" s="1"/>
  <c r="BL49" i="6" s="1"/>
  <c r="BM49" i="6" s="1"/>
  <c r="BN49" i="6" s="1"/>
  <c r="BO49" i="6" s="1"/>
  <c r="BP49" i="6" s="1"/>
  <c r="BQ49" i="6" s="1"/>
  <c r="BR49" i="6" s="1"/>
  <c r="BS49" i="6" s="1"/>
  <c r="BT49" i="6" s="1"/>
  <c r="BU49" i="6" s="1"/>
  <c r="BV49" i="6" s="1"/>
  <c r="BW49" i="6" s="1"/>
  <c r="BX49" i="6" s="1"/>
  <c r="BY49" i="6" s="1"/>
  <c r="BZ49" i="6" s="1"/>
  <c r="CA49" i="6" s="1"/>
  <c r="CB49" i="6" s="1"/>
  <c r="CC49" i="6" s="1"/>
  <c r="CD49" i="6" s="1"/>
  <c r="CE49" i="6" s="1"/>
  <c r="CF49" i="6" s="1"/>
  <c r="CG49" i="6" s="1"/>
  <c r="CH49" i="6" s="1"/>
  <c r="CI49" i="6" s="1"/>
  <c r="CJ49" i="6" s="1"/>
  <c r="CK49" i="6" s="1"/>
  <c r="CL49" i="6" s="1"/>
  <c r="CM49" i="6" s="1"/>
  <c r="CN49" i="6" s="1"/>
  <c r="CO49" i="6" s="1"/>
  <c r="CP49" i="6" s="1"/>
  <c r="CQ49" i="6" s="1"/>
  <c r="CR49" i="6" s="1"/>
  <c r="CS49" i="6" s="1"/>
  <c r="CT49" i="6" s="1"/>
  <c r="CU49" i="6" s="1"/>
  <c r="CV49" i="6" s="1"/>
  <c r="CW49" i="6" s="1"/>
  <c r="CX49" i="6" s="1"/>
  <c r="CY49" i="6" s="1"/>
  <c r="CZ49" i="6" s="1"/>
  <c r="DA49" i="6" s="1"/>
  <c r="DB49" i="6" s="1"/>
  <c r="DC49" i="6" s="1"/>
  <c r="DD49" i="6" s="1"/>
  <c r="DE49" i="6" s="1"/>
  <c r="O128" i="6"/>
  <c r="M362" i="6"/>
  <c r="O273" i="6"/>
  <c r="P273" i="6" s="1"/>
  <c r="Q273" i="6" s="1"/>
  <c r="R273" i="6" s="1"/>
  <c r="S273" i="6" s="1"/>
  <c r="T273" i="6" s="1"/>
  <c r="U273" i="6" s="1"/>
  <c r="V273" i="6" s="1"/>
  <c r="W273" i="6" s="1"/>
  <c r="X273" i="6" s="1"/>
  <c r="Y273" i="6" s="1"/>
  <c r="Z273" i="6" s="1"/>
  <c r="AA273" i="6" s="1"/>
  <c r="AB273" i="6" s="1"/>
  <c r="AC273" i="6" s="1"/>
  <c r="AD273" i="6" s="1"/>
  <c r="AE273" i="6" s="1"/>
  <c r="AF273" i="6" s="1"/>
  <c r="AG273" i="6" s="1"/>
  <c r="AH273" i="6" s="1"/>
  <c r="AI273" i="6" s="1"/>
  <c r="AJ273" i="6" s="1"/>
  <c r="AK273" i="6" s="1"/>
  <c r="AL273" i="6" s="1"/>
  <c r="AM273" i="6" s="1"/>
  <c r="AN273" i="6" s="1"/>
  <c r="AO273" i="6" s="1"/>
  <c r="AP273" i="6" s="1"/>
  <c r="AQ273" i="6" s="1"/>
  <c r="AR273" i="6" s="1"/>
  <c r="AS273" i="6" s="1"/>
  <c r="AT273" i="6" s="1"/>
  <c r="AU273" i="6" s="1"/>
  <c r="AV273" i="6" s="1"/>
  <c r="AW273" i="6" s="1"/>
  <c r="AX273" i="6" s="1"/>
  <c r="AY273" i="6" s="1"/>
  <c r="AZ273" i="6" s="1"/>
  <c r="BA273" i="6" s="1"/>
  <c r="BB273" i="6" s="1"/>
  <c r="BC273" i="6" s="1"/>
  <c r="BD273" i="6" s="1"/>
  <c r="BE273" i="6" s="1"/>
  <c r="BF273" i="6" s="1"/>
  <c r="BG273" i="6" s="1"/>
  <c r="BH273" i="6" s="1"/>
  <c r="BI273" i="6" s="1"/>
  <c r="BJ273" i="6" s="1"/>
  <c r="BK273" i="6" s="1"/>
  <c r="BL273" i="6" s="1"/>
  <c r="BM273" i="6" s="1"/>
  <c r="BN273" i="6" s="1"/>
  <c r="BO273" i="6" s="1"/>
  <c r="BP273" i="6" s="1"/>
  <c r="BQ273" i="6" s="1"/>
  <c r="BR273" i="6" s="1"/>
  <c r="BS273" i="6" s="1"/>
  <c r="BT273" i="6" s="1"/>
  <c r="BU273" i="6" s="1"/>
  <c r="BV273" i="6" s="1"/>
  <c r="BW273" i="6" s="1"/>
  <c r="BX273" i="6" s="1"/>
  <c r="BY273" i="6" s="1"/>
  <c r="BZ273" i="6" s="1"/>
  <c r="CA273" i="6" s="1"/>
  <c r="CB273" i="6" s="1"/>
  <c r="CC273" i="6" s="1"/>
  <c r="CD273" i="6" s="1"/>
  <c r="CE273" i="6" s="1"/>
  <c r="CF273" i="6" s="1"/>
  <c r="CG273" i="6" s="1"/>
  <c r="CH273" i="6" s="1"/>
  <c r="CI273" i="6" s="1"/>
  <c r="CJ273" i="6" s="1"/>
  <c r="CK273" i="6" s="1"/>
  <c r="CL273" i="6" s="1"/>
  <c r="CM273" i="6" s="1"/>
  <c r="CN273" i="6" s="1"/>
  <c r="CO273" i="6" s="1"/>
  <c r="CP273" i="6" s="1"/>
  <c r="CQ273" i="6" s="1"/>
  <c r="CR273" i="6" s="1"/>
  <c r="CS273" i="6" s="1"/>
  <c r="CT273" i="6" s="1"/>
  <c r="CU273" i="6" s="1"/>
  <c r="CV273" i="6" s="1"/>
  <c r="CW273" i="6" s="1"/>
  <c r="CX273" i="6" s="1"/>
  <c r="CY273" i="6" s="1"/>
  <c r="CZ273" i="6" s="1"/>
  <c r="DA273" i="6" s="1"/>
  <c r="DB273" i="6" s="1"/>
  <c r="DC273" i="6" s="1"/>
  <c r="DD273" i="6" s="1"/>
  <c r="DE273" i="6" s="1"/>
  <c r="L237" i="6"/>
  <c r="M237" i="6" s="1"/>
  <c r="N237" i="6" s="1"/>
  <c r="O237" i="6" s="1"/>
  <c r="P237" i="6" s="1"/>
  <c r="Q237" i="6" s="1"/>
  <c r="R237" i="6" s="1"/>
  <c r="S237" i="6" s="1"/>
  <c r="T237" i="6" s="1"/>
  <c r="U237" i="6" s="1"/>
  <c r="V237" i="6" s="1"/>
  <c r="W237" i="6" s="1"/>
  <c r="X237" i="6" s="1"/>
  <c r="Y237" i="6" s="1"/>
  <c r="Z237" i="6" s="1"/>
  <c r="AA237" i="6" s="1"/>
  <c r="AB237" i="6" s="1"/>
  <c r="AC237" i="6" s="1"/>
  <c r="AD237" i="6" s="1"/>
  <c r="AE237" i="6" s="1"/>
  <c r="AF237" i="6" s="1"/>
  <c r="AG237" i="6" s="1"/>
  <c r="AH237" i="6" s="1"/>
  <c r="AI237" i="6" s="1"/>
  <c r="AJ237" i="6" s="1"/>
  <c r="AK237" i="6" s="1"/>
  <c r="AL237" i="6" s="1"/>
  <c r="AM237" i="6" s="1"/>
  <c r="AN237" i="6" s="1"/>
  <c r="AO237" i="6" s="1"/>
  <c r="AP237" i="6" s="1"/>
  <c r="AQ237" i="6" s="1"/>
  <c r="AR237" i="6" s="1"/>
  <c r="AS237" i="6" s="1"/>
  <c r="AT237" i="6" s="1"/>
  <c r="AU237" i="6" s="1"/>
  <c r="AV237" i="6" s="1"/>
  <c r="AW237" i="6" s="1"/>
  <c r="AX237" i="6" s="1"/>
  <c r="AY237" i="6" s="1"/>
  <c r="AZ237" i="6" s="1"/>
  <c r="BA237" i="6" s="1"/>
  <c r="BB237" i="6" s="1"/>
  <c r="BC237" i="6" s="1"/>
  <c r="BD237" i="6" s="1"/>
  <c r="BE237" i="6" s="1"/>
  <c r="BF237" i="6" s="1"/>
  <c r="BG237" i="6" s="1"/>
  <c r="BH237" i="6" s="1"/>
  <c r="BI237" i="6" s="1"/>
  <c r="BJ237" i="6" s="1"/>
  <c r="BK237" i="6" s="1"/>
  <c r="BL237" i="6" s="1"/>
  <c r="BM237" i="6" s="1"/>
  <c r="BN237" i="6" s="1"/>
  <c r="BO237" i="6" s="1"/>
  <c r="BP237" i="6" s="1"/>
  <c r="BQ237" i="6" s="1"/>
  <c r="BR237" i="6" s="1"/>
  <c r="BS237" i="6" s="1"/>
  <c r="BT237" i="6" s="1"/>
  <c r="BU237" i="6" s="1"/>
  <c r="BV237" i="6" s="1"/>
  <c r="BW237" i="6" s="1"/>
  <c r="BX237" i="6" s="1"/>
  <c r="BY237" i="6" s="1"/>
  <c r="BZ237" i="6" s="1"/>
  <c r="CA237" i="6" s="1"/>
  <c r="CB237" i="6" s="1"/>
  <c r="CC237" i="6" s="1"/>
  <c r="CD237" i="6" s="1"/>
  <c r="CE237" i="6" s="1"/>
  <c r="CF237" i="6" s="1"/>
  <c r="CG237" i="6" s="1"/>
  <c r="CH237" i="6" s="1"/>
  <c r="CI237" i="6" s="1"/>
  <c r="CJ237" i="6" s="1"/>
  <c r="CK237" i="6" s="1"/>
  <c r="CL237" i="6" s="1"/>
  <c r="CM237" i="6" s="1"/>
  <c r="CN237" i="6" s="1"/>
  <c r="CO237" i="6" s="1"/>
  <c r="CP237" i="6" s="1"/>
  <c r="CQ237" i="6" s="1"/>
  <c r="CR237" i="6" s="1"/>
  <c r="CS237" i="6" s="1"/>
  <c r="CT237" i="6" s="1"/>
  <c r="CU237" i="6" s="1"/>
  <c r="CV237" i="6" s="1"/>
  <c r="CW237" i="6" s="1"/>
  <c r="CX237" i="6" s="1"/>
  <c r="CY237" i="6" s="1"/>
  <c r="CZ237" i="6" s="1"/>
  <c r="DA237" i="6" s="1"/>
  <c r="DB237" i="6" s="1"/>
  <c r="DC237" i="6" s="1"/>
  <c r="DD237" i="6" s="1"/>
  <c r="DE237" i="6" s="1"/>
  <c r="M229" i="6"/>
  <c r="N229" i="6" s="1"/>
  <c r="O229" i="6" s="1"/>
  <c r="P229" i="6" s="1"/>
  <c r="Q229" i="6" s="1"/>
  <c r="R229" i="6" s="1"/>
  <c r="S229" i="6" s="1"/>
  <c r="T229" i="6" s="1"/>
  <c r="U229" i="6" s="1"/>
  <c r="V229" i="6" s="1"/>
  <c r="W229" i="6" s="1"/>
  <c r="X229" i="6" s="1"/>
  <c r="Y229" i="6" s="1"/>
  <c r="Z229" i="6" s="1"/>
  <c r="AA229" i="6" s="1"/>
  <c r="AB229" i="6" s="1"/>
  <c r="AC229" i="6" s="1"/>
  <c r="AD229" i="6" s="1"/>
  <c r="AE229" i="6" s="1"/>
  <c r="AF229" i="6" s="1"/>
  <c r="AG229" i="6" s="1"/>
  <c r="AH229" i="6" s="1"/>
  <c r="AI229" i="6" s="1"/>
  <c r="AJ229" i="6" s="1"/>
  <c r="AK229" i="6" s="1"/>
  <c r="AL229" i="6" s="1"/>
  <c r="AM229" i="6" s="1"/>
  <c r="AN229" i="6" s="1"/>
  <c r="AO229" i="6" s="1"/>
  <c r="AP229" i="6" s="1"/>
  <c r="AQ229" i="6" s="1"/>
  <c r="AR229" i="6" s="1"/>
  <c r="AS229" i="6" s="1"/>
  <c r="AT229" i="6" s="1"/>
  <c r="AU229" i="6" s="1"/>
  <c r="AV229" i="6" s="1"/>
  <c r="AW229" i="6" s="1"/>
  <c r="AX229" i="6" s="1"/>
  <c r="AY229" i="6" s="1"/>
  <c r="AZ229" i="6" s="1"/>
  <c r="BA229" i="6" s="1"/>
  <c r="BB229" i="6" s="1"/>
  <c r="BC229" i="6" s="1"/>
  <c r="BD229" i="6" s="1"/>
  <c r="BE229" i="6" s="1"/>
  <c r="BF229" i="6" s="1"/>
  <c r="BG229" i="6" s="1"/>
  <c r="BH229" i="6" s="1"/>
  <c r="BI229" i="6" s="1"/>
  <c r="BJ229" i="6" s="1"/>
  <c r="BK229" i="6" s="1"/>
  <c r="BL229" i="6" s="1"/>
  <c r="BM229" i="6" s="1"/>
  <c r="BN229" i="6" s="1"/>
  <c r="BO229" i="6" s="1"/>
  <c r="BP229" i="6" s="1"/>
  <c r="BQ229" i="6" s="1"/>
  <c r="BR229" i="6" s="1"/>
  <c r="BS229" i="6" s="1"/>
  <c r="BT229" i="6" s="1"/>
  <c r="BU229" i="6" s="1"/>
  <c r="BV229" i="6" s="1"/>
  <c r="BW229" i="6" s="1"/>
  <c r="BX229" i="6" s="1"/>
  <c r="BY229" i="6" s="1"/>
  <c r="BZ229" i="6" s="1"/>
  <c r="CA229" i="6" s="1"/>
  <c r="CB229" i="6" s="1"/>
  <c r="CC229" i="6" s="1"/>
  <c r="CD229" i="6" s="1"/>
  <c r="CE229" i="6" s="1"/>
  <c r="CF229" i="6" s="1"/>
  <c r="CG229" i="6" s="1"/>
  <c r="CH229" i="6" s="1"/>
  <c r="CI229" i="6" s="1"/>
  <c r="CJ229" i="6" s="1"/>
  <c r="CK229" i="6" s="1"/>
  <c r="CL229" i="6" s="1"/>
  <c r="CM229" i="6" s="1"/>
  <c r="CN229" i="6" s="1"/>
  <c r="CO229" i="6" s="1"/>
  <c r="CP229" i="6" s="1"/>
  <c r="CQ229" i="6" s="1"/>
  <c r="CR229" i="6" s="1"/>
  <c r="CS229" i="6" s="1"/>
  <c r="CT229" i="6" s="1"/>
  <c r="CU229" i="6" s="1"/>
  <c r="CV229" i="6" s="1"/>
  <c r="CW229" i="6" s="1"/>
  <c r="CX229" i="6" s="1"/>
  <c r="CY229" i="6" s="1"/>
  <c r="CZ229" i="6" s="1"/>
  <c r="DA229" i="6" s="1"/>
  <c r="DB229" i="6" s="1"/>
  <c r="DC229" i="6" s="1"/>
  <c r="DD229" i="6" s="1"/>
  <c r="DE229" i="6" s="1"/>
  <c r="O223" i="6"/>
  <c r="L203" i="6"/>
  <c r="O156" i="6"/>
  <c r="P156" i="6" s="1"/>
  <c r="Q156" i="6" s="1"/>
  <c r="R156" i="6" s="1"/>
  <c r="S156" i="6" s="1"/>
  <c r="T156" i="6" s="1"/>
  <c r="U156" i="6" s="1"/>
  <c r="V156" i="6" s="1"/>
  <c r="W156" i="6" s="1"/>
  <c r="X156" i="6" s="1"/>
  <c r="Y156" i="6" s="1"/>
  <c r="Z156" i="6" s="1"/>
  <c r="AA156" i="6" s="1"/>
  <c r="AB156" i="6" s="1"/>
  <c r="AC156" i="6" s="1"/>
  <c r="AD156" i="6" s="1"/>
  <c r="AE156" i="6" s="1"/>
  <c r="AF156" i="6" s="1"/>
  <c r="AG156" i="6" s="1"/>
  <c r="AH156" i="6" s="1"/>
  <c r="AI156" i="6" s="1"/>
  <c r="AJ156" i="6" s="1"/>
  <c r="AK156" i="6" s="1"/>
  <c r="AL156" i="6" s="1"/>
  <c r="AM156" i="6" s="1"/>
  <c r="AN156" i="6" s="1"/>
  <c r="AO156" i="6" s="1"/>
  <c r="AP156" i="6" s="1"/>
  <c r="AQ156" i="6" s="1"/>
  <c r="AR156" i="6" s="1"/>
  <c r="AS156" i="6" s="1"/>
  <c r="AT156" i="6" s="1"/>
  <c r="AU156" i="6" s="1"/>
  <c r="AV156" i="6" s="1"/>
  <c r="AW156" i="6" s="1"/>
  <c r="AX156" i="6" s="1"/>
  <c r="AY156" i="6" s="1"/>
  <c r="AZ156" i="6" s="1"/>
  <c r="BA156" i="6" s="1"/>
  <c r="BB156" i="6" s="1"/>
  <c r="BC156" i="6" s="1"/>
  <c r="BD156" i="6" s="1"/>
  <c r="BE156" i="6" s="1"/>
  <c r="BF156" i="6" s="1"/>
  <c r="BG156" i="6" s="1"/>
  <c r="BH156" i="6" s="1"/>
  <c r="BI156" i="6" s="1"/>
  <c r="BJ156" i="6" s="1"/>
  <c r="BK156" i="6" s="1"/>
  <c r="BL156" i="6" s="1"/>
  <c r="BM156" i="6" s="1"/>
  <c r="BN156" i="6" s="1"/>
  <c r="BO156" i="6" s="1"/>
  <c r="BP156" i="6" s="1"/>
  <c r="BQ156" i="6" s="1"/>
  <c r="BR156" i="6" s="1"/>
  <c r="BS156" i="6" s="1"/>
  <c r="BT156" i="6" s="1"/>
  <c r="BU156" i="6" s="1"/>
  <c r="BV156" i="6" s="1"/>
  <c r="BW156" i="6" s="1"/>
  <c r="BX156" i="6" s="1"/>
  <c r="BY156" i="6" s="1"/>
  <c r="BZ156" i="6" s="1"/>
  <c r="CA156" i="6" s="1"/>
  <c r="CB156" i="6" s="1"/>
  <c r="CC156" i="6" s="1"/>
  <c r="CD156" i="6" s="1"/>
  <c r="CE156" i="6" s="1"/>
  <c r="CF156" i="6" s="1"/>
  <c r="CG156" i="6" s="1"/>
  <c r="CH156" i="6" s="1"/>
  <c r="CI156" i="6" s="1"/>
  <c r="CJ156" i="6" s="1"/>
  <c r="CK156" i="6" s="1"/>
  <c r="CL156" i="6" s="1"/>
  <c r="CM156" i="6" s="1"/>
  <c r="CN156" i="6" s="1"/>
  <c r="CO156" i="6" s="1"/>
  <c r="CP156" i="6" s="1"/>
  <c r="CQ156" i="6" s="1"/>
  <c r="CR156" i="6" s="1"/>
  <c r="CS156" i="6" s="1"/>
  <c r="CT156" i="6" s="1"/>
  <c r="CU156" i="6" s="1"/>
  <c r="CV156" i="6" s="1"/>
  <c r="CW156" i="6" s="1"/>
  <c r="CX156" i="6" s="1"/>
  <c r="CY156" i="6" s="1"/>
  <c r="CZ156" i="6" s="1"/>
  <c r="DA156" i="6" s="1"/>
  <c r="DB156" i="6" s="1"/>
  <c r="DC156" i="6" s="1"/>
  <c r="DD156" i="6" s="1"/>
  <c r="DE156" i="6" s="1"/>
  <c r="O152" i="6"/>
  <c r="P152" i="6" s="1"/>
  <c r="Q152" i="6" s="1"/>
  <c r="R152" i="6" s="1"/>
  <c r="S152" i="6" s="1"/>
  <c r="T152" i="6" s="1"/>
  <c r="U152" i="6" s="1"/>
  <c r="V152" i="6" s="1"/>
  <c r="W152" i="6" s="1"/>
  <c r="X152" i="6" s="1"/>
  <c r="Y152" i="6" s="1"/>
  <c r="Z152" i="6" s="1"/>
  <c r="AA152" i="6" s="1"/>
  <c r="AB152" i="6" s="1"/>
  <c r="AC152" i="6" s="1"/>
  <c r="AD152" i="6" s="1"/>
  <c r="AE152" i="6" s="1"/>
  <c r="AF152" i="6" s="1"/>
  <c r="AG152" i="6" s="1"/>
  <c r="AH152" i="6" s="1"/>
  <c r="AI152" i="6" s="1"/>
  <c r="AJ152" i="6" s="1"/>
  <c r="AK152" i="6" s="1"/>
  <c r="AL152" i="6" s="1"/>
  <c r="AM152" i="6" s="1"/>
  <c r="AN152" i="6" s="1"/>
  <c r="AO152" i="6" s="1"/>
  <c r="AP152" i="6" s="1"/>
  <c r="AQ152" i="6" s="1"/>
  <c r="AR152" i="6" s="1"/>
  <c r="AS152" i="6" s="1"/>
  <c r="AT152" i="6" s="1"/>
  <c r="AU152" i="6" s="1"/>
  <c r="AV152" i="6" s="1"/>
  <c r="AW152" i="6" s="1"/>
  <c r="AX152" i="6" s="1"/>
  <c r="AY152" i="6" s="1"/>
  <c r="AZ152" i="6" s="1"/>
  <c r="BA152" i="6" s="1"/>
  <c r="BB152" i="6" s="1"/>
  <c r="BC152" i="6" s="1"/>
  <c r="BD152" i="6" s="1"/>
  <c r="BE152" i="6" s="1"/>
  <c r="BF152" i="6" s="1"/>
  <c r="BG152" i="6" s="1"/>
  <c r="BH152" i="6" s="1"/>
  <c r="BI152" i="6" s="1"/>
  <c r="BJ152" i="6" s="1"/>
  <c r="BK152" i="6" s="1"/>
  <c r="BL152" i="6" s="1"/>
  <c r="BM152" i="6" s="1"/>
  <c r="BN152" i="6" s="1"/>
  <c r="BO152" i="6" s="1"/>
  <c r="BP152" i="6" s="1"/>
  <c r="BQ152" i="6" s="1"/>
  <c r="BR152" i="6" s="1"/>
  <c r="BS152" i="6" s="1"/>
  <c r="BT152" i="6" s="1"/>
  <c r="BU152" i="6" s="1"/>
  <c r="BV152" i="6" s="1"/>
  <c r="BW152" i="6" s="1"/>
  <c r="BX152" i="6" s="1"/>
  <c r="BY152" i="6" s="1"/>
  <c r="BZ152" i="6" s="1"/>
  <c r="CA152" i="6" s="1"/>
  <c r="CB152" i="6" s="1"/>
  <c r="CC152" i="6" s="1"/>
  <c r="CD152" i="6" s="1"/>
  <c r="CE152" i="6" s="1"/>
  <c r="CF152" i="6" s="1"/>
  <c r="CG152" i="6" s="1"/>
  <c r="CH152" i="6" s="1"/>
  <c r="CI152" i="6" s="1"/>
  <c r="CJ152" i="6" s="1"/>
  <c r="CK152" i="6" s="1"/>
  <c r="CL152" i="6" s="1"/>
  <c r="CM152" i="6" s="1"/>
  <c r="CN152" i="6" s="1"/>
  <c r="CO152" i="6" s="1"/>
  <c r="CP152" i="6" s="1"/>
  <c r="CQ152" i="6" s="1"/>
  <c r="CR152" i="6" s="1"/>
  <c r="CS152" i="6" s="1"/>
  <c r="CT152" i="6" s="1"/>
  <c r="CU152" i="6" s="1"/>
  <c r="CV152" i="6" s="1"/>
  <c r="CW152" i="6" s="1"/>
  <c r="CX152" i="6" s="1"/>
  <c r="CY152" i="6" s="1"/>
  <c r="CZ152" i="6" s="1"/>
  <c r="DA152" i="6" s="1"/>
  <c r="DB152" i="6" s="1"/>
  <c r="DC152" i="6" s="1"/>
  <c r="DD152" i="6" s="1"/>
  <c r="DE152" i="6" s="1"/>
  <c r="L122" i="6"/>
  <c r="L114" i="6"/>
  <c r="O104" i="6"/>
  <c r="P104" i="6" s="1"/>
  <c r="Q104" i="6" s="1"/>
  <c r="R104" i="6" s="1"/>
  <c r="S104" i="6" s="1"/>
  <c r="T104" i="6" s="1"/>
  <c r="U104" i="6" s="1"/>
  <c r="V104" i="6" s="1"/>
  <c r="W104" i="6" s="1"/>
  <c r="X104" i="6" s="1"/>
  <c r="Y104" i="6" s="1"/>
  <c r="Z104" i="6" s="1"/>
  <c r="AA104" i="6" s="1"/>
  <c r="AB104" i="6" s="1"/>
  <c r="AC104" i="6" s="1"/>
  <c r="AD104" i="6" s="1"/>
  <c r="AE104" i="6" s="1"/>
  <c r="AF104" i="6" s="1"/>
  <c r="AG104" i="6" s="1"/>
  <c r="AH104" i="6" s="1"/>
  <c r="AI104" i="6" s="1"/>
  <c r="AJ104" i="6" s="1"/>
  <c r="AK104" i="6" s="1"/>
  <c r="AL104" i="6" s="1"/>
  <c r="AM104" i="6" s="1"/>
  <c r="AN104" i="6" s="1"/>
  <c r="AO104" i="6" s="1"/>
  <c r="AP104" i="6" s="1"/>
  <c r="AQ104" i="6" s="1"/>
  <c r="AR104" i="6" s="1"/>
  <c r="AS104" i="6" s="1"/>
  <c r="AT104" i="6" s="1"/>
  <c r="AU104" i="6" s="1"/>
  <c r="AV104" i="6" s="1"/>
  <c r="AW104" i="6" s="1"/>
  <c r="AX104" i="6" s="1"/>
  <c r="AY104" i="6" s="1"/>
  <c r="AZ104" i="6" s="1"/>
  <c r="BA104" i="6" s="1"/>
  <c r="BB104" i="6" s="1"/>
  <c r="BC104" i="6" s="1"/>
  <c r="BD104" i="6" s="1"/>
  <c r="BE104" i="6" s="1"/>
  <c r="BF104" i="6" s="1"/>
  <c r="BG104" i="6" s="1"/>
  <c r="BH104" i="6" s="1"/>
  <c r="BI104" i="6" s="1"/>
  <c r="BJ104" i="6" s="1"/>
  <c r="BK104" i="6" s="1"/>
  <c r="BL104" i="6" s="1"/>
  <c r="BM104" i="6" s="1"/>
  <c r="BN104" i="6" s="1"/>
  <c r="BO104" i="6" s="1"/>
  <c r="BP104" i="6" s="1"/>
  <c r="BQ104" i="6" s="1"/>
  <c r="BR104" i="6" s="1"/>
  <c r="BS104" i="6" s="1"/>
  <c r="BT104" i="6" s="1"/>
  <c r="BU104" i="6" s="1"/>
  <c r="BV104" i="6" s="1"/>
  <c r="BW104" i="6" s="1"/>
  <c r="BX104" i="6" s="1"/>
  <c r="BY104" i="6" s="1"/>
  <c r="BZ104" i="6" s="1"/>
  <c r="CA104" i="6" s="1"/>
  <c r="CB104" i="6" s="1"/>
  <c r="CC104" i="6" s="1"/>
  <c r="CD104" i="6" s="1"/>
  <c r="CE104" i="6" s="1"/>
  <c r="CF104" i="6" s="1"/>
  <c r="CG104" i="6" s="1"/>
  <c r="CH104" i="6" s="1"/>
  <c r="CI104" i="6" s="1"/>
  <c r="CJ104" i="6" s="1"/>
  <c r="CK104" i="6" s="1"/>
  <c r="CL104" i="6" s="1"/>
  <c r="CM104" i="6" s="1"/>
  <c r="CN104" i="6" s="1"/>
  <c r="CO104" i="6" s="1"/>
  <c r="CP104" i="6" s="1"/>
  <c r="CQ104" i="6" s="1"/>
  <c r="CR104" i="6" s="1"/>
  <c r="CS104" i="6" s="1"/>
  <c r="CT104" i="6" s="1"/>
  <c r="CU104" i="6" s="1"/>
  <c r="CV104" i="6" s="1"/>
  <c r="CW104" i="6" s="1"/>
  <c r="CX104" i="6" s="1"/>
  <c r="CY104" i="6" s="1"/>
  <c r="CZ104" i="6" s="1"/>
  <c r="DA104" i="6" s="1"/>
  <c r="DB104" i="6" s="1"/>
  <c r="DC104" i="6" s="1"/>
  <c r="DD104" i="6" s="1"/>
  <c r="DE104" i="6" s="1"/>
  <c r="O47" i="6"/>
  <c r="O19" i="6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BB19" i="6" s="1"/>
  <c r="BC19" i="6" s="1"/>
  <c r="BD19" i="6" s="1"/>
  <c r="BE19" i="6" s="1"/>
  <c r="BF19" i="6" s="1"/>
  <c r="BG19" i="6" s="1"/>
  <c r="BH19" i="6" s="1"/>
  <c r="BI19" i="6" s="1"/>
  <c r="BJ19" i="6" s="1"/>
  <c r="BK19" i="6" s="1"/>
  <c r="BL19" i="6" s="1"/>
  <c r="BM19" i="6" s="1"/>
  <c r="BN19" i="6" s="1"/>
  <c r="BO19" i="6" s="1"/>
  <c r="BP19" i="6" s="1"/>
  <c r="BQ19" i="6" s="1"/>
  <c r="BR19" i="6" s="1"/>
  <c r="BS19" i="6" s="1"/>
  <c r="BT19" i="6" s="1"/>
  <c r="BU19" i="6" s="1"/>
  <c r="BV19" i="6" s="1"/>
  <c r="BW19" i="6" s="1"/>
  <c r="BX19" i="6" s="1"/>
  <c r="BY19" i="6" s="1"/>
  <c r="BZ19" i="6" s="1"/>
  <c r="CA19" i="6" s="1"/>
  <c r="CB19" i="6" s="1"/>
  <c r="CC19" i="6" s="1"/>
  <c r="CD19" i="6" s="1"/>
  <c r="CE19" i="6" s="1"/>
  <c r="CF19" i="6" s="1"/>
  <c r="CG19" i="6" s="1"/>
  <c r="CH19" i="6" s="1"/>
  <c r="CI19" i="6" s="1"/>
  <c r="CJ19" i="6" s="1"/>
  <c r="CK19" i="6" s="1"/>
  <c r="CL19" i="6" s="1"/>
  <c r="CM19" i="6" s="1"/>
  <c r="CN19" i="6" s="1"/>
  <c r="CO19" i="6" s="1"/>
  <c r="CP19" i="6" s="1"/>
  <c r="CQ19" i="6" s="1"/>
  <c r="CR19" i="6" s="1"/>
  <c r="CS19" i="6" s="1"/>
  <c r="CT19" i="6" s="1"/>
  <c r="CU19" i="6" s="1"/>
  <c r="CV19" i="6" s="1"/>
  <c r="CW19" i="6" s="1"/>
  <c r="CX19" i="6" s="1"/>
  <c r="CY19" i="6" s="1"/>
  <c r="CZ19" i="6" s="1"/>
  <c r="DA19" i="6" s="1"/>
  <c r="DB19" i="6" s="1"/>
  <c r="DC19" i="6" s="1"/>
  <c r="DD19" i="6" s="1"/>
  <c r="DE19" i="6" s="1"/>
  <c r="O15" i="6"/>
  <c r="P15" i="6" s="1"/>
  <c r="Q15" i="6" s="1"/>
  <c r="R15" i="6" s="1"/>
  <c r="S15" i="6" s="1"/>
  <c r="T15" i="6" s="1"/>
  <c r="U15" i="6" s="1"/>
  <c r="V15" i="6" s="1"/>
  <c r="W15" i="6" s="1"/>
  <c r="X15" i="6" s="1"/>
  <c r="Y15" i="6" s="1"/>
  <c r="Z15" i="6" s="1"/>
  <c r="AA15" i="6" s="1"/>
  <c r="AB15" i="6" s="1"/>
  <c r="AC15" i="6" s="1"/>
  <c r="AD15" i="6" s="1"/>
  <c r="AE15" i="6" s="1"/>
  <c r="AF15" i="6" s="1"/>
  <c r="AG15" i="6" s="1"/>
  <c r="AH15" i="6" s="1"/>
  <c r="AI15" i="6" s="1"/>
  <c r="AJ15" i="6" s="1"/>
  <c r="AK15" i="6" s="1"/>
  <c r="AL15" i="6" s="1"/>
  <c r="AM15" i="6" s="1"/>
  <c r="AN15" i="6" s="1"/>
  <c r="AO15" i="6" s="1"/>
  <c r="AP15" i="6" s="1"/>
  <c r="AQ15" i="6" s="1"/>
  <c r="AR15" i="6" s="1"/>
  <c r="AS15" i="6" s="1"/>
  <c r="AT15" i="6" s="1"/>
  <c r="AU15" i="6" s="1"/>
  <c r="AV15" i="6" s="1"/>
  <c r="AW15" i="6" s="1"/>
  <c r="AX15" i="6" s="1"/>
  <c r="AY15" i="6" s="1"/>
  <c r="AZ15" i="6" s="1"/>
  <c r="BA15" i="6" s="1"/>
  <c r="BB15" i="6" s="1"/>
  <c r="BC15" i="6" s="1"/>
  <c r="BD15" i="6" s="1"/>
  <c r="BE15" i="6" s="1"/>
  <c r="BF15" i="6" s="1"/>
  <c r="BG15" i="6" s="1"/>
  <c r="BH15" i="6" s="1"/>
  <c r="BI15" i="6" s="1"/>
  <c r="BJ15" i="6" s="1"/>
  <c r="BK15" i="6" s="1"/>
  <c r="BL15" i="6" s="1"/>
  <c r="BM15" i="6" s="1"/>
  <c r="BN15" i="6" s="1"/>
  <c r="BO15" i="6" s="1"/>
  <c r="BP15" i="6" s="1"/>
  <c r="BQ15" i="6" s="1"/>
  <c r="BR15" i="6" s="1"/>
  <c r="BS15" i="6" s="1"/>
  <c r="BT15" i="6" s="1"/>
  <c r="BU15" i="6" s="1"/>
  <c r="BV15" i="6" s="1"/>
  <c r="BW15" i="6" s="1"/>
  <c r="BX15" i="6" s="1"/>
  <c r="BY15" i="6" s="1"/>
  <c r="BZ15" i="6" s="1"/>
  <c r="CA15" i="6" s="1"/>
  <c r="CB15" i="6" s="1"/>
  <c r="CC15" i="6" s="1"/>
  <c r="CD15" i="6" s="1"/>
  <c r="CE15" i="6" s="1"/>
  <c r="CF15" i="6" s="1"/>
  <c r="CG15" i="6" s="1"/>
  <c r="CH15" i="6" s="1"/>
  <c r="CI15" i="6" s="1"/>
  <c r="CJ15" i="6" s="1"/>
  <c r="CK15" i="6" s="1"/>
  <c r="CL15" i="6" s="1"/>
  <c r="CM15" i="6" s="1"/>
  <c r="CN15" i="6" s="1"/>
  <c r="CO15" i="6" s="1"/>
  <c r="CP15" i="6" s="1"/>
  <c r="CQ15" i="6" s="1"/>
  <c r="CR15" i="6" s="1"/>
  <c r="CS15" i="6" s="1"/>
  <c r="CT15" i="6" s="1"/>
  <c r="CU15" i="6" s="1"/>
  <c r="CV15" i="6" s="1"/>
  <c r="CW15" i="6" s="1"/>
  <c r="CX15" i="6" s="1"/>
  <c r="CY15" i="6" s="1"/>
  <c r="CZ15" i="6" s="1"/>
  <c r="DA15" i="6" s="1"/>
  <c r="DB15" i="6" s="1"/>
  <c r="DC15" i="6" s="1"/>
  <c r="DD15" i="6" s="1"/>
  <c r="DE15" i="6" s="1"/>
  <c r="O11" i="6"/>
  <c r="P11" i="6" s="1"/>
  <c r="Q11" i="6" s="1"/>
  <c r="R11" i="6" s="1"/>
  <c r="S11" i="6" s="1"/>
  <c r="T11" i="6" s="1"/>
  <c r="U11" i="6" s="1"/>
  <c r="V11" i="6" s="1"/>
  <c r="W11" i="6" s="1"/>
  <c r="X11" i="6" s="1"/>
  <c r="Y11" i="6" s="1"/>
  <c r="Z11" i="6" s="1"/>
  <c r="AA11" i="6" s="1"/>
  <c r="AB11" i="6" s="1"/>
  <c r="AC11" i="6" s="1"/>
  <c r="AD11" i="6" s="1"/>
  <c r="AE11" i="6" s="1"/>
  <c r="AF11" i="6" s="1"/>
  <c r="AG11" i="6" s="1"/>
  <c r="AH11" i="6" s="1"/>
  <c r="AI11" i="6" s="1"/>
  <c r="AJ11" i="6" s="1"/>
  <c r="AK11" i="6" s="1"/>
  <c r="AL11" i="6" s="1"/>
  <c r="AM11" i="6" s="1"/>
  <c r="AN11" i="6" s="1"/>
  <c r="AO11" i="6" s="1"/>
  <c r="AP11" i="6" s="1"/>
  <c r="AQ11" i="6" s="1"/>
  <c r="AR11" i="6" s="1"/>
  <c r="AS11" i="6" s="1"/>
  <c r="AT11" i="6" s="1"/>
  <c r="AU11" i="6" s="1"/>
  <c r="AV11" i="6" s="1"/>
  <c r="AW11" i="6" s="1"/>
  <c r="AX11" i="6" s="1"/>
  <c r="AY11" i="6" s="1"/>
  <c r="AZ11" i="6" s="1"/>
  <c r="BA11" i="6" s="1"/>
  <c r="BB11" i="6" s="1"/>
  <c r="BC11" i="6" s="1"/>
  <c r="BD11" i="6" s="1"/>
  <c r="BE11" i="6" s="1"/>
  <c r="BF11" i="6" s="1"/>
  <c r="BG11" i="6" s="1"/>
  <c r="BH11" i="6" s="1"/>
  <c r="BI11" i="6" s="1"/>
  <c r="BJ11" i="6" s="1"/>
  <c r="BK11" i="6" s="1"/>
  <c r="BL11" i="6" s="1"/>
  <c r="BM11" i="6" s="1"/>
  <c r="BN11" i="6" s="1"/>
  <c r="BO11" i="6" s="1"/>
  <c r="BP11" i="6" s="1"/>
  <c r="BQ11" i="6" s="1"/>
  <c r="BR11" i="6" s="1"/>
  <c r="BS11" i="6" s="1"/>
  <c r="BT11" i="6" s="1"/>
  <c r="BU11" i="6" s="1"/>
  <c r="BV11" i="6" s="1"/>
  <c r="BW11" i="6" s="1"/>
  <c r="BX11" i="6" s="1"/>
  <c r="BY11" i="6" s="1"/>
  <c r="BZ11" i="6" s="1"/>
  <c r="CA11" i="6" s="1"/>
  <c r="CB11" i="6" s="1"/>
  <c r="CC11" i="6" s="1"/>
  <c r="CD11" i="6" s="1"/>
  <c r="CE11" i="6" s="1"/>
  <c r="CF11" i="6" s="1"/>
  <c r="CG11" i="6" s="1"/>
  <c r="CH11" i="6" s="1"/>
  <c r="CI11" i="6" s="1"/>
  <c r="CJ11" i="6" s="1"/>
  <c r="CK11" i="6" s="1"/>
  <c r="CL11" i="6" s="1"/>
  <c r="CM11" i="6" s="1"/>
  <c r="CN11" i="6" s="1"/>
  <c r="CO11" i="6" s="1"/>
  <c r="CP11" i="6" s="1"/>
  <c r="CQ11" i="6" s="1"/>
  <c r="CR11" i="6" s="1"/>
  <c r="CS11" i="6" s="1"/>
  <c r="CT11" i="6" s="1"/>
  <c r="CU11" i="6" s="1"/>
  <c r="CV11" i="6" s="1"/>
  <c r="CW11" i="6" s="1"/>
  <c r="CX11" i="6" s="1"/>
  <c r="CY11" i="6" s="1"/>
  <c r="CZ11" i="6" s="1"/>
  <c r="DA11" i="6" s="1"/>
  <c r="DB11" i="6" s="1"/>
  <c r="DC11" i="6" s="1"/>
  <c r="DD11" i="6" s="1"/>
  <c r="DE11" i="6" s="1"/>
  <c r="O346" i="6"/>
  <c r="P346" i="6" s="1"/>
  <c r="Q346" i="6" s="1"/>
  <c r="R346" i="6" s="1"/>
  <c r="S346" i="6" s="1"/>
  <c r="T346" i="6" s="1"/>
  <c r="U346" i="6" s="1"/>
  <c r="V346" i="6" s="1"/>
  <c r="W346" i="6" s="1"/>
  <c r="X346" i="6" s="1"/>
  <c r="Y346" i="6" s="1"/>
  <c r="Z346" i="6" s="1"/>
  <c r="AA346" i="6" s="1"/>
  <c r="AB346" i="6" s="1"/>
  <c r="AC346" i="6" s="1"/>
  <c r="AD346" i="6" s="1"/>
  <c r="AE346" i="6" s="1"/>
  <c r="AF346" i="6" s="1"/>
  <c r="AG346" i="6" s="1"/>
  <c r="AH346" i="6" s="1"/>
  <c r="AI346" i="6" s="1"/>
  <c r="AJ346" i="6" s="1"/>
  <c r="AK346" i="6" s="1"/>
  <c r="AL346" i="6" s="1"/>
  <c r="AM346" i="6" s="1"/>
  <c r="AN346" i="6" s="1"/>
  <c r="AO346" i="6" s="1"/>
  <c r="AP346" i="6" s="1"/>
  <c r="AQ346" i="6" s="1"/>
  <c r="AR346" i="6" s="1"/>
  <c r="AS346" i="6" s="1"/>
  <c r="AT346" i="6" s="1"/>
  <c r="AU346" i="6" s="1"/>
  <c r="AV346" i="6" s="1"/>
  <c r="AW346" i="6" s="1"/>
  <c r="AX346" i="6" s="1"/>
  <c r="AY346" i="6" s="1"/>
  <c r="AZ346" i="6" s="1"/>
  <c r="BA346" i="6" s="1"/>
  <c r="BB346" i="6" s="1"/>
  <c r="BC346" i="6" s="1"/>
  <c r="BD346" i="6" s="1"/>
  <c r="BE346" i="6" s="1"/>
  <c r="BF346" i="6" s="1"/>
  <c r="BG346" i="6" s="1"/>
  <c r="BH346" i="6" s="1"/>
  <c r="BI346" i="6" s="1"/>
  <c r="BJ346" i="6" s="1"/>
  <c r="BK346" i="6" s="1"/>
  <c r="BL346" i="6" s="1"/>
  <c r="BM346" i="6" s="1"/>
  <c r="BN346" i="6" s="1"/>
  <c r="BO346" i="6" s="1"/>
  <c r="BP346" i="6" s="1"/>
  <c r="BQ346" i="6" s="1"/>
  <c r="BR346" i="6" s="1"/>
  <c r="BS346" i="6" s="1"/>
  <c r="BT346" i="6" s="1"/>
  <c r="BU346" i="6" s="1"/>
  <c r="BV346" i="6" s="1"/>
  <c r="BW346" i="6" s="1"/>
  <c r="BX346" i="6" s="1"/>
  <c r="BY346" i="6" s="1"/>
  <c r="BZ346" i="6" s="1"/>
  <c r="CA346" i="6" s="1"/>
  <c r="CB346" i="6" s="1"/>
  <c r="CC346" i="6" s="1"/>
  <c r="CD346" i="6" s="1"/>
  <c r="CE346" i="6" s="1"/>
  <c r="CF346" i="6" s="1"/>
  <c r="CG346" i="6" s="1"/>
  <c r="CH346" i="6" s="1"/>
  <c r="CI346" i="6" s="1"/>
  <c r="CJ346" i="6" s="1"/>
  <c r="CK346" i="6" s="1"/>
  <c r="CL346" i="6" s="1"/>
  <c r="CM346" i="6" s="1"/>
  <c r="CN346" i="6" s="1"/>
  <c r="CO346" i="6" s="1"/>
  <c r="CP346" i="6" s="1"/>
  <c r="CQ346" i="6" s="1"/>
  <c r="CR346" i="6" s="1"/>
  <c r="CS346" i="6" s="1"/>
  <c r="CT346" i="6" s="1"/>
  <c r="CU346" i="6" s="1"/>
  <c r="CV346" i="6" s="1"/>
  <c r="CW346" i="6" s="1"/>
  <c r="CX346" i="6" s="1"/>
  <c r="CY346" i="6" s="1"/>
  <c r="CZ346" i="6" s="1"/>
  <c r="DA346" i="6" s="1"/>
  <c r="DB346" i="6" s="1"/>
  <c r="DC346" i="6" s="1"/>
  <c r="DD346" i="6" s="1"/>
  <c r="DE346" i="6" s="1"/>
  <c r="O299" i="6"/>
  <c r="L209" i="6"/>
  <c r="O132" i="6"/>
  <c r="O126" i="6"/>
  <c r="P126" i="6" s="1"/>
  <c r="Q126" i="6" s="1"/>
  <c r="R126" i="6" s="1"/>
  <c r="S126" i="6" s="1"/>
  <c r="T126" i="6" s="1"/>
  <c r="U126" i="6" s="1"/>
  <c r="V126" i="6" s="1"/>
  <c r="W126" i="6" s="1"/>
  <c r="X126" i="6" s="1"/>
  <c r="Y126" i="6" s="1"/>
  <c r="Z126" i="6" s="1"/>
  <c r="AA126" i="6" s="1"/>
  <c r="AB126" i="6" s="1"/>
  <c r="AC126" i="6" s="1"/>
  <c r="AD126" i="6" s="1"/>
  <c r="AE126" i="6" s="1"/>
  <c r="AF126" i="6" s="1"/>
  <c r="AG126" i="6" s="1"/>
  <c r="AH126" i="6" s="1"/>
  <c r="AI126" i="6" s="1"/>
  <c r="AJ126" i="6" s="1"/>
  <c r="AK126" i="6" s="1"/>
  <c r="AL126" i="6" s="1"/>
  <c r="AM126" i="6" s="1"/>
  <c r="AN126" i="6" s="1"/>
  <c r="AO126" i="6" s="1"/>
  <c r="AP126" i="6" s="1"/>
  <c r="AQ126" i="6" s="1"/>
  <c r="AR126" i="6" s="1"/>
  <c r="AS126" i="6" s="1"/>
  <c r="AT126" i="6" s="1"/>
  <c r="AU126" i="6" s="1"/>
  <c r="AV126" i="6" s="1"/>
  <c r="AW126" i="6" s="1"/>
  <c r="AX126" i="6" s="1"/>
  <c r="AY126" i="6" s="1"/>
  <c r="AZ126" i="6" s="1"/>
  <c r="BA126" i="6" s="1"/>
  <c r="BB126" i="6" s="1"/>
  <c r="BC126" i="6" s="1"/>
  <c r="BD126" i="6" s="1"/>
  <c r="BE126" i="6" s="1"/>
  <c r="BF126" i="6" s="1"/>
  <c r="BG126" i="6" s="1"/>
  <c r="BH126" i="6" s="1"/>
  <c r="BI126" i="6" s="1"/>
  <c r="BJ126" i="6" s="1"/>
  <c r="BK126" i="6" s="1"/>
  <c r="BL126" i="6" s="1"/>
  <c r="BM126" i="6" s="1"/>
  <c r="BN126" i="6" s="1"/>
  <c r="BO126" i="6" s="1"/>
  <c r="BP126" i="6" s="1"/>
  <c r="BQ126" i="6" s="1"/>
  <c r="BR126" i="6" s="1"/>
  <c r="BS126" i="6" s="1"/>
  <c r="BT126" i="6" s="1"/>
  <c r="BU126" i="6" s="1"/>
  <c r="BV126" i="6" s="1"/>
  <c r="BW126" i="6" s="1"/>
  <c r="BX126" i="6" s="1"/>
  <c r="BY126" i="6" s="1"/>
  <c r="BZ126" i="6" s="1"/>
  <c r="CA126" i="6" s="1"/>
  <c r="CB126" i="6" s="1"/>
  <c r="CC126" i="6" s="1"/>
  <c r="CD126" i="6" s="1"/>
  <c r="CE126" i="6" s="1"/>
  <c r="CF126" i="6" s="1"/>
  <c r="CG126" i="6" s="1"/>
  <c r="CH126" i="6" s="1"/>
  <c r="CI126" i="6" s="1"/>
  <c r="CJ126" i="6" s="1"/>
  <c r="CK126" i="6" s="1"/>
  <c r="CL126" i="6" s="1"/>
  <c r="CM126" i="6" s="1"/>
  <c r="CN126" i="6" s="1"/>
  <c r="CO126" i="6" s="1"/>
  <c r="CP126" i="6" s="1"/>
  <c r="CQ126" i="6" s="1"/>
  <c r="CR126" i="6" s="1"/>
  <c r="CS126" i="6" s="1"/>
  <c r="CT126" i="6" s="1"/>
  <c r="CU126" i="6" s="1"/>
  <c r="CV126" i="6" s="1"/>
  <c r="CW126" i="6" s="1"/>
  <c r="CX126" i="6" s="1"/>
  <c r="CY126" i="6" s="1"/>
  <c r="CZ126" i="6" s="1"/>
  <c r="DA126" i="6" s="1"/>
  <c r="DB126" i="6" s="1"/>
  <c r="DC126" i="6" s="1"/>
  <c r="DD126" i="6" s="1"/>
  <c r="DE126" i="6" s="1"/>
  <c r="O53" i="6"/>
  <c r="P53" i="6" s="1"/>
  <c r="Q53" i="6" s="1"/>
  <c r="R53" i="6" s="1"/>
  <c r="S53" i="6" s="1"/>
  <c r="T53" i="6" s="1"/>
  <c r="U53" i="6" s="1"/>
  <c r="V53" i="6" s="1"/>
  <c r="W53" i="6" s="1"/>
  <c r="X53" i="6" s="1"/>
  <c r="Y53" i="6" s="1"/>
  <c r="Z53" i="6" s="1"/>
  <c r="AA53" i="6" s="1"/>
  <c r="AB53" i="6" s="1"/>
  <c r="AC53" i="6" s="1"/>
  <c r="AD53" i="6" s="1"/>
  <c r="AE53" i="6" s="1"/>
  <c r="AF53" i="6" s="1"/>
  <c r="AG53" i="6" s="1"/>
  <c r="AH53" i="6" s="1"/>
  <c r="AI53" i="6" s="1"/>
  <c r="AJ53" i="6" s="1"/>
  <c r="AK53" i="6" s="1"/>
  <c r="AL53" i="6" s="1"/>
  <c r="AM53" i="6" s="1"/>
  <c r="AN53" i="6" s="1"/>
  <c r="AO53" i="6" s="1"/>
  <c r="AP53" i="6" s="1"/>
  <c r="AQ53" i="6" s="1"/>
  <c r="AR53" i="6" s="1"/>
  <c r="AS53" i="6" s="1"/>
  <c r="AT53" i="6" s="1"/>
  <c r="AU53" i="6" s="1"/>
  <c r="AV53" i="6" s="1"/>
  <c r="AW53" i="6" s="1"/>
  <c r="AX53" i="6" s="1"/>
  <c r="AY53" i="6" s="1"/>
  <c r="AZ53" i="6" s="1"/>
  <c r="BA53" i="6" s="1"/>
  <c r="BB53" i="6" s="1"/>
  <c r="BC53" i="6" s="1"/>
  <c r="BD53" i="6" s="1"/>
  <c r="BE53" i="6" s="1"/>
  <c r="BF53" i="6" s="1"/>
  <c r="BG53" i="6" s="1"/>
  <c r="BH53" i="6" s="1"/>
  <c r="BI53" i="6" s="1"/>
  <c r="BJ53" i="6" s="1"/>
  <c r="BK53" i="6" s="1"/>
  <c r="BL53" i="6" s="1"/>
  <c r="BM53" i="6" s="1"/>
  <c r="BN53" i="6" s="1"/>
  <c r="BO53" i="6" s="1"/>
  <c r="BP53" i="6" s="1"/>
  <c r="BQ53" i="6" s="1"/>
  <c r="BR53" i="6" s="1"/>
  <c r="BS53" i="6" s="1"/>
  <c r="BT53" i="6" s="1"/>
  <c r="BU53" i="6" s="1"/>
  <c r="BV53" i="6" s="1"/>
  <c r="BW53" i="6" s="1"/>
  <c r="BX53" i="6" s="1"/>
  <c r="BY53" i="6" s="1"/>
  <c r="BZ53" i="6" s="1"/>
  <c r="CA53" i="6" s="1"/>
  <c r="CB53" i="6" s="1"/>
  <c r="CC53" i="6" s="1"/>
  <c r="CD53" i="6" s="1"/>
  <c r="CE53" i="6" s="1"/>
  <c r="CF53" i="6" s="1"/>
  <c r="CG53" i="6" s="1"/>
  <c r="CH53" i="6" s="1"/>
  <c r="CI53" i="6" s="1"/>
  <c r="CJ53" i="6" s="1"/>
  <c r="CK53" i="6" s="1"/>
  <c r="CL53" i="6" s="1"/>
  <c r="CM53" i="6" s="1"/>
  <c r="CN53" i="6" s="1"/>
  <c r="CO53" i="6" s="1"/>
  <c r="CP53" i="6" s="1"/>
  <c r="CQ53" i="6" s="1"/>
  <c r="CR53" i="6" s="1"/>
  <c r="CS53" i="6" s="1"/>
  <c r="CT53" i="6" s="1"/>
  <c r="CU53" i="6" s="1"/>
  <c r="CV53" i="6" s="1"/>
  <c r="CW53" i="6" s="1"/>
  <c r="CX53" i="6" s="1"/>
  <c r="CY53" i="6" s="1"/>
  <c r="CZ53" i="6" s="1"/>
  <c r="DA53" i="6" s="1"/>
  <c r="DB53" i="6" s="1"/>
  <c r="DC53" i="6" s="1"/>
  <c r="DD53" i="6" s="1"/>
  <c r="DE53" i="6" s="1"/>
  <c r="O43" i="6"/>
  <c r="O37" i="6"/>
  <c r="P37" i="6" s="1"/>
  <c r="Q37" i="6" s="1"/>
  <c r="R37" i="6" s="1"/>
  <c r="S37" i="6" s="1"/>
  <c r="T37" i="6" s="1"/>
  <c r="U37" i="6" s="1"/>
  <c r="V37" i="6" s="1"/>
  <c r="W37" i="6" s="1"/>
  <c r="X37" i="6" s="1"/>
  <c r="Y37" i="6" s="1"/>
  <c r="Z37" i="6" s="1"/>
  <c r="AA37" i="6" s="1"/>
  <c r="AB37" i="6" s="1"/>
  <c r="AC37" i="6" s="1"/>
  <c r="AD37" i="6" s="1"/>
  <c r="AE37" i="6" s="1"/>
  <c r="AF37" i="6" s="1"/>
  <c r="AG37" i="6" s="1"/>
  <c r="AH37" i="6" s="1"/>
  <c r="AI37" i="6" s="1"/>
  <c r="AJ37" i="6" s="1"/>
  <c r="AK37" i="6" s="1"/>
  <c r="AL37" i="6" s="1"/>
  <c r="AM37" i="6" s="1"/>
  <c r="AN37" i="6" s="1"/>
  <c r="AO37" i="6" s="1"/>
  <c r="AP37" i="6" s="1"/>
  <c r="AQ37" i="6" s="1"/>
  <c r="AR37" i="6" s="1"/>
  <c r="AS37" i="6" s="1"/>
  <c r="AT37" i="6" s="1"/>
  <c r="AU37" i="6" s="1"/>
  <c r="AV37" i="6" s="1"/>
  <c r="AW37" i="6" s="1"/>
  <c r="AX37" i="6" s="1"/>
  <c r="AY37" i="6" s="1"/>
  <c r="AZ37" i="6" s="1"/>
  <c r="BA37" i="6" s="1"/>
  <c r="BB37" i="6" s="1"/>
  <c r="BC37" i="6" s="1"/>
  <c r="BD37" i="6" s="1"/>
  <c r="BE37" i="6" s="1"/>
  <c r="BF37" i="6" s="1"/>
  <c r="BG37" i="6" s="1"/>
  <c r="BH37" i="6" s="1"/>
  <c r="BI37" i="6" s="1"/>
  <c r="BJ37" i="6" s="1"/>
  <c r="BK37" i="6" s="1"/>
  <c r="BL37" i="6" s="1"/>
  <c r="BM37" i="6" s="1"/>
  <c r="BN37" i="6" s="1"/>
  <c r="BO37" i="6" s="1"/>
  <c r="BP37" i="6" s="1"/>
  <c r="BQ37" i="6" s="1"/>
  <c r="BR37" i="6" s="1"/>
  <c r="BS37" i="6" s="1"/>
  <c r="BT37" i="6" s="1"/>
  <c r="BU37" i="6" s="1"/>
  <c r="BV37" i="6" s="1"/>
  <c r="BW37" i="6" s="1"/>
  <c r="BX37" i="6" s="1"/>
  <c r="BY37" i="6" s="1"/>
  <c r="BZ37" i="6" s="1"/>
  <c r="CA37" i="6" s="1"/>
  <c r="CB37" i="6" s="1"/>
  <c r="CC37" i="6" s="1"/>
  <c r="CD37" i="6" s="1"/>
  <c r="CE37" i="6" s="1"/>
  <c r="CF37" i="6" s="1"/>
  <c r="CG37" i="6" s="1"/>
  <c r="CH37" i="6" s="1"/>
  <c r="CI37" i="6" s="1"/>
  <c r="CJ37" i="6" s="1"/>
  <c r="CK37" i="6" s="1"/>
  <c r="CL37" i="6" s="1"/>
  <c r="CM37" i="6" s="1"/>
  <c r="CN37" i="6" s="1"/>
  <c r="CO37" i="6" s="1"/>
  <c r="CP37" i="6" s="1"/>
  <c r="CQ37" i="6" s="1"/>
  <c r="CR37" i="6" s="1"/>
  <c r="CS37" i="6" s="1"/>
  <c r="CT37" i="6" s="1"/>
  <c r="CU37" i="6" s="1"/>
  <c r="CV37" i="6" s="1"/>
  <c r="CW37" i="6" s="1"/>
  <c r="CX37" i="6" s="1"/>
  <c r="CY37" i="6" s="1"/>
  <c r="CZ37" i="6" s="1"/>
  <c r="DA37" i="6" s="1"/>
  <c r="DB37" i="6" s="1"/>
  <c r="DC37" i="6" s="1"/>
  <c r="DD37" i="6" s="1"/>
  <c r="DE37" i="6" s="1"/>
  <c r="O35" i="6"/>
  <c r="P35" i="6" s="1"/>
  <c r="Q35" i="6" s="1"/>
  <c r="R35" i="6" s="1"/>
  <c r="S35" i="6" s="1"/>
  <c r="T35" i="6" s="1"/>
  <c r="U35" i="6" s="1"/>
  <c r="V35" i="6" s="1"/>
  <c r="W35" i="6" s="1"/>
  <c r="X35" i="6" s="1"/>
  <c r="Y35" i="6" s="1"/>
  <c r="Z35" i="6" s="1"/>
  <c r="AA35" i="6" s="1"/>
  <c r="AB35" i="6" s="1"/>
  <c r="AC35" i="6" s="1"/>
  <c r="AD35" i="6" s="1"/>
  <c r="AE35" i="6" s="1"/>
  <c r="AF35" i="6" s="1"/>
  <c r="AG35" i="6" s="1"/>
  <c r="AH35" i="6" s="1"/>
  <c r="AI35" i="6" s="1"/>
  <c r="AJ35" i="6" s="1"/>
  <c r="AK35" i="6" s="1"/>
  <c r="AL35" i="6" s="1"/>
  <c r="AM35" i="6" s="1"/>
  <c r="AN35" i="6" s="1"/>
  <c r="AO35" i="6" s="1"/>
  <c r="AP35" i="6" s="1"/>
  <c r="AQ35" i="6" s="1"/>
  <c r="AR35" i="6" s="1"/>
  <c r="AS35" i="6" s="1"/>
  <c r="AT35" i="6" s="1"/>
  <c r="AU35" i="6" s="1"/>
  <c r="AV35" i="6" s="1"/>
  <c r="AW35" i="6" s="1"/>
  <c r="AX35" i="6" s="1"/>
  <c r="AY35" i="6" s="1"/>
  <c r="AZ35" i="6" s="1"/>
  <c r="BA35" i="6" s="1"/>
  <c r="BB35" i="6" s="1"/>
  <c r="BC35" i="6" s="1"/>
  <c r="BD35" i="6" s="1"/>
  <c r="BE35" i="6" s="1"/>
  <c r="BF35" i="6" s="1"/>
  <c r="BG35" i="6" s="1"/>
  <c r="BH35" i="6" s="1"/>
  <c r="BI35" i="6" s="1"/>
  <c r="BJ35" i="6" s="1"/>
  <c r="BK35" i="6" s="1"/>
  <c r="BL35" i="6" s="1"/>
  <c r="BM35" i="6" s="1"/>
  <c r="BN35" i="6" s="1"/>
  <c r="BO35" i="6" s="1"/>
  <c r="BP35" i="6" s="1"/>
  <c r="BQ35" i="6" s="1"/>
  <c r="BR35" i="6" s="1"/>
  <c r="BS35" i="6" s="1"/>
  <c r="BT35" i="6" s="1"/>
  <c r="BU35" i="6" s="1"/>
  <c r="BV35" i="6" s="1"/>
  <c r="BW35" i="6" s="1"/>
  <c r="BX35" i="6" s="1"/>
  <c r="BY35" i="6" s="1"/>
  <c r="BZ35" i="6" s="1"/>
  <c r="CA35" i="6" s="1"/>
  <c r="CB35" i="6" s="1"/>
  <c r="CC35" i="6" s="1"/>
  <c r="CD35" i="6" s="1"/>
  <c r="CE35" i="6" s="1"/>
  <c r="CF35" i="6" s="1"/>
  <c r="CG35" i="6" s="1"/>
  <c r="CH35" i="6" s="1"/>
  <c r="CI35" i="6" s="1"/>
  <c r="CJ35" i="6" s="1"/>
  <c r="CK35" i="6" s="1"/>
  <c r="CL35" i="6" s="1"/>
  <c r="CM35" i="6" s="1"/>
  <c r="CN35" i="6" s="1"/>
  <c r="CO35" i="6" s="1"/>
  <c r="CP35" i="6" s="1"/>
  <c r="CQ35" i="6" s="1"/>
  <c r="CR35" i="6" s="1"/>
  <c r="CS35" i="6" s="1"/>
  <c r="CT35" i="6" s="1"/>
  <c r="CU35" i="6" s="1"/>
  <c r="CV35" i="6" s="1"/>
  <c r="CW35" i="6" s="1"/>
  <c r="CX35" i="6" s="1"/>
  <c r="CY35" i="6" s="1"/>
  <c r="CZ35" i="6" s="1"/>
  <c r="DA35" i="6" s="1"/>
  <c r="DB35" i="6" s="1"/>
  <c r="DC35" i="6" s="1"/>
  <c r="DD35" i="6" s="1"/>
  <c r="DE35" i="6" s="1"/>
  <c r="L33" i="6"/>
  <c r="M33" i="6" s="1"/>
  <c r="N33" i="6" s="1"/>
  <c r="O33" i="6" s="1"/>
  <c r="P33" i="6" s="1"/>
  <c r="Q33" i="6" s="1"/>
  <c r="R33" i="6" s="1"/>
  <c r="S33" i="6" s="1"/>
  <c r="T33" i="6" s="1"/>
  <c r="U33" i="6" s="1"/>
  <c r="V33" i="6" s="1"/>
  <c r="W33" i="6" s="1"/>
  <c r="X33" i="6" s="1"/>
  <c r="Y33" i="6" s="1"/>
  <c r="Z33" i="6" s="1"/>
  <c r="AA33" i="6" s="1"/>
  <c r="AB33" i="6" s="1"/>
  <c r="AC33" i="6" s="1"/>
  <c r="AD33" i="6" s="1"/>
  <c r="AE33" i="6" s="1"/>
  <c r="AF33" i="6" s="1"/>
  <c r="AG33" i="6" s="1"/>
  <c r="AH33" i="6" s="1"/>
  <c r="AI33" i="6" s="1"/>
  <c r="AJ33" i="6" s="1"/>
  <c r="AK33" i="6" s="1"/>
  <c r="AL33" i="6" s="1"/>
  <c r="AM33" i="6" s="1"/>
  <c r="AN33" i="6" s="1"/>
  <c r="AO33" i="6" s="1"/>
  <c r="AP33" i="6" s="1"/>
  <c r="AQ33" i="6" s="1"/>
  <c r="AR33" i="6" s="1"/>
  <c r="AS33" i="6" s="1"/>
  <c r="AT33" i="6" s="1"/>
  <c r="AU33" i="6" s="1"/>
  <c r="AV33" i="6" s="1"/>
  <c r="AW33" i="6" s="1"/>
  <c r="AX33" i="6" s="1"/>
  <c r="AY33" i="6" s="1"/>
  <c r="AZ33" i="6" s="1"/>
  <c r="BA33" i="6" s="1"/>
  <c r="BB33" i="6" s="1"/>
  <c r="BC33" i="6" s="1"/>
  <c r="BD33" i="6" s="1"/>
  <c r="BE33" i="6" s="1"/>
  <c r="BF33" i="6" s="1"/>
  <c r="BG33" i="6" s="1"/>
  <c r="BH33" i="6" s="1"/>
  <c r="BI33" i="6" s="1"/>
  <c r="BJ33" i="6" s="1"/>
  <c r="BK33" i="6" s="1"/>
  <c r="BL33" i="6" s="1"/>
  <c r="BM33" i="6" s="1"/>
  <c r="BN33" i="6" s="1"/>
  <c r="BO33" i="6" s="1"/>
  <c r="BP33" i="6" s="1"/>
  <c r="BQ33" i="6" s="1"/>
  <c r="BR33" i="6" s="1"/>
  <c r="BS33" i="6" s="1"/>
  <c r="BT33" i="6" s="1"/>
  <c r="BU33" i="6" s="1"/>
  <c r="BV33" i="6" s="1"/>
  <c r="BW33" i="6" s="1"/>
  <c r="BX33" i="6" s="1"/>
  <c r="BY33" i="6" s="1"/>
  <c r="BZ33" i="6" s="1"/>
  <c r="CA33" i="6" s="1"/>
  <c r="CB33" i="6" s="1"/>
  <c r="CC33" i="6" s="1"/>
  <c r="CD33" i="6" s="1"/>
  <c r="CE33" i="6" s="1"/>
  <c r="CF33" i="6" s="1"/>
  <c r="CG33" i="6" s="1"/>
  <c r="CH33" i="6" s="1"/>
  <c r="CI33" i="6" s="1"/>
  <c r="CJ33" i="6" s="1"/>
  <c r="CK33" i="6" s="1"/>
  <c r="CL33" i="6" s="1"/>
  <c r="CM33" i="6" s="1"/>
  <c r="CN33" i="6" s="1"/>
  <c r="CO33" i="6" s="1"/>
  <c r="CP33" i="6" s="1"/>
  <c r="CQ33" i="6" s="1"/>
  <c r="CR33" i="6" s="1"/>
  <c r="CS33" i="6" s="1"/>
  <c r="CT33" i="6" s="1"/>
  <c r="CU33" i="6" s="1"/>
  <c r="CV33" i="6" s="1"/>
  <c r="CW33" i="6" s="1"/>
  <c r="CX33" i="6" s="1"/>
  <c r="CY33" i="6" s="1"/>
  <c r="CZ33" i="6" s="1"/>
  <c r="DA33" i="6" s="1"/>
  <c r="DB33" i="6" s="1"/>
  <c r="DC33" i="6" s="1"/>
  <c r="DD33" i="6" s="1"/>
  <c r="DE33" i="6" s="1"/>
  <c r="O7" i="6"/>
  <c r="O241" i="6"/>
  <c r="P241" i="6" s="1"/>
  <c r="Q241" i="6" s="1"/>
  <c r="R241" i="6" s="1"/>
  <c r="S241" i="6" s="1"/>
  <c r="T241" i="6" s="1"/>
  <c r="U241" i="6" s="1"/>
  <c r="V241" i="6" s="1"/>
  <c r="W241" i="6" s="1"/>
  <c r="X241" i="6" s="1"/>
  <c r="Y241" i="6" s="1"/>
  <c r="Z241" i="6" s="1"/>
  <c r="AA241" i="6" s="1"/>
  <c r="AB241" i="6" s="1"/>
  <c r="AC241" i="6" s="1"/>
  <c r="AD241" i="6" s="1"/>
  <c r="AE241" i="6" s="1"/>
  <c r="AF241" i="6" s="1"/>
  <c r="AG241" i="6" s="1"/>
  <c r="AH241" i="6" s="1"/>
  <c r="AI241" i="6" s="1"/>
  <c r="AJ241" i="6" s="1"/>
  <c r="AK241" i="6" s="1"/>
  <c r="AL241" i="6" s="1"/>
  <c r="AM241" i="6" s="1"/>
  <c r="AN241" i="6" s="1"/>
  <c r="AO241" i="6" s="1"/>
  <c r="AP241" i="6" s="1"/>
  <c r="AQ241" i="6" s="1"/>
  <c r="AR241" i="6" s="1"/>
  <c r="AS241" i="6" s="1"/>
  <c r="AT241" i="6" s="1"/>
  <c r="AU241" i="6" s="1"/>
  <c r="AV241" i="6" s="1"/>
  <c r="AW241" i="6" s="1"/>
  <c r="AX241" i="6" s="1"/>
  <c r="AY241" i="6" s="1"/>
  <c r="AZ241" i="6" s="1"/>
  <c r="BA241" i="6" s="1"/>
  <c r="BB241" i="6" s="1"/>
  <c r="BC241" i="6" s="1"/>
  <c r="BD241" i="6" s="1"/>
  <c r="BE241" i="6" s="1"/>
  <c r="BF241" i="6" s="1"/>
  <c r="BG241" i="6" s="1"/>
  <c r="BH241" i="6" s="1"/>
  <c r="BI241" i="6" s="1"/>
  <c r="BJ241" i="6" s="1"/>
  <c r="BK241" i="6" s="1"/>
  <c r="BL241" i="6" s="1"/>
  <c r="BM241" i="6" s="1"/>
  <c r="BN241" i="6" s="1"/>
  <c r="BO241" i="6" s="1"/>
  <c r="BP241" i="6" s="1"/>
  <c r="BQ241" i="6" s="1"/>
  <c r="BR241" i="6" s="1"/>
  <c r="BS241" i="6" s="1"/>
  <c r="BT241" i="6" s="1"/>
  <c r="BU241" i="6" s="1"/>
  <c r="BV241" i="6" s="1"/>
  <c r="BW241" i="6" s="1"/>
  <c r="BX241" i="6" s="1"/>
  <c r="BY241" i="6" s="1"/>
  <c r="BZ241" i="6" s="1"/>
  <c r="CA241" i="6" s="1"/>
  <c r="CB241" i="6" s="1"/>
  <c r="CC241" i="6" s="1"/>
  <c r="CD241" i="6" s="1"/>
  <c r="CE241" i="6" s="1"/>
  <c r="CF241" i="6" s="1"/>
  <c r="CG241" i="6" s="1"/>
  <c r="CH241" i="6" s="1"/>
  <c r="CI241" i="6" s="1"/>
  <c r="CJ241" i="6" s="1"/>
  <c r="CK241" i="6" s="1"/>
  <c r="CL241" i="6" s="1"/>
  <c r="CM241" i="6" s="1"/>
  <c r="CN241" i="6" s="1"/>
  <c r="CO241" i="6" s="1"/>
  <c r="CP241" i="6" s="1"/>
  <c r="CQ241" i="6" s="1"/>
  <c r="CR241" i="6" s="1"/>
  <c r="CS241" i="6" s="1"/>
  <c r="CT241" i="6" s="1"/>
  <c r="CU241" i="6" s="1"/>
  <c r="CV241" i="6" s="1"/>
  <c r="CW241" i="6" s="1"/>
  <c r="CX241" i="6" s="1"/>
  <c r="CY241" i="6" s="1"/>
  <c r="CZ241" i="6" s="1"/>
  <c r="DA241" i="6" s="1"/>
  <c r="DB241" i="6" s="1"/>
  <c r="DC241" i="6" s="1"/>
  <c r="DD241" i="6" s="1"/>
  <c r="DE241" i="6" s="1"/>
  <c r="O219" i="6"/>
  <c r="S195" i="6"/>
  <c r="T195" i="6" s="1"/>
  <c r="U195" i="6" s="1"/>
  <c r="V195" i="6" s="1"/>
  <c r="W195" i="6" s="1"/>
  <c r="X195" i="6" s="1"/>
  <c r="Y195" i="6" s="1"/>
  <c r="Z195" i="6" s="1"/>
  <c r="AA195" i="6" s="1"/>
  <c r="AB195" i="6" s="1"/>
  <c r="AC195" i="6" s="1"/>
  <c r="AD195" i="6" s="1"/>
  <c r="AE195" i="6" s="1"/>
  <c r="AF195" i="6" s="1"/>
  <c r="AG195" i="6" s="1"/>
  <c r="AH195" i="6" s="1"/>
  <c r="AI195" i="6" s="1"/>
  <c r="AJ195" i="6" s="1"/>
  <c r="AK195" i="6" s="1"/>
  <c r="AL195" i="6" s="1"/>
  <c r="AM195" i="6" s="1"/>
  <c r="AN195" i="6" s="1"/>
  <c r="AO195" i="6" s="1"/>
  <c r="AP195" i="6" s="1"/>
  <c r="AQ195" i="6" s="1"/>
  <c r="AR195" i="6" s="1"/>
  <c r="AS195" i="6" s="1"/>
  <c r="AT195" i="6" s="1"/>
  <c r="AU195" i="6" s="1"/>
  <c r="AV195" i="6" s="1"/>
  <c r="AW195" i="6" s="1"/>
  <c r="AX195" i="6" s="1"/>
  <c r="AY195" i="6" s="1"/>
  <c r="AZ195" i="6" s="1"/>
  <c r="BA195" i="6" s="1"/>
  <c r="BB195" i="6" s="1"/>
  <c r="BC195" i="6" s="1"/>
  <c r="BD195" i="6" s="1"/>
  <c r="BE195" i="6" s="1"/>
  <c r="BF195" i="6" s="1"/>
  <c r="BG195" i="6" s="1"/>
  <c r="BH195" i="6" s="1"/>
  <c r="BI195" i="6" s="1"/>
  <c r="BJ195" i="6" s="1"/>
  <c r="BK195" i="6" s="1"/>
  <c r="BL195" i="6" s="1"/>
  <c r="BM195" i="6" s="1"/>
  <c r="BN195" i="6" s="1"/>
  <c r="BO195" i="6" s="1"/>
  <c r="BP195" i="6" s="1"/>
  <c r="BQ195" i="6" s="1"/>
  <c r="BR195" i="6" s="1"/>
  <c r="BS195" i="6" s="1"/>
  <c r="BT195" i="6" s="1"/>
  <c r="BU195" i="6" s="1"/>
  <c r="BV195" i="6" s="1"/>
  <c r="BW195" i="6" s="1"/>
  <c r="BX195" i="6" s="1"/>
  <c r="BY195" i="6" s="1"/>
  <c r="BZ195" i="6" s="1"/>
  <c r="CA195" i="6" s="1"/>
  <c r="CB195" i="6" s="1"/>
  <c r="CC195" i="6" s="1"/>
  <c r="CD195" i="6" s="1"/>
  <c r="CE195" i="6" s="1"/>
  <c r="CF195" i="6" s="1"/>
  <c r="CG195" i="6" s="1"/>
  <c r="CH195" i="6" s="1"/>
  <c r="CI195" i="6" s="1"/>
  <c r="CJ195" i="6" s="1"/>
  <c r="CK195" i="6" s="1"/>
  <c r="CL195" i="6" s="1"/>
  <c r="CM195" i="6" s="1"/>
  <c r="CN195" i="6" s="1"/>
  <c r="CO195" i="6" s="1"/>
  <c r="CP195" i="6" s="1"/>
  <c r="CQ195" i="6" s="1"/>
  <c r="CR195" i="6" s="1"/>
  <c r="CS195" i="6" s="1"/>
  <c r="CT195" i="6" s="1"/>
  <c r="CU195" i="6" s="1"/>
  <c r="CV195" i="6" s="1"/>
  <c r="CW195" i="6" s="1"/>
  <c r="CX195" i="6" s="1"/>
  <c r="CY195" i="6" s="1"/>
  <c r="CZ195" i="6" s="1"/>
  <c r="DA195" i="6" s="1"/>
  <c r="DB195" i="6" s="1"/>
  <c r="DC195" i="6" s="1"/>
  <c r="DD195" i="6" s="1"/>
  <c r="DE195" i="6" s="1"/>
  <c r="W189" i="6"/>
  <c r="X189" i="6" s="1"/>
  <c r="Y189" i="6" s="1"/>
  <c r="Z189" i="6" s="1"/>
  <c r="AA189" i="6" s="1"/>
  <c r="AB189" i="6" s="1"/>
  <c r="AC189" i="6" s="1"/>
  <c r="AD189" i="6" s="1"/>
  <c r="AE189" i="6" s="1"/>
  <c r="AF189" i="6" s="1"/>
  <c r="AG189" i="6" s="1"/>
  <c r="AH189" i="6" s="1"/>
  <c r="AI189" i="6" s="1"/>
  <c r="AJ189" i="6" s="1"/>
  <c r="AK189" i="6" s="1"/>
  <c r="AL189" i="6" s="1"/>
  <c r="AM189" i="6" s="1"/>
  <c r="AN189" i="6" s="1"/>
  <c r="AO189" i="6" s="1"/>
  <c r="AP189" i="6" s="1"/>
  <c r="AQ189" i="6" s="1"/>
  <c r="AR189" i="6" s="1"/>
  <c r="AS189" i="6" s="1"/>
  <c r="AT189" i="6" s="1"/>
  <c r="AU189" i="6" s="1"/>
  <c r="AV189" i="6" s="1"/>
  <c r="AW189" i="6" s="1"/>
  <c r="AX189" i="6" s="1"/>
  <c r="AY189" i="6" s="1"/>
  <c r="AZ189" i="6" s="1"/>
  <c r="BA189" i="6" s="1"/>
  <c r="BB189" i="6" s="1"/>
  <c r="BC189" i="6" s="1"/>
  <c r="BD189" i="6" s="1"/>
  <c r="BE189" i="6" s="1"/>
  <c r="BF189" i="6" s="1"/>
  <c r="BG189" i="6" s="1"/>
  <c r="BH189" i="6" s="1"/>
  <c r="BI189" i="6" s="1"/>
  <c r="BJ189" i="6" s="1"/>
  <c r="BK189" i="6" s="1"/>
  <c r="BL189" i="6" s="1"/>
  <c r="BM189" i="6" s="1"/>
  <c r="BN189" i="6" s="1"/>
  <c r="BO189" i="6" s="1"/>
  <c r="BP189" i="6" s="1"/>
  <c r="BQ189" i="6" s="1"/>
  <c r="BR189" i="6" s="1"/>
  <c r="BS189" i="6" s="1"/>
  <c r="BT189" i="6" s="1"/>
  <c r="BU189" i="6" s="1"/>
  <c r="BV189" i="6" s="1"/>
  <c r="BW189" i="6" s="1"/>
  <c r="BX189" i="6" s="1"/>
  <c r="BY189" i="6" s="1"/>
  <c r="BZ189" i="6" s="1"/>
  <c r="CA189" i="6" s="1"/>
  <c r="CB189" i="6" s="1"/>
  <c r="CC189" i="6" s="1"/>
  <c r="CD189" i="6" s="1"/>
  <c r="CE189" i="6" s="1"/>
  <c r="CF189" i="6" s="1"/>
  <c r="CG189" i="6" s="1"/>
  <c r="CH189" i="6" s="1"/>
  <c r="CI189" i="6" s="1"/>
  <c r="CJ189" i="6" s="1"/>
  <c r="CK189" i="6" s="1"/>
  <c r="CL189" i="6" s="1"/>
  <c r="CM189" i="6" s="1"/>
  <c r="CN189" i="6" s="1"/>
  <c r="CO189" i="6" s="1"/>
  <c r="CP189" i="6" s="1"/>
  <c r="CQ189" i="6" s="1"/>
  <c r="CR189" i="6" s="1"/>
  <c r="CS189" i="6" s="1"/>
  <c r="CT189" i="6" s="1"/>
  <c r="CU189" i="6" s="1"/>
  <c r="CV189" i="6" s="1"/>
  <c r="CW189" i="6" s="1"/>
  <c r="CX189" i="6" s="1"/>
  <c r="CY189" i="6" s="1"/>
  <c r="CZ189" i="6" s="1"/>
  <c r="DA189" i="6" s="1"/>
  <c r="DB189" i="6" s="1"/>
  <c r="DC189" i="6" s="1"/>
  <c r="DD189" i="6" s="1"/>
  <c r="DE189" i="6" s="1"/>
  <c r="W187" i="6"/>
  <c r="X187" i="6" s="1"/>
  <c r="Y187" i="6" s="1"/>
  <c r="Z187" i="6" s="1"/>
  <c r="AA187" i="6" s="1"/>
  <c r="AB187" i="6" s="1"/>
  <c r="AC187" i="6" s="1"/>
  <c r="AD187" i="6" s="1"/>
  <c r="AE187" i="6" s="1"/>
  <c r="AF187" i="6" s="1"/>
  <c r="AG187" i="6" s="1"/>
  <c r="AH187" i="6" s="1"/>
  <c r="AI187" i="6" s="1"/>
  <c r="AJ187" i="6" s="1"/>
  <c r="AK187" i="6" s="1"/>
  <c r="AL187" i="6" s="1"/>
  <c r="AM187" i="6" s="1"/>
  <c r="AN187" i="6" s="1"/>
  <c r="AO187" i="6" s="1"/>
  <c r="AP187" i="6" s="1"/>
  <c r="AQ187" i="6" s="1"/>
  <c r="AR187" i="6" s="1"/>
  <c r="AS187" i="6" s="1"/>
  <c r="AT187" i="6" s="1"/>
  <c r="AU187" i="6" s="1"/>
  <c r="AV187" i="6" s="1"/>
  <c r="AW187" i="6" s="1"/>
  <c r="AX187" i="6" s="1"/>
  <c r="AY187" i="6" s="1"/>
  <c r="AZ187" i="6" s="1"/>
  <c r="BA187" i="6" s="1"/>
  <c r="BB187" i="6" s="1"/>
  <c r="BC187" i="6" s="1"/>
  <c r="BD187" i="6" s="1"/>
  <c r="BE187" i="6" s="1"/>
  <c r="BF187" i="6" s="1"/>
  <c r="BG187" i="6" s="1"/>
  <c r="BH187" i="6" s="1"/>
  <c r="BI187" i="6" s="1"/>
  <c r="BJ187" i="6" s="1"/>
  <c r="BK187" i="6" s="1"/>
  <c r="BL187" i="6" s="1"/>
  <c r="BM187" i="6" s="1"/>
  <c r="BN187" i="6" s="1"/>
  <c r="BO187" i="6" s="1"/>
  <c r="BP187" i="6" s="1"/>
  <c r="BQ187" i="6" s="1"/>
  <c r="BR187" i="6" s="1"/>
  <c r="BS187" i="6" s="1"/>
  <c r="BT187" i="6" s="1"/>
  <c r="BU187" i="6" s="1"/>
  <c r="BV187" i="6" s="1"/>
  <c r="BW187" i="6" s="1"/>
  <c r="BX187" i="6" s="1"/>
  <c r="BY187" i="6" s="1"/>
  <c r="BZ187" i="6" s="1"/>
  <c r="CA187" i="6" s="1"/>
  <c r="CB187" i="6" s="1"/>
  <c r="CC187" i="6" s="1"/>
  <c r="CD187" i="6" s="1"/>
  <c r="CE187" i="6" s="1"/>
  <c r="CF187" i="6" s="1"/>
  <c r="CG187" i="6" s="1"/>
  <c r="CH187" i="6" s="1"/>
  <c r="CI187" i="6" s="1"/>
  <c r="CJ187" i="6" s="1"/>
  <c r="CK187" i="6" s="1"/>
  <c r="CL187" i="6" s="1"/>
  <c r="CM187" i="6" s="1"/>
  <c r="CN187" i="6" s="1"/>
  <c r="CO187" i="6" s="1"/>
  <c r="CP187" i="6" s="1"/>
  <c r="CQ187" i="6" s="1"/>
  <c r="CR187" i="6" s="1"/>
  <c r="CS187" i="6" s="1"/>
  <c r="CT187" i="6" s="1"/>
  <c r="CU187" i="6" s="1"/>
  <c r="CV187" i="6" s="1"/>
  <c r="CW187" i="6" s="1"/>
  <c r="CX187" i="6" s="1"/>
  <c r="CY187" i="6" s="1"/>
  <c r="CZ187" i="6" s="1"/>
  <c r="DA187" i="6" s="1"/>
  <c r="DB187" i="6" s="1"/>
  <c r="DC187" i="6" s="1"/>
  <c r="DD187" i="6" s="1"/>
  <c r="DE187" i="6" s="1"/>
  <c r="W185" i="6"/>
  <c r="X185" i="6" s="1"/>
  <c r="Y185" i="6" s="1"/>
  <c r="Z185" i="6" s="1"/>
  <c r="AA185" i="6" s="1"/>
  <c r="AB185" i="6" s="1"/>
  <c r="AC185" i="6" s="1"/>
  <c r="AD185" i="6" s="1"/>
  <c r="AE185" i="6" s="1"/>
  <c r="AF185" i="6" s="1"/>
  <c r="AG185" i="6" s="1"/>
  <c r="AH185" i="6" s="1"/>
  <c r="AI185" i="6" s="1"/>
  <c r="AJ185" i="6" s="1"/>
  <c r="AK185" i="6" s="1"/>
  <c r="AL185" i="6" s="1"/>
  <c r="AM185" i="6" s="1"/>
  <c r="AN185" i="6" s="1"/>
  <c r="AO185" i="6" s="1"/>
  <c r="AP185" i="6" s="1"/>
  <c r="AQ185" i="6" s="1"/>
  <c r="AR185" i="6" s="1"/>
  <c r="AS185" i="6" s="1"/>
  <c r="AT185" i="6" s="1"/>
  <c r="AU185" i="6" s="1"/>
  <c r="AV185" i="6" s="1"/>
  <c r="AW185" i="6" s="1"/>
  <c r="AX185" i="6" s="1"/>
  <c r="AY185" i="6" s="1"/>
  <c r="AZ185" i="6" s="1"/>
  <c r="BA185" i="6" s="1"/>
  <c r="BB185" i="6" s="1"/>
  <c r="BC185" i="6" s="1"/>
  <c r="BD185" i="6" s="1"/>
  <c r="BE185" i="6" s="1"/>
  <c r="BF185" i="6" s="1"/>
  <c r="BG185" i="6" s="1"/>
  <c r="BH185" i="6" s="1"/>
  <c r="BI185" i="6" s="1"/>
  <c r="BJ185" i="6" s="1"/>
  <c r="BK185" i="6" s="1"/>
  <c r="BL185" i="6" s="1"/>
  <c r="BM185" i="6" s="1"/>
  <c r="BN185" i="6" s="1"/>
  <c r="BO185" i="6" s="1"/>
  <c r="BP185" i="6" s="1"/>
  <c r="BQ185" i="6" s="1"/>
  <c r="BR185" i="6" s="1"/>
  <c r="BS185" i="6" s="1"/>
  <c r="BT185" i="6" s="1"/>
  <c r="BU185" i="6" s="1"/>
  <c r="BV185" i="6" s="1"/>
  <c r="BW185" i="6" s="1"/>
  <c r="BX185" i="6" s="1"/>
  <c r="BY185" i="6" s="1"/>
  <c r="BZ185" i="6" s="1"/>
  <c r="CA185" i="6" s="1"/>
  <c r="CB185" i="6" s="1"/>
  <c r="CC185" i="6" s="1"/>
  <c r="CD185" i="6" s="1"/>
  <c r="CE185" i="6" s="1"/>
  <c r="CF185" i="6" s="1"/>
  <c r="CG185" i="6" s="1"/>
  <c r="CH185" i="6" s="1"/>
  <c r="CI185" i="6" s="1"/>
  <c r="CJ185" i="6" s="1"/>
  <c r="CK185" i="6" s="1"/>
  <c r="CL185" i="6" s="1"/>
  <c r="CM185" i="6" s="1"/>
  <c r="CN185" i="6" s="1"/>
  <c r="CO185" i="6" s="1"/>
  <c r="CP185" i="6" s="1"/>
  <c r="CQ185" i="6" s="1"/>
  <c r="CR185" i="6" s="1"/>
  <c r="CS185" i="6" s="1"/>
  <c r="CT185" i="6" s="1"/>
  <c r="CU185" i="6" s="1"/>
  <c r="CV185" i="6" s="1"/>
  <c r="CW185" i="6" s="1"/>
  <c r="CX185" i="6" s="1"/>
  <c r="CY185" i="6" s="1"/>
  <c r="CZ185" i="6" s="1"/>
  <c r="DA185" i="6" s="1"/>
  <c r="DB185" i="6" s="1"/>
  <c r="DC185" i="6" s="1"/>
  <c r="DD185" i="6" s="1"/>
  <c r="DE185" i="6" s="1"/>
  <c r="W183" i="6"/>
  <c r="X183" i="6" s="1"/>
  <c r="Y183" i="6" s="1"/>
  <c r="Z183" i="6" s="1"/>
  <c r="AA183" i="6" s="1"/>
  <c r="AB183" i="6" s="1"/>
  <c r="AC183" i="6" s="1"/>
  <c r="AD183" i="6" s="1"/>
  <c r="AE183" i="6" s="1"/>
  <c r="AF183" i="6" s="1"/>
  <c r="AG183" i="6" s="1"/>
  <c r="AH183" i="6" s="1"/>
  <c r="AI183" i="6" s="1"/>
  <c r="AJ183" i="6" s="1"/>
  <c r="AK183" i="6" s="1"/>
  <c r="AL183" i="6" s="1"/>
  <c r="AM183" i="6" s="1"/>
  <c r="AN183" i="6" s="1"/>
  <c r="AO183" i="6" s="1"/>
  <c r="AP183" i="6" s="1"/>
  <c r="AQ183" i="6" s="1"/>
  <c r="AR183" i="6" s="1"/>
  <c r="AS183" i="6" s="1"/>
  <c r="AT183" i="6" s="1"/>
  <c r="AU183" i="6" s="1"/>
  <c r="AV183" i="6" s="1"/>
  <c r="AW183" i="6" s="1"/>
  <c r="AX183" i="6" s="1"/>
  <c r="AY183" i="6" s="1"/>
  <c r="AZ183" i="6" s="1"/>
  <c r="BA183" i="6" s="1"/>
  <c r="BB183" i="6" s="1"/>
  <c r="BC183" i="6" s="1"/>
  <c r="BD183" i="6" s="1"/>
  <c r="BE183" i="6" s="1"/>
  <c r="BF183" i="6" s="1"/>
  <c r="BG183" i="6" s="1"/>
  <c r="BH183" i="6" s="1"/>
  <c r="BI183" i="6" s="1"/>
  <c r="BJ183" i="6" s="1"/>
  <c r="BK183" i="6" s="1"/>
  <c r="BL183" i="6" s="1"/>
  <c r="BM183" i="6" s="1"/>
  <c r="BN183" i="6" s="1"/>
  <c r="BO183" i="6" s="1"/>
  <c r="BP183" i="6" s="1"/>
  <c r="BQ183" i="6" s="1"/>
  <c r="BR183" i="6" s="1"/>
  <c r="BS183" i="6" s="1"/>
  <c r="BT183" i="6" s="1"/>
  <c r="BU183" i="6" s="1"/>
  <c r="BV183" i="6" s="1"/>
  <c r="BW183" i="6" s="1"/>
  <c r="BX183" i="6" s="1"/>
  <c r="BY183" i="6" s="1"/>
  <c r="BZ183" i="6" s="1"/>
  <c r="CA183" i="6" s="1"/>
  <c r="CB183" i="6" s="1"/>
  <c r="CC183" i="6" s="1"/>
  <c r="CD183" i="6" s="1"/>
  <c r="CE183" i="6" s="1"/>
  <c r="CF183" i="6" s="1"/>
  <c r="CG183" i="6" s="1"/>
  <c r="CH183" i="6" s="1"/>
  <c r="CI183" i="6" s="1"/>
  <c r="CJ183" i="6" s="1"/>
  <c r="CK183" i="6" s="1"/>
  <c r="CL183" i="6" s="1"/>
  <c r="CM183" i="6" s="1"/>
  <c r="CN183" i="6" s="1"/>
  <c r="CO183" i="6" s="1"/>
  <c r="CP183" i="6" s="1"/>
  <c r="CQ183" i="6" s="1"/>
  <c r="CR183" i="6" s="1"/>
  <c r="CS183" i="6" s="1"/>
  <c r="CT183" i="6" s="1"/>
  <c r="CU183" i="6" s="1"/>
  <c r="CV183" i="6" s="1"/>
  <c r="CW183" i="6" s="1"/>
  <c r="CX183" i="6" s="1"/>
  <c r="CY183" i="6" s="1"/>
  <c r="CZ183" i="6" s="1"/>
  <c r="DA183" i="6" s="1"/>
  <c r="DB183" i="6" s="1"/>
  <c r="DC183" i="6" s="1"/>
  <c r="DD183" i="6" s="1"/>
  <c r="DE183" i="6" s="1"/>
  <c r="O158" i="6"/>
  <c r="S350" i="6"/>
  <c r="T350" i="6" s="1"/>
  <c r="U350" i="6" s="1"/>
  <c r="V350" i="6" s="1"/>
  <c r="W350" i="6" s="1"/>
  <c r="X350" i="6" s="1"/>
  <c r="Y350" i="6" s="1"/>
  <c r="Z350" i="6" s="1"/>
  <c r="AA350" i="6" s="1"/>
  <c r="AB350" i="6" s="1"/>
  <c r="AC350" i="6" s="1"/>
  <c r="AD350" i="6" s="1"/>
  <c r="AE350" i="6" s="1"/>
  <c r="AF350" i="6" s="1"/>
  <c r="AG350" i="6" s="1"/>
  <c r="AH350" i="6" s="1"/>
  <c r="AI350" i="6" s="1"/>
  <c r="AJ350" i="6" s="1"/>
  <c r="AK350" i="6" s="1"/>
  <c r="AL350" i="6" s="1"/>
  <c r="AM350" i="6" s="1"/>
  <c r="AN350" i="6" s="1"/>
  <c r="AO350" i="6" s="1"/>
  <c r="AP350" i="6" s="1"/>
  <c r="AQ350" i="6" s="1"/>
  <c r="AR350" i="6" s="1"/>
  <c r="AS350" i="6" s="1"/>
  <c r="AT350" i="6" s="1"/>
  <c r="AU350" i="6" s="1"/>
  <c r="AV350" i="6" s="1"/>
  <c r="AW350" i="6" s="1"/>
  <c r="AX350" i="6" s="1"/>
  <c r="AY350" i="6" s="1"/>
  <c r="AZ350" i="6" s="1"/>
  <c r="BA350" i="6" s="1"/>
  <c r="BB350" i="6" s="1"/>
  <c r="BC350" i="6" s="1"/>
  <c r="BD350" i="6" s="1"/>
  <c r="BE350" i="6" s="1"/>
  <c r="BF350" i="6" s="1"/>
  <c r="BG350" i="6" s="1"/>
  <c r="BH350" i="6" s="1"/>
  <c r="BI350" i="6" s="1"/>
  <c r="BJ350" i="6" s="1"/>
  <c r="BK350" i="6" s="1"/>
  <c r="BL350" i="6" s="1"/>
  <c r="BM350" i="6" s="1"/>
  <c r="BN350" i="6" s="1"/>
  <c r="BO350" i="6" s="1"/>
  <c r="BP350" i="6" s="1"/>
  <c r="BQ350" i="6" s="1"/>
  <c r="BR350" i="6" s="1"/>
  <c r="BS350" i="6" s="1"/>
  <c r="BT350" i="6" s="1"/>
  <c r="BU350" i="6" s="1"/>
  <c r="BV350" i="6" s="1"/>
  <c r="BW350" i="6" s="1"/>
  <c r="BX350" i="6" s="1"/>
  <c r="BY350" i="6" s="1"/>
  <c r="BZ350" i="6" s="1"/>
  <c r="CA350" i="6" s="1"/>
  <c r="CB350" i="6" s="1"/>
  <c r="CC350" i="6" s="1"/>
  <c r="CD350" i="6" s="1"/>
  <c r="CE350" i="6" s="1"/>
  <c r="CF350" i="6" s="1"/>
  <c r="CG350" i="6" s="1"/>
  <c r="CH350" i="6" s="1"/>
  <c r="CI350" i="6" s="1"/>
  <c r="CJ350" i="6" s="1"/>
  <c r="CK350" i="6" s="1"/>
  <c r="CL350" i="6" s="1"/>
  <c r="CM350" i="6" s="1"/>
  <c r="CN350" i="6" s="1"/>
  <c r="CO350" i="6" s="1"/>
  <c r="CP350" i="6" s="1"/>
  <c r="CQ350" i="6" s="1"/>
  <c r="CR350" i="6" s="1"/>
  <c r="CS350" i="6" s="1"/>
  <c r="CT350" i="6" s="1"/>
  <c r="CU350" i="6" s="1"/>
  <c r="CV350" i="6" s="1"/>
  <c r="CW350" i="6" s="1"/>
  <c r="CX350" i="6" s="1"/>
  <c r="CY350" i="6" s="1"/>
  <c r="CZ350" i="6" s="1"/>
  <c r="DA350" i="6" s="1"/>
  <c r="DB350" i="6" s="1"/>
  <c r="DC350" i="6" s="1"/>
  <c r="DD350" i="6" s="1"/>
  <c r="DE350" i="6" s="1"/>
  <c r="O285" i="6"/>
  <c r="P285" i="6" s="1"/>
  <c r="Q285" i="6" s="1"/>
  <c r="R285" i="6" s="1"/>
  <c r="S285" i="6" s="1"/>
  <c r="T285" i="6" s="1"/>
  <c r="U285" i="6" s="1"/>
  <c r="V285" i="6" s="1"/>
  <c r="W285" i="6" s="1"/>
  <c r="X285" i="6" s="1"/>
  <c r="Y285" i="6" s="1"/>
  <c r="Z285" i="6" s="1"/>
  <c r="AA285" i="6" s="1"/>
  <c r="AB285" i="6" s="1"/>
  <c r="AC285" i="6" s="1"/>
  <c r="AD285" i="6" s="1"/>
  <c r="AE285" i="6" s="1"/>
  <c r="AF285" i="6" s="1"/>
  <c r="AG285" i="6" s="1"/>
  <c r="AH285" i="6" s="1"/>
  <c r="AI285" i="6" s="1"/>
  <c r="AJ285" i="6" s="1"/>
  <c r="AK285" i="6" s="1"/>
  <c r="AL285" i="6" s="1"/>
  <c r="AM285" i="6" s="1"/>
  <c r="AN285" i="6" s="1"/>
  <c r="AO285" i="6" s="1"/>
  <c r="AP285" i="6" s="1"/>
  <c r="AQ285" i="6" s="1"/>
  <c r="AR285" i="6" s="1"/>
  <c r="AS285" i="6" s="1"/>
  <c r="AT285" i="6" s="1"/>
  <c r="AU285" i="6" s="1"/>
  <c r="AV285" i="6" s="1"/>
  <c r="AW285" i="6" s="1"/>
  <c r="AX285" i="6" s="1"/>
  <c r="AY285" i="6" s="1"/>
  <c r="AZ285" i="6" s="1"/>
  <c r="BA285" i="6" s="1"/>
  <c r="BB285" i="6" s="1"/>
  <c r="BC285" i="6" s="1"/>
  <c r="BD285" i="6" s="1"/>
  <c r="BE285" i="6" s="1"/>
  <c r="BF285" i="6" s="1"/>
  <c r="BG285" i="6" s="1"/>
  <c r="BH285" i="6" s="1"/>
  <c r="BI285" i="6" s="1"/>
  <c r="BJ285" i="6" s="1"/>
  <c r="BK285" i="6" s="1"/>
  <c r="BL285" i="6" s="1"/>
  <c r="BM285" i="6" s="1"/>
  <c r="BN285" i="6" s="1"/>
  <c r="BO285" i="6" s="1"/>
  <c r="BP285" i="6" s="1"/>
  <c r="BQ285" i="6" s="1"/>
  <c r="BR285" i="6" s="1"/>
  <c r="BS285" i="6" s="1"/>
  <c r="BT285" i="6" s="1"/>
  <c r="BU285" i="6" s="1"/>
  <c r="BV285" i="6" s="1"/>
  <c r="BW285" i="6" s="1"/>
  <c r="BX285" i="6" s="1"/>
  <c r="BY285" i="6" s="1"/>
  <c r="BZ285" i="6" s="1"/>
  <c r="CA285" i="6" s="1"/>
  <c r="CB285" i="6" s="1"/>
  <c r="CC285" i="6" s="1"/>
  <c r="CD285" i="6" s="1"/>
  <c r="CE285" i="6" s="1"/>
  <c r="CF285" i="6" s="1"/>
  <c r="CG285" i="6" s="1"/>
  <c r="CH285" i="6" s="1"/>
  <c r="CI285" i="6" s="1"/>
  <c r="CJ285" i="6" s="1"/>
  <c r="CK285" i="6" s="1"/>
  <c r="CL285" i="6" s="1"/>
  <c r="CM285" i="6" s="1"/>
  <c r="CN285" i="6" s="1"/>
  <c r="CO285" i="6" s="1"/>
  <c r="CP285" i="6" s="1"/>
  <c r="CQ285" i="6" s="1"/>
  <c r="CR285" i="6" s="1"/>
  <c r="CS285" i="6" s="1"/>
  <c r="CT285" i="6" s="1"/>
  <c r="CU285" i="6" s="1"/>
  <c r="CV285" i="6" s="1"/>
  <c r="CW285" i="6" s="1"/>
  <c r="CX285" i="6" s="1"/>
  <c r="CY285" i="6" s="1"/>
  <c r="CZ285" i="6" s="1"/>
  <c r="DA285" i="6" s="1"/>
  <c r="DB285" i="6" s="1"/>
  <c r="DC285" i="6" s="1"/>
  <c r="DD285" i="6" s="1"/>
  <c r="DE285" i="6" s="1"/>
  <c r="O281" i="6"/>
  <c r="P281" i="6" s="1"/>
  <c r="Q281" i="6" s="1"/>
  <c r="R281" i="6" s="1"/>
  <c r="S281" i="6" s="1"/>
  <c r="T281" i="6" s="1"/>
  <c r="U281" i="6" s="1"/>
  <c r="V281" i="6" s="1"/>
  <c r="W281" i="6" s="1"/>
  <c r="X281" i="6" s="1"/>
  <c r="Y281" i="6" s="1"/>
  <c r="Z281" i="6" s="1"/>
  <c r="AA281" i="6" s="1"/>
  <c r="AB281" i="6" s="1"/>
  <c r="AC281" i="6" s="1"/>
  <c r="AD281" i="6" s="1"/>
  <c r="AE281" i="6" s="1"/>
  <c r="AF281" i="6" s="1"/>
  <c r="AG281" i="6" s="1"/>
  <c r="AH281" i="6" s="1"/>
  <c r="AI281" i="6" s="1"/>
  <c r="AJ281" i="6" s="1"/>
  <c r="AK281" i="6" s="1"/>
  <c r="AL281" i="6" s="1"/>
  <c r="AM281" i="6" s="1"/>
  <c r="AN281" i="6" s="1"/>
  <c r="AO281" i="6" s="1"/>
  <c r="AP281" i="6" s="1"/>
  <c r="AQ281" i="6" s="1"/>
  <c r="AR281" i="6" s="1"/>
  <c r="AS281" i="6" s="1"/>
  <c r="AT281" i="6" s="1"/>
  <c r="AU281" i="6" s="1"/>
  <c r="AV281" i="6" s="1"/>
  <c r="AW281" i="6" s="1"/>
  <c r="AX281" i="6" s="1"/>
  <c r="AY281" i="6" s="1"/>
  <c r="AZ281" i="6" s="1"/>
  <c r="BA281" i="6" s="1"/>
  <c r="BB281" i="6" s="1"/>
  <c r="BC281" i="6" s="1"/>
  <c r="BD281" i="6" s="1"/>
  <c r="BE281" i="6" s="1"/>
  <c r="BF281" i="6" s="1"/>
  <c r="BG281" i="6" s="1"/>
  <c r="BH281" i="6" s="1"/>
  <c r="BI281" i="6" s="1"/>
  <c r="BJ281" i="6" s="1"/>
  <c r="BK281" i="6" s="1"/>
  <c r="BL281" i="6" s="1"/>
  <c r="BM281" i="6" s="1"/>
  <c r="BN281" i="6" s="1"/>
  <c r="BO281" i="6" s="1"/>
  <c r="BP281" i="6" s="1"/>
  <c r="BQ281" i="6" s="1"/>
  <c r="BR281" i="6" s="1"/>
  <c r="BS281" i="6" s="1"/>
  <c r="BT281" i="6" s="1"/>
  <c r="BU281" i="6" s="1"/>
  <c r="BV281" i="6" s="1"/>
  <c r="BW281" i="6" s="1"/>
  <c r="BX281" i="6" s="1"/>
  <c r="BY281" i="6" s="1"/>
  <c r="BZ281" i="6" s="1"/>
  <c r="CA281" i="6" s="1"/>
  <c r="CB281" i="6" s="1"/>
  <c r="CC281" i="6" s="1"/>
  <c r="CD281" i="6" s="1"/>
  <c r="CE281" i="6" s="1"/>
  <c r="CF281" i="6" s="1"/>
  <c r="CG281" i="6" s="1"/>
  <c r="CH281" i="6" s="1"/>
  <c r="CI281" i="6" s="1"/>
  <c r="CJ281" i="6" s="1"/>
  <c r="CK281" i="6" s="1"/>
  <c r="CL281" i="6" s="1"/>
  <c r="CM281" i="6" s="1"/>
  <c r="CN281" i="6" s="1"/>
  <c r="CO281" i="6" s="1"/>
  <c r="CP281" i="6" s="1"/>
  <c r="CQ281" i="6" s="1"/>
  <c r="CR281" i="6" s="1"/>
  <c r="CS281" i="6" s="1"/>
  <c r="CT281" i="6" s="1"/>
  <c r="CU281" i="6" s="1"/>
  <c r="CV281" i="6" s="1"/>
  <c r="CW281" i="6" s="1"/>
  <c r="CX281" i="6" s="1"/>
  <c r="CY281" i="6" s="1"/>
  <c r="CZ281" i="6" s="1"/>
  <c r="DA281" i="6" s="1"/>
  <c r="DB281" i="6" s="1"/>
  <c r="DC281" i="6" s="1"/>
  <c r="DD281" i="6" s="1"/>
  <c r="DE281" i="6" s="1"/>
  <c r="O120" i="6"/>
  <c r="P120" i="6" s="1"/>
  <c r="Q120" i="6" s="1"/>
  <c r="R120" i="6" s="1"/>
  <c r="S120" i="6" s="1"/>
  <c r="T120" i="6" s="1"/>
  <c r="U120" i="6" s="1"/>
  <c r="V120" i="6" s="1"/>
  <c r="W120" i="6" s="1"/>
  <c r="X120" i="6" s="1"/>
  <c r="Y120" i="6" s="1"/>
  <c r="Z120" i="6" s="1"/>
  <c r="AA120" i="6" s="1"/>
  <c r="AB120" i="6" s="1"/>
  <c r="AC120" i="6" s="1"/>
  <c r="AD120" i="6" s="1"/>
  <c r="AE120" i="6" s="1"/>
  <c r="AF120" i="6" s="1"/>
  <c r="AG120" i="6" s="1"/>
  <c r="AH120" i="6" s="1"/>
  <c r="AI120" i="6" s="1"/>
  <c r="AJ120" i="6" s="1"/>
  <c r="AK120" i="6" s="1"/>
  <c r="AL120" i="6" s="1"/>
  <c r="AM120" i="6" s="1"/>
  <c r="AN120" i="6" s="1"/>
  <c r="AO120" i="6" s="1"/>
  <c r="AP120" i="6" s="1"/>
  <c r="AQ120" i="6" s="1"/>
  <c r="AR120" i="6" s="1"/>
  <c r="AS120" i="6" s="1"/>
  <c r="AT120" i="6" s="1"/>
  <c r="AU120" i="6" s="1"/>
  <c r="AV120" i="6" s="1"/>
  <c r="AW120" i="6" s="1"/>
  <c r="AX120" i="6" s="1"/>
  <c r="AY120" i="6" s="1"/>
  <c r="AZ120" i="6" s="1"/>
  <c r="BA120" i="6" s="1"/>
  <c r="BB120" i="6" s="1"/>
  <c r="BC120" i="6" s="1"/>
  <c r="BD120" i="6" s="1"/>
  <c r="BE120" i="6" s="1"/>
  <c r="BF120" i="6" s="1"/>
  <c r="BG120" i="6" s="1"/>
  <c r="BH120" i="6" s="1"/>
  <c r="BI120" i="6" s="1"/>
  <c r="BJ120" i="6" s="1"/>
  <c r="BK120" i="6" s="1"/>
  <c r="BL120" i="6" s="1"/>
  <c r="BM120" i="6" s="1"/>
  <c r="BN120" i="6" s="1"/>
  <c r="BO120" i="6" s="1"/>
  <c r="BP120" i="6" s="1"/>
  <c r="BQ120" i="6" s="1"/>
  <c r="BR120" i="6" s="1"/>
  <c r="BS120" i="6" s="1"/>
  <c r="BT120" i="6" s="1"/>
  <c r="BU120" i="6" s="1"/>
  <c r="BV120" i="6" s="1"/>
  <c r="BW120" i="6" s="1"/>
  <c r="BX120" i="6" s="1"/>
  <c r="BY120" i="6" s="1"/>
  <c r="BZ120" i="6" s="1"/>
  <c r="CA120" i="6" s="1"/>
  <c r="CB120" i="6" s="1"/>
  <c r="CC120" i="6" s="1"/>
  <c r="CD120" i="6" s="1"/>
  <c r="CE120" i="6" s="1"/>
  <c r="CF120" i="6" s="1"/>
  <c r="CG120" i="6" s="1"/>
  <c r="CH120" i="6" s="1"/>
  <c r="CI120" i="6" s="1"/>
  <c r="CJ120" i="6" s="1"/>
  <c r="CK120" i="6" s="1"/>
  <c r="CL120" i="6" s="1"/>
  <c r="CM120" i="6" s="1"/>
  <c r="CN120" i="6" s="1"/>
  <c r="CO120" i="6" s="1"/>
  <c r="CP120" i="6" s="1"/>
  <c r="CQ120" i="6" s="1"/>
  <c r="CR120" i="6" s="1"/>
  <c r="CS120" i="6" s="1"/>
  <c r="CT120" i="6" s="1"/>
  <c r="CU120" i="6" s="1"/>
  <c r="CV120" i="6" s="1"/>
  <c r="CW120" i="6" s="1"/>
  <c r="CX120" i="6" s="1"/>
  <c r="CY120" i="6" s="1"/>
  <c r="CZ120" i="6" s="1"/>
  <c r="DA120" i="6" s="1"/>
  <c r="DB120" i="6" s="1"/>
  <c r="DC120" i="6" s="1"/>
  <c r="DD120" i="6" s="1"/>
  <c r="DE120" i="6" s="1"/>
  <c r="M293" i="6"/>
  <c r="N293" i="6" s="1"/>
  <c r="O293" i="6" s="1"/>
  <c r="P293" i="6" s="1"/>
  <c r="Q293" i="6" s="1"/>
  <c r="R293" i="6" s="1"/>
  <c r="S293" i="6" s="1"/>
  <c r="T293" i="6" s="1"/>
  <c r="U293" i="6" s="1"/>
  <c r="V293" i="6" s="1"/>
  <c r="W293" i="6" s="1"/>
  <c r="X293" i="6" s="1"/>
  <c r="Y293" i="6" s="1"/>
  <c r="Z293" i="6" s="1"/>
  <c r="AA293" i="6" s="1"/>
  <c r="AB293" i="6" s="1"/>
  <c r="AC293" i="6" s="1"/>
  <c r="AD293" i="6" s="1"/>
  <c r="AE293" i="6" s="1"/>
  <c r="AF293" i="6" s="1"/>
  <c r="AG293" i="6" s="1"/>
  <c r="AH293" i="6" s="1"/>
  <c r="AI293" i="6" s="1"/>
  <c r="AJ293" i="6" s="1"/>
  <c r="AK293" i="6" s="1"/>
  <c r="AL293" i="6" s="1"/>
  <c r="AM293" i="6" s="1"/>
  <c r="AN293" i="6" s="1"/>
  <c r="AO293" i="6" s="1"/>
  <c r="AP293" i="6" s="1"/>
  <c r="AQ293" i="6" s="1"/>
  <c r="AR293" i="6" s="1"/>
  <c r="AS293" i="6" s="1"/>
  <c r="AT293" i="6" s="1"/>
  <c r="AU293" i="6" s="1"/>
  <c r="AV293" i="6" s="1"/>
  <c r="AW293" i="6" s="1"/>
  <c r="AX293" i="6" s="1"/>
  <c r="AY293" i="6" s="1"/>
  <c r="AZ293" i="6" s="1"/>
  <c r="BA293" i="6" s="1"/>
  <c r="BB293" i="6" s="1"/>
  <c r="BC293" i="6" s="1"/>
  <c r="BD293" i="6" s="1"/>
  <c r="BE293" i="6" s="1"/>
  <c r="BF293" i="6" s="1"/>
  <c r="BG293" i="6" s="1"/>
  <c r="BH293" i="6" s="1"/>
  <c r="BI293" i="6" s="1"/>
  <c r="BJ293" i="6" s="1"/>
  <c r="BK293" i="6" s="1"/>
  <c r="BL293" i="6" s="1"/>
  <c r="BM293" i="6" s="1"/>
  <c r="BN293" i="6" s="1"/>
  <c r="BO293" i="6" s="1"/>
  <c r="BP293" i="6" s="1"/>
  <c r="BQ293" i="6" s="1"/>
  <c r="BR293" i="6" s="1"/>
  <c r="BS293" i="6" s="1"/>
  <c r="BT293" i="6" s="1"/>
  <c r="BU293" i="6" s="1"/>
  <c r="BV293" i="6" s="1"/>
  <c r="BW293" i="6" s="1"/>
  <c r="BX293" i="6" s="1"/>
  <c r="BY293" i="6" s="1"/>
  <c r="BZ293" i="6" s="1"/>
  <c r="CA293" i="6" s="1"/>
  <c r="CB293" i="6" s="1"/>
  <c r="CC293" i="6" s="1"/>
  <c r="CD293" i="6" s="1"/>
  <c r="CE293" i="6" s="1"/>
  <c r="CF293" i="6" s="1"/>
  <c r="CG293" i="6" s="1"/>
  <c r="CH293" i="6" s="1"/>
  <c r="CI293" i="6" s="1"/>
  <c r="CJ293" i="6" s="1"/>
  <c r="CK293" i="6" s="1"/>
  <c r="CL293" i="6" s="1"/>
  <c r="CM293" i="6" s="1"/>
  <c r="CN293" i="6" s="1"/>
  <c r="CO293" i="6" s="1"/>
  <c r="CP293" i="6" s="1"/>
  <c r="CQ293" i="6" s="1"/>
  <c r="CR293" i="6" s="1"/>
  <c r="CS293" i="6" s="1"/>
  <c r="CT293" i="6" s="1"/>
  <c r="CU293" i="6" s="1"/>
  <c r="CV293" i="6" s="1"/>
  <c r="CW293" i="6" s="1"/>
  <c r="CX293" i="6" s="1"/>
  <c r="CY293" i="6" s="1"/>
  <c r="CZ293" i="6" s="1"/>
  <c r="DA293" i="6" s="1"/>
  <c r="DB293" i="6" s="1"/>
  <c r="DC293" i="6" s="1"/>
  <c r="DD293" i="6" s="1"/>
  <c r="DE293" i="6" s="1"/>
  <c r="O243" i="6"/>
  <c r="P243" i="6" s="1"/>
  <c r="Q243" i="6" s="1"/>
  <c r="R243" i="6" s="1"/>
  <c r="S243" i="6" s="1"/>
  <c r="T243" i="6" s="1"/>
  <c r="U243" i="6" s="1"/>
  <c r="V243" i="6" s="1"/>
  <c r="W243" i="6" s="1"/>
  <c r="X243" i="6" s="1"/>
  <c r="Y243" i="6" s="1"/>
  <c r="Z243" i="6" s="1"/>
  <c r="AA243" i="6" s="1"/>
  <c r="AB243" i="6" s="1"/>
  <c r="AC243" i="6" s="1"/>
  <c r="AD243" i="6" s="1"/>
  <c r="AE243" i="6" s="1"/>
  <c r="AF243" i="6" s="1"/>
  <c r="AG243" i="6" s="1"/>
  <c r="AH243" i="6" s="1"/>
  <c r="AI243" i="6" s="1"/>
  <c r="AJ243" i="6" s="1"/>
  <c r="AK243" i="6" s="1"/>
  <c r="AL243" i="6" s="1"/>
  <c r="AM243" i="6" s="1"/>
  <c r="AN243" i="6" s="1"/>
  <c r="AO243" i="6" s="1"/>
  <c r="AP243" i="6" s="1"/>
  <c r="AQ243" i="6" s="1"/>
  <c r="AR243" i="6" s="1"/>
  <c r="AS243" i="6" s="1"/>
  <c r="AT243" i="6" s="1"/>
  <c r="AU243" i="6" s="1"/>
  <c r="AV243" i="6" s="1"/>
  <c r="AW243" i="6" s="1"/>
  <c r="AX243" i="6" s="1"/>
  <c r="AY243" i="6" s="1"/>
  <c r="AZ243" i="6" s="1"/>
  <c r="BA243" i="6" s="1"/>
  <c r="BB243" i="6" s="1"/>
  <c r="BC243" i="6" s="1"/>
  <c r="BD243" i="6" s="1"/>
  <c r="BE243" i="6" s="1"/>
  <c r="BF243" i="6" s="1"/>
  <c r="BG243" i="6" s="1"/>
  <c r="BH243" i="6" s="1"/>
  <c r="BI243" i="6" s="1"/>
  <c r="BJ243" i="6" s="1"/>
  <c r="BK243" i="6" s="1"/>
  <c r="BL243" i="6" s="1"/>
  <c r="BM243" i="6" s="1"/>
  <c r="BN243" i="6" s="1"/>
  <c r="BO243" i="6" s="1"/>
  <c r="BP243" i="6" s="1"/>
  <c r="BQ243" i="6" s="1"/>
  <c r="BR243" i="6" s="1"/>
  <c r="BS243" i="6" s="1"/>
  <c r="BT243" i="6" s="1"/>
  <c r="BU243" i="6" s="1"/>
  <c r="BV243" i="6" s="1"/>
  <c r="BW243" i="6" s="1"/>
  <c r="BX243" i="6" s="1"/>
  <c r="BY243" i="6" s="1"/>
  <c r="BZ243" i="6" s="1"/>
  <c r="CA243" i="6" s="1"/>
  <c r="CB243" i="6" s="1"/>
  <c r="CC243" i="6" s="1"/>
  <c r="CD243" i="6" s="1"/>
  <c r="CE243" i="6" s="1"/>
  <c r="CF243" i="6" s="1"/>
  <c r="CG243" i="6" s="1"/>
  <c r="CH243" i="6" s="1"/>
  <c r="CI243" i="6" s="1"/>
  <c r="CJ243" i="6" s="1"/>
  <c r="CK243" i="6" s="1"/>
  <c r="CL243" i="6" s="1"/>
  <c r="CM243" i="6" s="1"/>
  <c r="CN243" i="6" s="1"/>
  <c r="CO243" i="6" s="1"/>
  <c r="CP243" i="6" s="1"/>
  <c r="CQ243" i="6" s="1"/>
  <c r="CR243" i="6" s="1"/>
  <c r="CS243" i="6" s="1"/>
  <c r="CT243" i="6" s="1"/>
  <c r="CU243" i="6" s="1"/>
  <c r="CV243" i="6" s="1"/>
  <c r="CW243" i="6" s="1"/>
  <c r="CX243" i="6" s="1"/>
  <c r="CY243" i="6" s="1"/>
  <c r="CZ243" i="6" s="1"/>
  <c r="DA243" i="6" s="1"/>
  <c r="DB243" i="6" s="1"/>
  <c r="DC243" i="6" s="1"/>
  <c r="DD243" i="6" s="1"/>
  <c r="DE243" i="6" s="1"/>
  <c r="L297" i="6"/>
  <c r="M297" i="6" s="1"/>
  <c r="N297" i="6" s="1"/>
  <c r="O297" i="6" s="1"/>
  <c r="P297" i="6" s="1"/>
  <c r="Q297" i="6" s="1"/>
  <c r="R297" i="6" s="1"/>
  <c r="S297" i="6" s="1"/>
  <c r="T297" i="6" s="1"/>
  <c r="U297" i="6" s="1"/>
  <c r="V297" i="6" s="1"/>
  <c r="W297" i="6" s="1"/>
  <c r="X297" i="6" s="1"/>
  <c r="Y297" i="6" s="1"/>
  <c r="Z297" i="6" s="1"/>
  <c r="AA297" i="6" s="1"/>
  <c r="AB297" i="6" s="1"/>
  <c r="AC297" i="6" s="1"/>
  <c r="AD297" i="6" s="1"/>
  <c r="AE297" i="6" s="1"/>
  <c r="AF297" i="6" s="1"/>
  <c r="AG297" i="6" s="1"/>
  <c r="AH297" i="6" s="1"/>
  <c r="AI297" i="6" s="1"/>
  <c r="AJ297" i="6" s="1"/>
  <c r="AK297" i="6" s="1"/>
  <c r="AL297" i="6" s="1"/>
  <c r="AM297" i="6" s="1"/>
  <c r="AN297" i="6" s="1"/>
  <c r="AO297" i="6" s="1"/>
  <c r="AP297" i="6" s="1"/>
  <c r="AQ297" i="6" s="1"/>
  <c r="AR297" i="6" s="1"/>
  <c r="AS297" i="6" s="1"/>
  <c r="AT297" i="6" s="1"/>
  <c r="AU297" i="6" s="1"/>
  <c r="AV297" i="6" s="1"/>
  <c r="AW297" i="6" s="1"/>
  <c r="AX297" i="6" s="1"/>
  <c r="AY297" i="6" s="1"/>
  <c r="AZ297" i="6" s="1"/>
  <c r="BA297" i="6" s="1"/>
  <c r="BB297" i="6" s="1"/>
  <c r="BC297" i="6" s="1"/>
  <c r="BD297" i="6" s="1"/>
  <c r="BE297" i="6" s="1"/>
  <c r="BF297" i="6" s="1"/>
  <c r="BG297" i="6" s="1"/>
  <c r="BH297" i="6" s="1"/>
  <c r="BI297" i="6" s="1"/>
  <c r="BJ297" i="6" s="1"/>
  <c r="BK297" i="6" s="1"/>
  <c r="BL297" i="6" s="1"/>
  <c r="BM297" i="6" s="1"/>
  <c r="BN297" i="6" s="1"/>
  <c r="BO297" i="6" s="1"/>
  <c r="BP297" i="6" s="1"/>
  <c r="BQ297" i="6" s="1"/>
  <c r="BR297" i="6" s="1"/>
  <c r="BS297" i="6" s="1"/>
  <c r="BT297" i="6" s="1"/>
  <c r="BU297" i="6" s="1"/>
  <c r="BV297" i="6" s="1"/>
  <c r="BW297" i="6" s="1"/>
  <c r="BX297" i="6" s="1"/>
  <c r="BY297" i="6" s="1"/>
  <c r="BZ297" i="6" s="1"/>
  <c r="CA297" i="6" s="1"/>
  <c r="CB297" i="6" s="1"/>
  <c r="CC297" i="6" s="1"/>
  <c r="CD297" i="6" s="1"/>
  <c r="CE297" i="6" s="1"/>
  <c r="CF297" i="6" s="1"/>
  <c r="CG297" i="6" s="1"/>
  <c r="CH297" i="6" s="1"/>
  <c r="CI297" i="6" s="1"/>
  <c r="CJ297" i="6" s="1"/>
  <c r="CK297" i="6" s="1"/>
  <c r="CL297" i="6" s="1"/>
  <c r="CM297" i="6" s="1"/>
  <c r="CN297" i="6" s="1"/>
  <c r="CO297" i="6" s="1"/>
  <c r="CP297" i="6" s="1"/>
  <c r="CQ297" i="6" s="1"/>
  <c r="CR297" i="6" s="1"/>
  <c r="CS297" i="6" s="1"/>
  <c r="CT297" i="6" s="1"/>
  <c r="CU297" i="6" s="1"/>
  <c r="CV297" i="6" s="1"/>
  <c r="CW297" i="6" s="1"/>
  <c r="CX297" i="6" s="1"/>
  <c r="CY297" i="6" s="1"/>
  <c r="CZ297" i="6" s="1"/>
  <c r="DA297" i="6" s="1"/>
  <c r="DB297" i="6" s="1"/>
  <c r="DC297" i="6" s="1"/>
  <c r="DD297" i="6" s="1"/>
  <c r="DE297" i="6" s="1"/>
  <c r="N142" i="6"/>
  <c r="O142" i="6" s="1"/>
  <c r="P142" i="6" s="1"/>
  <c r="Q142" i="6" s="1"/>
  <c r="R142" i="6" s="1"/>
  <c r="S142" i="6" s="1"/>
  <c r="T142" i="6" s="1"/>
  <c r="U142" i="6" s="1"/>
  <c r="V142" i="6" s="1"/>
  <c r="W142" i="6" s="1"/>
  <c r="X142" i="6" s="1"/>
  <c r="Y142" i="6" s="1"/>
  <c r="Z142" i="6" s="1"/>
  <c r="AA142" i="6" s="1"/>
  <c r="AB142" i="6" s="1"/>
  <c r="AC142" i="6" s="1"/>
  <c r="AD142" i="6" s="1"/>
  <c r="AE142" i="6" s="1"/>
  <c r="AF142" i="6" s="1"/>
  <c r="AG142" i="6" s="1"/>
  <c r="AH142" i="6" s="1"/>
  <c r="AI142" i="6" s="1"/>
  <c r="AJ142" i="6" s="1"/>
  <c r="AK142" i="6" s="1"/>
  <c r="AL142" i="6" s="1"/>
  <c r="AM142" i="6" s="1"/>
  <c r="AN142" i="6" s="1"/>
  <c r="AO142" i="6" s="1"/>
  <c r="AP142" i="6" s="1"/>
  <c r="AQ142" i="6" s="1"/>
  <c r="AR142" i="6" s="1"/>
  <c r="AS142" i="6" s="1"/>
  <c r="AT142" i="6" s="1"/>
  <c r="AU142" i="6" s="1"/>
  <c r="AV142" i="6" s="1"/>
  <c r="AW142" i="6" s="1"/>
  <c r="AX142" i="6" s="1"/>
  <c r="AY142" i="6" s="1"/>
  <c r="AZ142" i="6" s="1"/>
  <c r="BA142" i="6" s="1"/>
  <c r="BB142" i="6" s="1"/>
  <c r="BC142" i="6" s="1"/>
  <c r="BD142" i="6" s="1"/>
  <c r="BE142" i="6" s="1"/>
  <c r="BF142" i="6" s="1"/>
  <c r="BG142" i="6" s="1"/>
  <c r="BH142" i="6" s="1"/>
  <c r="BI142" i="6" s="1"/>
  <c r="BJ142" i="6" s="1"/>
  <c r="BK142" i="6" s="1"/>
  <c r="BL142" i="6" s="1"/>
  <c r="BM142" i="6" s="1"/>
  <c r="BN142" i="6" s="1"/>
  <c r="BO142" i="6" s="1"/>
  <c r="BP142" i="6" s="1"/>
  <c r="BQ142" i="6" s="1"/>
  <c r="BR142" i="6" s="1"/>
  <c r="BS142" i="6" s="1"/>
  <c r="BT142" i="6" s="1"/>
  <c r="BU142" i="6" s="1"/>
  <c r="BV142" i="6" s="1"/>
  <c r="BW142" i="6" s="1"/>
  <c r="BX142" i="6" s="1"/>
  <c r="BY142" i="6" s="1"/>
  <c r="BZ142" i="6" s="1"/>
  <c r="CA142" i="6" s="1"/>
  <c r="CB142" i="6" s="1"/>
  <c r="CC142" i="6" s="1"/>
  <c r="CD142" i="6" s="1"/>
  <c r="CE142" i="6" s="1"/>
  <c r="CF142" i="6" s="1"/>
  <c r="CG142" i="6" s="1"/>
  <c r="CH142" i="6" s="1"/>
  <c r="CI142" i="6" s="1"/>
  <c r="CJ142" i="6" s="1"/>
  <c r="CK142" i="6" s="1"/>
  <c r="CL142" i="6" s="1"/>
  <c r="CM142" i="6" s="1"/>
  <c r="CN142" i="6" s="1"/>
  <c r="CO142" i="6" s="1"/>
  <c r="CP142" i="6" s="1"/>
  <c r="CQ142" i="6" s="1"/>
  <c r="CR142" i="6" s="1"/>
  <c r="CS142" i="6" s="1"/>
  <c r="CT142" i="6" s="1"/>
  <c r="CU142" i="6" s="1"/>
  <c r="CV142" i="6" s="1"/>
  <c r="CW142" i="6" s="1"/>
  <c r="CX142" i="6" s="1"/>
  <c r="CY142" i="6" s="1"/>
  <c r="CZ142" i="6" s="1"/>
  <c r="DA142" i="6" s="1"/>
  <c r="DB142" i="6" s="1"/>
  <c r="DC142" i="6" s="1"/>
  <c r="DD142" i="6" s="1"/>
  <c r="DE142" i="6" s="1"/>
  <c r="O63" i="6"/>
  <c r="P63" i="6" s="1"/>
  <c r="Q63" i="6" s="1"/>
  <c r="R63" i="6" s="1"/>
  <c r="S63" i="6" s="1"/>
  <c r="T63" i="6" s="1"/>
  <c r="U63" i="6" s="1"/>
  <c r="V63" i="6" s="1"/>
  <c r="W63" i="6" s="1"/>
  <c r="X63" i="6" s="1"/>
  <c r="Y63" i="6" s="1"/>
  <c r="Z63" i="6" s="1"/>
  <c r="AA63" i="6" s="1"/>
  <c r="AB63" i="6" s="1"/>
  <c r="AC63" i="6" s="1"/>
  <c r="AD63" i="6" s="1"/>
  <c r="AE63" i="6" s="1"/>
  <c r="AF63" i="6" s="1"/>
  <c r="AG63" i="6" s="1"/>
  <c r="AH63" i="6" s="1"/>
  <c r="AI63" i="6" s="1"/>
  <c r="AJ63" i="6" s="1"/>
  <c r="AK63" i="6" s="1"/>
  <c r="AL63" i="6" s="1"/>
  <c r="AM63" i="6" s="1"/>
  <c r="AN63" i="6" s="1"/>
  <c r="AO63" i="6" s="1"/>
  <c r="AP63" i="6" s="1"/>
  <c r="AQ63" i="6" s="1"/>
  <c r="AR63" i="6" s="1"/>
  <c r="AS63" i="6" s="1"/>
  <c r="AT63" i="6" s="1"/>
  <c r="AU63" i="6" s="1"/>
  <c r="AV63" i="6" s="1"/>
  <c r="AW63" i="6" s="1"/>
  <c r="AX63" i="6" s="1"/>
  <c r="AY63" i="6" s="1"/>
  <c r="AZ63" i="6" s="1"/>
  <c r="BA63" i="6" s="1"/>
  <c r="BB63" i="6" s="1"/>
  <c r="BC63" i="6" s="1"/>
  <c r="BD63" i="6" s="1"/>
  <c r="BE63" i="6" s="1"/>
  <c r="BF63" i="6" s="1"/>
  <c r="BG63" i="6" s="1"/>
  <c r="BH63" i="6" s="1"/>
  <c r="BI63" i="6" s="1"/>
  <c r="BJ63" i="6" s="1"/>
  <c r="BK63" i="6" s="1"/>
  <c r="BL63" i="6" s="1"/>
  <c r="BM63" i="6" s="1"/>
  <c r="BN63" i="6" s="1"/>
  <c r="BO63" i="6" s="1"/>
  <c r="BP63" i="6" s="1"/>
  <c r="BQ63" i="6" s="1"/>
  <c r="BR63" i="6" s="1"/>
  <c r="BS63" i="6" s="1"/>
  <c r="BT63" i="6" s="1"/>
  <c r="BU63" i="6" s="1"/>
  <c r="BV63" i="6" s="1"/>
  <c r="BW63" i="6" s="1"/>
  <c r="BX63" i="6" s="1"/>
  <c r="BY63" i="6" s="1"/>
  <c r="BZ63" i="6" s="1"/>
  <c r="CA63" i="6" s="1"/>
  <c r="CB63" i="6" s="1"/>
  <c r="CC63" i="6" s="1"/>
  <c r="CD63" i="6" s="1"/>
  <c r="CE63" i="6" s="1"/>
  <c r="CF63" i="6" s="1"/>
  <c r="CG63" i="6" s="1"/>
  <c r="CH63" i="6" s="1"/>
  <c r="CI63" i="6" s="1"/>
  <c r="CJ63" i="6" s="1"/>
  <c r="CK63" i="6" s="1"/>
  <c r="CL63" i="6" s="1"/>
  <c r="CM63" i="6" s="1"/>
  <c r="CN63" i="6" s="1"/>
  <c r="CO63" i="6" s="1"/>
  <c r="CP63" i="6" s="1"/>
  <c r="CQ63" i="6" s="1"/>
  <c r="CR63" i="6" s="1"/>
  <c r="CS63" i="6" s="1"/>
  <c r="CT63" i="6" s="1"/>
  <c r="CU63" i="6" s="1"/>
  <c r="CV63" i="6" s="1"/>
  <c r="CW63" i="6" s="1"/>
  <c r="CX63" i="6" s="1"/>
  <c r="CY63" i="6" s="1"/>
  <c r="CZ63" i="6" s="1"/>
  <c r="DA63" i="6" s="1"/>
  <c r="DB63" i="6" s="1"/>
  <c r="DC63" i="6" s="1"/>
  <c r="DD63" i="6" s="1"/>
  <c r="DE63" i="6" s="1"/>
  <c r="O301" i="6"/>
  <c r="P301" i="6" s="1"/>
  <c r="Q301" i="6" s="1"/>
  <c r="R301" i="6" s="1"/>
  <c r="S301" i="6" s="1"/>
  <c r="T301" i="6" s="1"/>
  <c r="U301" i="6" s="1"/>
  <c r="V301" i="6" s="1"/>
  <c r="W301" i="6" s="1"/>
  <c r="X301" i="6" s="1"/>
  <c r="Y301" i="6" s="1"/>
  <c r="Z301" i="6" s="1"/>
  <c r="AA301" i="6" s="1"/>
  <c r="AB301" i="6" s="1"/>
  <c r="AC301" i="6" s="1"/>
  <c r="AD301" i="6" s="1"/>
  <c r="AE301" i="6" s="1"/>
  <c r="AF301" i="6" s="1"/>
  <c r="AG301" i="6" s="1"/>
  <c r="AH301" i="6" s="1"/>
  <c r="AI301" i="6" s="1"/>
  <c r="AJ301" i="6" s="1"/>
  <c r="AK301" i="6" s="1"/>
  <c r="AL301" i="6" s="1"/>
  <c r="AM301" i="6" s="1"/>
  <c r="AN301" i="6" s="1"/>
  <c r="AO301" i="6" s="1"/>
  <c r="AP301" i="6" s="1"/>
  <c r="AQ301" i="6" s="1"/>
  <c r="AR301" i="6" s="1"/>
  <c r="AS301" i="6" s="1"/>
  <c r="AT301" i="6" s="1"/>
  <c r="AU301" i="6" s="1"/>
  <c r="AV301" i="6" s="1"/>
  <c r="AW301" i="6" s="1"/>
  <c r="AX301" i="6" s="1"/>
  <c r="AY301" i="6" s="1"/>
  <c r="AZ301" i="6" s="1"/>
  <c r="BA301" i="6" s="1"/>
  <c r="BB301" i="6" s="1"/>
  <c r="BC301" i="6" s="1"/>
  <c r="BD301" i="6" s="1"/>
  <c r="BE301" i="6" s="1"/>
  <c r="BF301" i="6" s="1"/>
  <c r="BG301" i="6" s="1"/>
  <c r="BH301" i="6" s="1"/>
  <c r="BI301" i="6" s="1"/>
  <c r="BJ301" i="6" s="1"/>
  <c r="BK301" i="6" s="1"/>
  <c r="BL301" i="6" s="1"/>
  <c r="BM301" i="6" s="1"/>
  <c r="BN301" i="6" s="1"/>
  <c r="BO301" i="6" s="1"/>
  <c r="BP301" i="6" s="1"/>
  <c r="BQ301" i="6" s="1"/>
  <c r="BR301" i="6" s="1"/>
  <c r="BS301" i="6" s="1"/>
  <c r="BT301" i="6" s="1"/>
  <c r="BU301" i="6" s="1"/>
  <c r="BV301" i="6" s="1"/>
  <c r="BW301" i="6" s="1"/>
  <c r="BX301" i="6" s="1"/>
  <c r="BY301" i="6" s="1"/>
  <c r="BZ301" i="6" s="1"/>
  <c r="CA301" i="6" s="1"/>
  <c r="CB301" i="6" s="1"/>
  <c r="CC301" i="6" s="1"/>
  <c r="CD301" i="6" s="1"/>
  <c r="CE301" i="6" s="1"/>
  <c r="CF301" i="6" s="1"/>
  <c r="CG301" i="6" s="1"/>
  <c r="CH301" i="6" s="1"/>
  <c r="CI301" i="6" s="1"/>
  <c r="CJ301" i="6" s="1"/>
  <c r="CK301" i="6" s="1"/>
  <c r="CL301" i="6" s="1"/>
  <c r="CM301" i="6" s="1"/>
  <c r="CN301" i="6" s="1"/>
  <c r="CO301" i="6" s="1"/>
  <c r="CP301" i="6" s="1"/>
  <c r="CQ301" i="6" s="1"/>
  <c r="CR301" i="6" s="1"/>
  <c r="CS301" i="6" s="1"/>
  <c r="CT301" i="6" s="1"/>
  <c r="CU301" i="6" s="1"/>
  <c r="CV301" i="6" s="1"/>
  <c r="CW301" i="6" s="1"/>
  <c r="CX301" i="6" s="1"/>
  <c r="CY301" i="6" s="1"/>
  <c r="CZ301" i="6" s="1"/>
  <c r="DA301" i="6" s="1"/>
  <c r="DB301" i="6" s="1"/>
  <c r="DC301" i="6" s="1"/>
  <c r="DD301" i="6" s="1"/>
  <c r="DE301" i="6" s="1"/>
  <c r="L140" i="6"/>
  <c r="M140" i="6" s="1"/>
  <c r="N140" i="6" s="1"/>
  <c r="O140" i="6" s="1"/>
  <c r="P140" i="6" s="1"/>
  <c r="Q140" i="6" s="1"/>
  <c r="R140" i="6" s="1"/>
  <c r="S140" i="6" s="1"/>
  <c r="T140" i="6" s="1"/>
  <c r="U140" i="6" s="1"/>
  <c r="V140" i="6" s="1"/>
  <c r="W140" i="6" s="1"/>
  <c r="X140" i="6" s="1"/>
  <c r="Y140" i="6" s="1"/>
  <c r="Z140" i="6" s="1"/>
  <c r="AA140" i="6" s="1"/>
  <c r="AB140" i="6" s="1"/>
  <c r="AC140" i="6" s="1"/>
  <c r="AD140" i="6" s="1"/>
  <c r="AE140" i="6" s="1"/>
  <c r="AF140" i="6" s="1"/>
  <c r="AG140" i="6" s="1"/>
  <c r="AH140" i="6" s="1"/>
  <c r="AI140" i="6" s="1"/>
  <c r="AJ140" i="6" s="1"/>
  <c r="AK140" i="6" s="1"/>
  <c r="AL140" i="6" s="1"/>
  <c r="AM140" i="6" s="1"/>
  <c r="AN140" i="6" s="1"/>
  <c r="AO140" i="6" s="1"/>
  <c r="AP140" i="6" s="1"/>
  <c r="AQ140" i="6" s="1"/>
  <c r="AR140" i="6" s="1"/>
  <c r="AS140" i="6" s="1"/>
  <c r="AT140" i="6" s="1"/>
  <c r="AU140" i="6" s="1"/>
  <c r="AV140" i="6" s="1"/>
  <c r="AW140" i="6" s="1"/>
  <c r="AX140" i="6" s="1"/>
  <c r="AY140" i="6" s="1"/>
  <c r="AZ140" i="6" s="1"/>
  <c r="BA140" i="6" s="1"/>
  <c r="BB140" i="6" s="1"/>
  <c r="BC140" i="6" s="1"/>
  <c r="BD140" i="6" s="1"/>
  <c r="BE140" i="6" s="1"/>
  <c r="BF140" i="6" s="1"/>
  <c r="BG140" i="6" s="1"/>
  <c r="BH140" i="6" s="1"/>
  <c r="BI140" i="6" s="1"/>
  <c r="BJ140" i="6" s="1"/>
  <c r="BK140" i="6" s="1"/>
  <c r="BL140" i="6" s="1"/>
  <c r="BM140" i="6" s="1"/>
  <c r="BN140" i="6" s="1"/>
  <c r="BO140" i="6" s="1"/>
  <c r="BP140" i="6" s="1"/>
  <c r="BQ140" i="6" s="1"/>
  <c r="BR140" i="6" s="1"/>
  <c r="BS140" i="6" s="1"/>
  <c r="BT140" i="6" s="1"/>
  <c r="BU140" i="6" s="1"/>
  <c r="BV140" i="6" s="1"/>
  <c r="BW140" i="6" s="1"/>
  <c r="BX140" i="6" s="1"/>
  <c r="BY140" i="6" s="1"/>
  <c r="BZ140" i="6" s="1"/>
  <c r="CA140" i="6" s="1"/>
  <c r="CB140" i="6" s="1"/>
  <c r="CC140" i="6" s="1"/>
  <c r="CD140" i="6" s="1"/>
  <c r="CE140" i="6" s="1"/>
  <c r="CF140" i="6" s="1"/>
  <c r="CG140" i="6" s="1"/>
  <c r="CH140" i="6" s="1"/>
  <c r="CI140" i="6" s="1"/>
  <c r="CJ140" i="6" s="1"/>
  <c r="CK140" i="6" s="1"/>
  <c r="CL140" i="6" s="1"/>
  <c r="CM140" i="6" s="1"/>
  <c r="CN140" i="6" s="1"/>
  <c r="CO140" i="6" s="1"/>
  <c r="CP140" i="6" s="1"/>
  <c r="CQ140" i="6" s="1"/>
  <c r="CR140" i="6" s="1"/>
  <c r="CS140" i="6" s="1"/>
  <c r="CT140" i="6" s="1"/>
  <c r="CU140" i="6" s="1"/>
  <c r="CV140" i="6" s="1"/>
  <c r="CW140" i="6" s="1"/>
  <c r="CX140" i="6" s="1"/>
  <c r="CY140" i="6" s="1"/>
  <c r="CZ140" i="6" s="1"/>
  <c r="DA140" i="6" s="1"/>
  <c r="DB140" i="6" s="1"/>
  <c r="DC140" i="6" s="1"/>
  <c r="DD140" i="6" s="1"/>
  <c r="DE140" i="6" s="1"/>
  <c r="L116" i="6"/>
  <c r="M116" i="6" s="1"/>
  <c r="N116" i="6" s="1"/>
  <c r="O116" i="6" s="1"/>
  <c r="P116" i="6" s="1"/>
  <c r="Q116" i="6" s="1"/>
  <c r="R116" i="6" s="1"/>
  <c r="S116" i="6" s="1"/>
  <c r="T116" i="6" s="1"/>
  <c r="U116" i="6" s="1"/>
  <c r="V116" i="6" s="1"/>
  <c r="W116" i="6" s="1"/>
  <c r="X116" i="6" s="1"/>
  <c r="Y116" i="6" s="1"/>
  <c r="Z116" i="6" s="1"/>
  <c r="AA116" i="6" s="1"/>
  <c r="AB116" i="6" s="1"/>
  <c r="AC116" i="6" s="1"/>
  <c r="AD116" i="6" s="1"/>
  <c r="AE116" i="6" s="1"/>
  <c r="AF116" i="6" s="1"/>
  <c r="AG116" i="6" s="1"/>
  <c r="AH116" i="6" s="1"/>
  <c r="AI116" i="6" s="1"/>
  <c r="AJ116" i="6" s="1"/>
  <c r="AK116" i="6" s="1"/>
  <c r="AL116" i="6" s="1"/>
  <c r="AM116" i="6" s="1"/>
  <c r="AN116" i="6" s="1"/>
  <c r="AO116" i="6" s="1"/>
  <c r="AP116" i="6" s="1"/>
  <c r="AQ116" i="6" s="1"/>
  <c r="AR116" i="6" s="1"/>
  <c r="AS116" i="6" s="1"/>
  <c r="AT116" i="6" s="1"/>
  <c r="AU116" i="6" s="1"/>
  <c r="AV116" i="6" s="1"/>
  <c r="AW116" i="6" s="1"/>
  <c r="AX116" i="6" s="1"/>
  <c r="AY116" i="6" s="1"/>
  <c r="AZ116" i="6" s="1"/>
  <c r="BA116" i="6" s="1"/>
  <c r="BB116" i="6" s="1"/>
  <c r="BC116" i="6" s="1"/>
  <c r="BD116" i="6" s="1"/>
  <c r="BE116" i="6" s="1"/>
  <c r="BF116" i="6" s="1"/>
  <c r="BG116" i="6" s="1"/>
  <c r="BH116" i="6" s="1"/>
  <c r="BI116" i="6" s="1"/>
  <c r="BJ116" i="6" s="1"/>
  <c r="BK116" i="6" s="1"/>
  <c r="BL116" i="6" s="1"/>
  <c r="BM116" i="6" s="1"/>
  <c r="BN116" i="6" s="1"/>
  <c r="BO116" i="6" s="1"/>
  <c r="BP116" i="6" s="1"/>
  <c r="BQ116" i="6" s="1"/>
  <c r="BR116" i="6" s="1"/>
  <c r="BS116" i="6" s="1"/>
  <c r="BT116" i="6" s="1"/>
  <c r="BU116" i="6" s="1"/>
  <c r="BV116" i="6" s="1"/>
  <c r="BW116" i="6" s="1"/>
  <c r="BX116" i="6" s="1"/>
  <c r="BY116" i="6" s="1"/>
  <c r="BZ116" i="6" s="1"/>
  <c r="CA116" i="6" s="1"/>
  <c r="CB116" i="6" s="1"/>
  <c r="CC116" i="6" s="1"/>
  <c r="CD116" i="6" s="1"/>
  <c r="CE116" i="6" s="1"/>
  <c r="CF116" i="6" s="1"/>
  <c r="CG116" i="6" s="1"/>
  <c r="CH116" i="6" s="1"/>
  <c r="CI116" i="6" s="1"/>
  <c r="CJ116" i="6" s="1"/>
  <c r="CK116" i="6" s="1"/>
  <c r="CL116" i="6" s="1"/>
  <c r="CM116" i="6" s="1"/>
  <c r="CN116" i="6" s="1"/>
  <c r="CO116" i="6" s="1"/>
  <c r="CP116" i="6" s="1"/>
  <c r="CQ116" i="6" s="1"/>
  <c r="CR116" i="6" s="1"/>
  <c r="CS116" i="6" s="1"/>
  <c r="CT116" i="6" s="1"/>
  <c r="CU116" i="6" s="1"/>
  <c r="CV116" i="6" s="1"/>
  <c r="CW116" i="6" s="1"/>
  <c r="CX116" i="6" s="1"/>
  <c r="CY116" i="6" s="1"/>
  <c r="CZ116" i="6" s="1"/>
  <c r="DA116" i="6" s="1"/>
  <c r="DB116" i="6" s="1"/>
  <c r="DC116" i="6" s="1"/>
  <c r="DD116" i="6" s="1"/>
  <c r="DE116" i="6" s="1"/>
  <c r="L67" i="6"/>
  <c r="M67" i="6" s="1"/>
  <c r="N67" i="6" s="1"/>
  <c r="O67" i="6" s="1"/>
  <c r="P67" i="6" s="1"/>
  <c r="Q67" i="6" s="1"/>
  <c r="R67" i="6" s="1"/>
  <c r="S67" i="6" s="1"/>
  <c r="T67" i="6" s="1"/>
  <c r="U67" i="6" s="1"/>
  <c r="V67" i="6" s="1"/>
  <c r="W67" i="6" s="1"/>
  <c r="X67" i="6" s="1"/>
  <c r="Y67" i="6" s="1"/>
  <c r="Z67" i="6" s="1"/>
  <c r="AA67" i="6" s="1"/>
  <c r="AB67" i="6" s="1"/>
  <c r="AC67" i="6" s="1"/>
  <c r="AD67" i="6" s="1"/>
  <c r="AE67" i="6" s="1"/>
  <c r="AF67" i="6" s="1"/>
  <c r="AG67" i="6" s="1"/>
  <c r="AH67" i="6" s="1"/>
  <c r="AI67" i="6" s="1"/>
  <c r="AJ67" i="6" s="1"/>
  <c r="AK67" i="6" s="1"/>
  <c r="AL67" i="6" s="1"/>
  <c r="AM67" i="6" s="1"/>
  <c r="AN67" i="6" s="1"/>
  <c r="AO67" i="6" s="1"/>
  <c r="AP67" i="6" s="1"/>
  <c r="AQ67" i="6" s="1"/>
  <c r="AR67" i="6" s="1"/>
  <c r="AS67" i="6" s="1"/>
  <c r="AT67" i="6" s="1"/>
  <c r="AU67" i="6" s="1"/>
  <c r="AV67" i="6" s="1"/>
  <c r="AW67" i="6" s="1"/>
  <c r="AX67" i="6" s="1"/>
  <c r="AY67" i="6" s="1"/>
  <c r="AZ67" i="6" s="1"/>
  <c r="BA67" i="6" s="1"/>
  <c r="BB67" i="6" s="1"/>
  <c r="BC67" i="6" s="1"/>
  <c r="BD67" i="6" s="1"/>
  <c r="BE67" i="6" s="1"/>
  <c r="BF67" i="6" s="1"/>
  <c r="BG67" i="6" s="1"/>
  <c r="BH67" i="6" s="1"/>
  <c r="BI67" i="6" s="1"/>
  <c r="BJ67" i="6" s="1"/>
  <c r="BK67" i="6" s="1"/>
  <c r="BL67" i="6" s="1"/>
  <c r="BM67" i="6" s="1"/>
  <c r="BN67" i="6" s="1"/>
  <c r="BO67" i="6" s="1"/>
  <c r="BP67" i="6" s="1"/>
  <c r="BQ67" i="6" s="1"/>
  <c r="BR67" i="6" s="1"/>
  <c r="BS67" i="6" s="1"/>
  <c r="BT67" i="6" s="1"/>
  <c r="BU67" i="6" s="1"/>
  <c r="BV67" i="6" s="1"/>
  <c r="BW67" i="6" s="1"/>
  <c r="BX67" i="6" s="1"/>
  <c r="BY67" i="6" s="1"/>
  <c r="BZ67" i="6" s="1"/>
  <c r="CA67" i="6" s="1"/>
  <c r="CB67" i="6" s="1"/>
  <c r="CC67" i="6" s="1"/>
  <c r="CD67" i="6" s="1"/>
  <c r="CE67" i="6" s="1"/>
  <c r="CF67" i="6" s="1"/>
  <c r="CG67" i="6" s="1"/>
  <c r="CH67" i="6" s="1"/>
  <c r="CI67" i="6" s="1"/>
  <c r="CJ67" i="6" s="1"/>
  <c r="CK67" i="6" s="1"/>
  <c r="CL67" i="6" s="1"/>
  <c r="CM67" i="6" s="1"/>
  <c r="CN67" i="6" s="1"/>
  <c r="CO67" i="6" s="1"/>
  <c r="CP67" i="6" s="1"/>
  <c r="CQ67" i="6" s="1"/>
  <c r="CR67" i="6" s="1"/>
  <c r="CS67" i="6" s="1"/>
  <c r="CT67" i="6" s="1"/>
  <c r="CU67" i="6" s="1"/>
  <c r="CV67" i="6" s="1"/>
  <c r="CW67" i="6" s="1"/>
  <c r="CX67" i="6" s="1"/>
  <c r="CY67" i="6" s="1"/>
  <c r="CZ67" i="6" s="1"/>
  <c r="DA67" i="6" s="1"/>
  <c r="DB67" i="6" s="1"/>
  <c r="DC67" i="6" s="1"/>
  <c r="DD67" i="6" s="1"/>
  <c r="DE67" i="6" s="1"/>
  <c r="O9" i="6"/>
  <c r="P9" i="6" s="1"/>
  <c r="Q9" i="6" s="1"/>
  <c r="R9" i="6" s="1"/>
  <c r="S9" i="6" s="1"/>
  <c r="T9" i="6" s="1"/>
  <c r="U9" i="6" s="1"/>
  <c r="V9" i="6" s="1"/>
  <c r="W9" i="6" s="1"/>
  <c r="X9" i="6" s="1"/>
  <c r="Y9" i="6" s="1"/>
  <c r="Z9" i="6" s="1"/>
  <c r="AA9" i="6" s="1"/>
  <c r="AB9" i="6" s="1"/>
  <c r="AC9" i="6" s="1"/>
  <c r="AD9" i="6" s="1"/>
  <c r="AE9" i="6" s="1"/>
  <c r="AF9" i="6" s="1"/>
  <c r="AG9" i="6" s="1"/>
  <c r="AH9" i="6" s="1"/>
  <c r="AI9" i="6" s="1"/>
  <c r="AJ9" i="6" s="1"/>
  <c r="AK9" i="6" s="1"/>
  <c r="AL9" i="6" s="1"/>
  <c r="AM9" i="6" s="1"/>
  <c r="AN9" i="6" s="1"/>
  <c r="AO9" i="6" s="1"/>
  <c r="AP9" i="6" s="1"/>
  <c r="AQ9" i="6" s="1"/>
  <c r="AR9" i="6" s="1"/>
  <c r="AS9" i="6" s="1"/>
  <c r="AT9" i="6" s="1"/>
  <c r="AU9" i="6" s="1"/>
  <c r="AV9" i="6" s="1"/>
  <c r="AW9" i="6" s="1"/>
  <c r="AX9" i="6" s="1"/>
  <c r="AY9" i="6" s="1"/>
  <c r="AZ9" i="6" s="1"/>
  <c r="BA9" i="6" s="1"/>
  <c r="BB9" i="6" s="1"/>
  <c r="BC9" i="6" s="1"/>
  <c r="BD9" i="6" s="1"/>
  <c r="BE9" i="6" s="1"/>
  <c r="BF9" i="6" s="1"/>
  <c r="BG9" i="6" s="1"/>
  <c r="BH9" i="6" s="1"/>
  <c r="BI9" i="6" s="1"/>
  <c r="BJ9" i="6" s="1"/>
  <c r="BK9" i="6" s="1"/>
  <c r="BL9" i="6" s="1"/>
  <c r="BM9" i="6" s="1"/>
  <c r="BN9" i="6" s="1"/>
  <c r="BO9" i="6" s="1"/>
  <c r="BP9" i="6" s="1"/>
  <c r="BQ9" i="6" s="1"/>
  <c r="BR9" i="6" s="1"/>
  <c r="BS9" i="6" s="1"/>
  <c r="BT9" i="6" s="1"/>
  <c r="BU9" i="6" s="1"/>
  <c r="BV9" i="6" s="1"/>
  <c r="BW9" i="6" s="1"/>
  <c r="BX9" i="6" s="1"/>
  <c r="BY9" i="6" s="1"/>
  <c r="BZ9" i="6" s="1"/>
  <c r="CA9" i="6" s="1"/>
  <c r="CB9" i="6" s="1"/>
  <c r="CC9" i="6" s="1"/>
  <c r="CD9" i="6" s="1"/>
  <c r="CE9" i="6" s="1"/>
  <c r="CF9" i="6" s="1"/>
  <c r="CG9" i="6" s="1"/>
  <c r="CH9" i="6" s="1"/>
  <c r="CI9" i="6" s="1"/>
  <c r="CJ9" i="6" s="1"/>
  <c r="CK9" i="6" s="1"/>
  <c r="CL9" i="6" s="1"/>
  <c r="CM9" i="6" s="1"/>
  <c r="CN9" i="6" s="1"/>
  <c r="CO9" i="6" s="1"/>
  <c r="CP9" i="6" s="1"/>
  <c r="CQ9" i="6" s="1"/>
  <c r="CR9" i="6" s="1"/>
  <c r="CS9" i="6" s="1"/>
  <c r="CT9" i="6" s="1"/>
  <c r="CU9" i="6" s="1"/>
  <c r="CV9" i="6" s="1"/>
  <c r="CW9" i="6" s="1"/>
  <c r="CX9" i="6" s="1"/>
  <c r="CY9" i="6" s="1"/>
  <c r="CZ9" i="6" s="1"/>
  <c r="DA9" i="6" s="1"/>
  <c r="DB9" i="6" s="1"/>
  <c r="DC9" i="6" s="1"/>
  <c r="DD9" i="6" s="1"/>
  <c r="DE9" i="6" s="1"/>
  <c r="O5" i="6"/>
  <c r="P5" i="6" s="1"/>
  <c r="Q5" i="6" s="1"/>
  <c r="R5" i="6" s="1"/>
  <c r="S5" i="6" s="1"/>
  <c r="T5" i="6" s="1"/>
  <c r="U5" i="6" s="1"/>
  <c r="V5" i="6" s="1"/>
  <c r="W5" i="6" s="1"/>
  <c r="X5" i="6" s="1"/>
  <c r="Y5" i="6" s="1"/>
  <c r="Z5" i="6" s="1"/>
  <c r="AA5" i="6" s="1"/>
  <c r="AB5" i="6" s="1"/>
  <c r="AC5" i="6" s="1"/>
  <c r="AD5" i="6" s="1"/>
  <c r="AE5" i="6" s="1"/>
  <c r="AF5" i="6" s="1"/>
  <c r="AG5" i="6" s="1"/>
  <c r="AH5" i="6" s="1"/>
  <c r="AI5" i="6" s="1"/>
  <c r="AJ5" i="6" s="1"/>
  <c r="AK5" i="6" s="1"/>
  <c r="AL5" i="6" s="1"/>
  <c r="AM5" i="6" s="1"/>
  <c r="AN5" i="6" s="1"/>
  <c r="AO5" i="6" s="1"/>
  <c r="AP5" i="6" s="1"/>
  <c r="AQ5" i="6" s="1"/>
  <c r="AR5" i="6" s="1"/>
  <c r="AS5" i="6" s="1"/>
  <c r="AT5" i="6" s="1"/>
  <c r="AU5" i="6" s="1"/>
  <c r="AV5" i="6" s="1"/>
  <c r="AW5" i="6" s="1"/>
  <c r="AX5" i="6" s="1"/>
  <c r="AY5" i="6" s="1"/>
  <c r="AZ5" i="6" s="1"/>
  <c r="BA5" i="6" s="1"/>
  <c r="BB5" i="6" s="1"/>
  <c r="BC5" i="6" s="1"/>
  <c r="BD5" i="6" s="1"/>
  <c r="BE5" i="6" s="1"/>
  <c r="BF5" i="6" s="1"/>
  <c r="BG5" i="6" s="1"/>
  <c r="BH5" i="6" s="1"/>
  <c r="BI5" i="6" s="1"/>
  <c r="BJ5" i="6" s="1"/>
  <c r="BK5" i="6" s="1"/>
  <c r="BL5" i="6" s="1"/>
  <c r="BM5" i="6" s="1"/>
  <c r="BN5" i="6" s="1"/>
  <c r="BO5" i="6" s="1"/>
  <c r="BP5" i="6" s="1"/>
  <c r="BQ5" i="6" s="1"/>
  <c r="BR5" i="6" s="1"/>
  <c r="BS5" i="6" s="1"/>
  <c r="BT5" i="6" s="1"/>
  <c r="BU5" i="6" s="1"/>
  <c r="BV5" i="6" s="1"/>
  <c r="BW5" i="6" s="1"/>
  <c r="BX5" i="6" s="1"/>
  <c r="BY5" i="6" s="1"/>
  <c r="BZ5" i="6" s="1"/>
  <c r="CA5" i="6" s="1"/>
  <c r="CB5" i="6" s="1"/>
  <c r="CC5" i="6" s="1"/>
  <c r="CD5" i="6" s="1"/>
  <c r="CE5" i="6" s="1"/>
  <c r="CF5" i="6" s="1"/>
  <c r="CG5" i="6" s="1"/>
  <c r="CH5" i="6" s="1"/>
  <c r="CI5" i="6" s="1"/>
  <c r="CJ5" i="6" s="1"/>
  <c r="CK5" i="6" s="1"/>
  <c r="CL5" i="6" s="1"/>
  <c r="CM5" i="6" s="1"/>
  <c r="CN5" i="6" s="1"/>
  <c r="CO5" i="6" s="1"/>
  <c r="CP5" i="6" s="1"/>
  <c r="CQ5" i="6" s="1"/>
  <c r="CR5" i="6" s="1"/>
  <c r="CS5" i="6" s="1"/>
  <c r="CT5" i="6" s="1"/>
  <c r="CU5" i="6" s="1"/>
  <c r="CV5" i="6" s="1"/>
  <c r="CW5" i="6" s="1"/>
  <c r="CY5" i="6" s="1"/>
  <c r="CZ5" i="6" s="1"/>
  <c r="L360" i="6"/>
  <c r="M360" i="6" s="1"/>
  <c r="N360" i="6" s="1"/>
  <c r="O360" i="6" s="1"/>
  <c r="P360" i="6" s="1"/>
  <c r="Q360" i="6" s="1"/>
  <c r="R360" i="6" s="1"/>
  <c r="S360" i="6" s="1"/>
  <c r="T360" i="6" s="1"/>
  <c r="U360" i="6" s="1"/>
  <c r="V360" i="6" s="1"/>
  <c r="W360" i="6" s="1"/>
  <c r="X360" i="6" s="1"/>
  <c r="Y360" i="6" s="1"/>
  <c r="Z360" i="6" s="1"/>
  <c r="AA360" i="6" s="1"/>
  <c r="AB360" i="6" s="1"/>
  <c r="AC360" i="6" s="1"/>
  <c r="AD360" i="6" s="1"/>
  <c r="AE360" i="6" s="1"/>
  <c r="AF360" i="6" s="1"/>
  <c r="AG360" i="6" s="1"/>
  <c r="AH360" i="6" s="1"/>
  <c r="AI360" i="6" s="1"/>
  <c r="AJ360" i="6" s="1"/>
  <c r="AK360" i="6" s="1"/>
  <c r="AL360" i="6" s="1"/>
  <c r="AM360" i="6" s="1"/>
  <c r="AN360" i="6" s="1"/>
  <c r="AO360" i="6" s="1"/>
  <c r="AP360" i="6" s="1"/>
  <c r="AQ360" i="6" s="1"/>
  <c r="AR360" i="6" s="1"/>
  <c r="AS360" i="6" s="1"/>
  <c r="AT360" i="6" s="1"/>
  <c r="AU360" i="6" s="1"/>
  <c r="AV360" i="6" s="1"/>
  <c r="AW360" i="6" s="1"/>
  <c r="AX360" i="6" s="1"/>
  <c r="AY360" i="6" s="1"/>
  <c r="AZ360" i="6" s="1"/>
  <c r="BA360" i="6" s="1"/>
  <c r="BB360" i="6" s="1"/>
  <c r="BC360" i="6" s="1"/>
  <c r="BD360" i="6" s="1"/>
  <c r="BE360" i="6" s="1"/>
  <c r="BF360" i="6" s="1"/>
  <c r="BG360" i="6" s="1"/>
  <c r="BH360" i="6" s="1"/>
  <c r="BI360" i="6" s="1"/>
  <c r="BJ360" i="6" s="1"/>
  <c r="BK360" i="6" s="1"/>
  <c r="BL360" i="6" s="1"/>
  <c r="BM360" i="6" s="1"/>
  <c r="BN360" i="6" s="1"/>
  <c r="BO360" i="6" s="1"/>
  <c r="BP360" i="6" s="1"/>
  <c r="BQ360" i="6" s="1"/>
  <c r="BR360" i="6" s="1"/>
  <c r="BS360" i="6" s="1"/>
  <c r="BT360" i="6" s="1"/>
  <c r="BU360" i="6" s="1"/>
  <c r="BV360" i="6" s="1"/>
  <c r="BW360" i="6" s="1"/>
  <c r="BX360" i="6" s="1"/>
  <c r="BY360" i="6" s="1"/>
  <c r="BZ360" i="6" s="1"/>
  <c r="CA360" i="6" s="1"/>
  <c r="CB360" i="6" s="1"/>
  <c r="CC360" i="6" s="1"/>
  <c r="CD360" i="6" s="1"/>
  <c r="CE360" i="6" s="1"/>
  <c r="CF360" i="6" s="1"/>
  <c r="CG360" i="6" s="1"/>
  <c r="CH360" i="6" s="1"/>
  <c r="CI360" i="6" s="1"/>
  <c r="CJ360" i="6" s="1"/>
  <c r="CK360" i="6" s="1"/>
  <c r="CL360" i="6" s="1"/>
  <c r="CM360" i="6" s="1"/>
  <c r="CN360" i="6" s="1"/>
  <c r="CO360" i="6" s="1"/>
  <c r="CP360" i="6" s="1"/>
  <c r="CQ360" i="6" s="1"/>
  <c r="CR360" i="6" s="1"/>
  <c r="CS360" i="6" s="1"/>
  <c r="CT360" i="6" s="1"/>
  <c r="CU360" i="6" s="1"/>
  <c r="CV360" i="6" s="1"/>
  <c r="CW360" i="6" s="1"/>
  <c r="CX360" i="6" s="1"/>
  <c r="CY360" i="6" s="1"/>
  <c r="CZ360" i="6" s="1"/>
  <c r="DA360" i="6" s="1"/>
  <c r="DB360" i="6" s="1"/>
  <c r="DC360" i="6" s="1"/>
  <c r="DD360" i="6" s="1"/>
  <c r="DE360" i="6" s="1"/>
  <c r="N269" i="6"/>
  <c r="O269" i="6" s="1"/>
  <c r="P269" i="6" s="1"/>
  <c r="Q269" i="6" s="1"/>
  <c r="R269" i="6" s="1"/>
  <c r="S269" i="6" s="1"/>
  <c r="T269" i="6" s="1"/>
  <c r="U269" i="6" s="1"/>
  <c r="V269" i="6" s="1"/>
  <c r="W269" i="6" s="1"/>
  <c r="X269" i="6" s="1"/>
  <c r="Y269" i="6" s="1"/>
  <c r="Z269" i="6" s="1"/>
  <c r="AA269" i="6" s="1"/>
  <c r="AB269" i="6" s="1"/>
  <c r="AC269" i="6" s="1"/>
  <c r="AD269" i="6" s="1"/>
  <c r="AE269" i="6" s="1"/>
  <c r="AF269" i="6" s="1"/>
  <c r="AG269" i="6" s="1"/>
  <c r="AH269" i="6" s="1"/>
  <c r="AI269" i="6" s="1"/>
  <c r="AJ269" i="6" s="1"/>
  <c r="AK269" i="6" s="1"/>
  <c r="AL269" i="6" s="1"/>
  <c r="AM269" i="6" s="1"/>
  <c r="AN269" i="6" s="1"/>
  <c r="AO269" i="6" s="1"/>
  <c r="AP269" i="6" s="1"/>
  <c r="AQ269" i="6" s="1"/>
  <c r="AR269" i="6" s="1"/>
  <c r="AS269" i="6" s="1"/>
  <c r="AT269" i="6" s="1"/>
  <c r="AU269" i="6" s="1"/>
  <c r="AV269" i="6" s="1"/>
  <c r="AW269" i="6" s="1"/>
  <c r="AX269" i="6" s="1"/>
  <c r="AY269" i="6" s="1"/>
  <c r="AZ269" i="6" s="1"/>
  <c r="BA269" i="6" s="1"/>
  <c r="BB269" i="6" s="1"/>
  <c r="BC269" i="6" s="1"/>
  <c r="BD269" i="6" s="1"/>
  <c r="BE269" i="6" s="1"/>
  <c r="BF269" i="6" s="1"/>
  <c r="BG269" i="6" s="1"/>
  <c r="BH269" i="6" s="1"/>
  <c r="BI269" i="6" s="1"/>
  <c r="BJ269" i="6" s="1"/>
  <c r="BK269" i="6" s="1"/>
  <c r="BL269" i="6" s="1"/>
  <c r="BM269" i="6" s="1"/>
  <c r="BN269" i="6" s="1"/>
  <c r="BO269" i="6" s="1"/>
  <c r="BP269" i="6" s="1"/>
  <c r="BQ269" i="6" s="1"/>
  <c r="BR269" i="6" s="1"/>
  <c r="BS269" i="6" s="1"/>
  <c r="BT269" i="6" s="1"/>
  <c r="BU269" i="6" s="1"/>
  <c r="BV269" i="6" s="1"/>
  <c r="BW269" i="6" s="1"/>
  <c r="BX269" i="6" s="1"/>
  <c r="BY269" i="6" s="1"/>
  <c r="BZ269" i="6" s="1"/>
  <c r="CA269" i="6" s="1"/>
  <c r="CB269" i="6" s="1"/>
  <c r="CC269" i="6" s="1"/>
  <c r="CD269" i="6" s="1"/>
  <c r="CE269" i="6" s="1"/>
  <c r="CF269" i="6" s="1"/>
  <c r="CG269" i="6" s="1"/>
  <c r="CH269" i="6" s="1"/>
  <c r="CI269" i="6" s="1"/>
  <c r="CJ269" i="6" s="1"/>
  <c r="CK269" i="6" s="1"/>
  <c r="CL269" i="6" s="1"/>
  <c r="CM269" i="6" s="1"/>
  <c r="CN269" i="6" s="1"/>
  <c r="CO269" i="6" s="1"/>
  <c r="CP269" i="6" s="1"/>
  <c r="CQ269" i="6" s="1"/>
  <c r="CR269" i="6" s="1"/>
  <c r="CS269" i="6" s="1"/>
  <c r="CT269" i="6" s="1"/>
  <c r="CU269" i="6" s="1"/>
  <c r="CV269" i="6" s="1"/>
  <c r="CW269" i="6" s="1"/>
  <c r="CX269" i="6" s="1"/>
  <c r="CY269" i="6" s="1"/>
  <c r="CZ269" i="6" s="1"/>
  <c r="DA269" i="6" s="1"/>
  <c r="DB269" i="6" s="1"/>
  <c r="DC269" i="6" s="1"/>
  <c r="DD269" i="6" s="1"/>
  <c r="DE269" i="6" s="1"/>
  <c r="L239" i="6"/>
  <c r="M239" i="6" s="1"/>
  <c r="N239" i="6" s="1"/>
  <c r="O239" i="6" s="1"/>
  <c r="P239" i="6" s="1"/>
  <c r="Q239" i="6" s="1"/>
  <c r="R239" i="6" s="1"/>
  <c r="S239" i="6" s="1"/>
  <c r="T239" i="6" s="1"/>
  <c r="U239" i="6" s="1"/>
  <c r="V239" i="6" s="1"/>
  <c r="W239" i="6" s="1"/>
  <c r="X239" i="6" s="1"/>
  <c r="Y239" i="6" s="1"/>
  <c r="Z239" i="6" s="1"/>
  <c r="AA239" i="6" s="1"/>
  <c r="AB239" i="6" s="1"/>
  <c r="AC239" i="6" s="1"/>
  <c r="AD239" i="6" s="1"/>
  <c r="AE239" i="6" s="1"/>
  <c r="AF239" i="6" s="1"/>
  <c r="AG239" i="6" s="1"/>
  <c r="AH239" i="6" s="1"/>
  <c r="AI239" i="6" s="1"/>
  <c r="AJ239" i="6" s="1"/>
  <c r="AK239" i="6" s="1"/>
  <c r="AL239" i="6" s="1"/>
  <c r="AM239" i="6" s="1"/>
  <c r="AN239" i="6" s="1"/>
  <c r="AO239" i="6" s="1"/>
  <c r="AP239" i="6" s="1"/>
  <c r="AQ239" i="6" s="1"/>
  <c r="AR239" i="6" s="1"/>
  <c r="AS239" i="6" s="1"/>
  <c r="AT239" i="6" s="1"/>
  <c r="AU239" i="6" s="1"/>
  <c r="AV239" i="6" s="1"/>
  <c r="AW239" i="6" s="1"/>
  <c r="AX239" i="6" s="1"/>
  <c r="AY239" i="6" s="1"/>
  <c r="AZ239" i="6" s="1"/>
  <c r="BA239" i="6" s="1"/>
  <c r="BB239" i="6" s="1"/>
  <c r="BC239" i="6" s="1"/>
  <c r="BD239" i="6" s="1"/>
  <c r="BE239" i="6" s="1"/>
  <c r="BF239" i="6" s="1"/>
  <c r="BG239" i="6" s="1"/>
  <c r="BH239" i="6" s="1"/>
  <c r="BI239" i="6" s="1"/>
  <c r="BJ239" i="6" s="1"/>
  <c r="BK239" i="6" s="1"/>
  <c r="BL239" i="6" s="1"/>
  <c r="BM239" i="6" s="1"/>
  <c r="BN239" i="6" s="1"/>
  <c r="BO239" i="6" s="1"/>
  <c r="BP239" i="6" s="1"/>
  <c r="BQ239" i="6" s="1"/>
  <c r="BR239" i="6" s="1"/>
  <c r="BS239" i="6" s="1"/>
  <c r="BT239" i="6" s="1"/>
  <c r="BU239" i="6" s="1"/>
  <c r="BV239" i="6" s="1"/>
  <c r="BW239" i="6" s="1"/>
  <c r="BX239" i="6" s="1"/>
  <c r="BY239" i="6" s="1"/>
  <c r="BZ239" i="6" s="1"/>
  <c r="CA239" i="6" s="1"/>
  <c r="CB239" i="6" s="1"/>
  <c r="CC239" i="6" s="1"/>
  <c r="CD239" i="6" s="1"/>
  <c r="CE239" i="6" s="1"/>
  <c r="CF239" i="6" s="1"/>
  <c r="CG239" i="6" s="1"/>
  <c r="CH239" i="6" s="1"/>
  <c r="CI239" i="6" s="1"/>
  <c r="CJ239" i="6" s="1"/>
  <c r="CK239" i="6" s="1"/>
  <c r="CL239" i="6" s="1"/>
  <c r="CM239" i="6" s="1"/>
  <c r="CN239" i="6" s="1"/>
  <c r="CO239" i="6" s="1"/>
  <c r="CP239" i="6" s="1"/>
  <c r="CQ239" i="6" s="1"/>
  <c r="CR239" i="6" s="1"/>
  <c r="CS239" i="6" s="1"/>
  <c r="CT239" i="6" s="1"/>
  <c r="CU239" i="6" s="1"/>
  <c r="CV239" i="6" s="1"/>
  <c r="CW239" i="6" s="1"/>
  <c r="CX239" i="6" s="1"/>
  <c r="CY239" i="6" s="1"/>
  <c r="CZ239" i="6" s="1"/>
  <c r="DA239" i="6" s="1"/>
  <c r="DB239" i="6" s="1"/>
  <c r="DC239" i="6" s="1"/>
  <c r="DD239" i="6" s="1"/>
  <c r="DE239" i="6" s="1"/>
  <c r="O231" i="6"/>
  <c r="P231" i="6" s="1"/>
  <c r="Q231" i="6" s="1"/>
  <c r="R231" i="6" s="1"/>
  <c r="S231" i="6" s="1"/>
  <c r="T231" i="6" s="1"/>
  <c r="U231" i="6" s="1"/>
  <c r="V231" i="6" s="1"/>
  <c r="W231" i="6" s="1"/>
  <c r="X231" i="6" s="1"/>
  <c r="Y231" i="6" s="1"/>
  <c r="Z231" i="6" s="1"/>
  <c r="AA231" i="6" s="1"/>
  <c r="AB231" i="6" s="1"/>
  <c r="AC231" i="6" s="1"/>
  <c r="AD231" i="6" s="1"/>
  <c r="AE231" i="6" s="1"/>
  <c r="AF231" i="6" s="1"/>
  <c r="AG231" i="6" s="1"/>
  <c r="AH231" i="6" s="1"/>
  <c r="AI231" i="6" s="1"/>
  <c r="AJ231" i="6" s="1"/>
  <c r="AK231" i="6" s="1"/>
  <c r="AL231" i="6" s="1"/>
  <c r="AM231" i="6" s="1"/>
  <c r="AN231" i="6" s="1"/>
  <c r="AO231" i="6" s="1"/>
  <c r="AP231" i="6" s="1"/>
  <c r="AQ231" i="6" s="1"/>
  <c r="AR231" i="6" s="1"/>
  <c r="AS231" i="6" s="1"/>
  <c r="AT231" i="6" s="1"/>
  <c r="AU231" i="6" s="1"/>
  <c r="AV231" i="6" s="1"/>
  <c r="AW231" i="6" s="1"/>
  <c r="AX231" i="6" s="1"/>
  <c r="AY231" i="6" s="1"/>
  <c r="AZ231" i="6" s="1"/>
  <c r="BA231" i="6" s="1"/>
  <c r="BB231" i="6" s="1"/>
  <c r="BC231" i="6" s="1"/>
  <c r="BD231" i="6" s="1"/>
  <c r="BE231" i="6" s="1"/>
  <c r="BF231" i="6" s="1"/>
  <c r="BG231" i="6" s="1"/>
  <c r="BH231" i="6" s="1"/>
  <c r="BI231" i="6" s="1"/>
  <c r="BJ231" i="6" s="1"/>
  <c r="BK231" i="6" s="1"/>
  <c r="BL231" i="6" s="1"/>
  <c r="BM231" i="6" s="1"/>
  <c r="BN231" i="6" s="1"/>
  <c r="BO231" i="6" s="1"/>
  <c r="BP231" i="6" s="1"/>
  <c r="BQ231" i="6" s="1"/>
  <c r="BR231" i="6" s="1"/>
  <c r="BS231" i="6" s="1"/>
  <c r="BT231" i="6" s="1"/>
  <c r="BU231" i="6" s="1"/>
  <c r="BV231" i="6" s="1"/>
  <c r="BW231" i="6" s="1"/>
  <c r="BX231" i="6" s="1"/>
  <c r="BY231" i="6" s="1"/>
  <c r="BZ231" i="6" s="1"/>
  <c r="CA231" i="6" s="1"/>
  <c r="CB231" i="6" s="1"/>
  <c r="CC231" i="6" s="1"/>
  <c r="CD231" i="6" s="1"/>
  <c r="CE231" i="6" s="1"/>
  <c r="CF231" i="6" s="1"/>
  <c r="CG231" i="6" s="1"/>
  <c r="CH231" i="6" s="1"/>
  <c r="CI231" i="6" s="1"/>
  <c r="CJ231" i="6" s="1"/>
  <c r="CK231" i="6" s="1"/>
  <c r="CL231" i="6" s="1"/>
  <c r="CM231" i="6" s="1"/>
  <c r="CN231" i="6" s="1"/>
  <c r="CO231" i="6" s="1"/>
  <c r="CP231" i="6" s="1"/>
  <c r="CQ231" i="6" s="1"/>
  <c r="CR231" i="6" s="1"/>
  <c r="CS231" i="6" s="1"/>
  <c r="CT231" i="6" s="1"/>
  <c r="CU231" i="6" s="1"/>
  <c r="CV231" i="6" s="1"/>
  <c r="CW231" i="6" s="1"/>
  <c r="CX231" i="6" s="1"/>
  <c r="CY231" i="6" s="1"/>
  <c r="CZ231" i="6" s="1"/>
  <c r="DA231" i="6" s="1"/>
  <c r="DB231" i="6" s="1"/>
  <c r="DC231" i="6" s="1"/>
  <c r="DD231" i="6" s="1"/>
  <c r="DE231" i="6" s="1"/>
  <c r="O225" i="6"/>
  <c r="P225" i="6" s="1"/>
  <c r="Q225" i="6" s="1"/>
  <c r="R225" i="6" s="1"/>
  <c r="S225" i="6" s="1"/>
  <c r="T225" i="6" s="1"/>
  <c r="U225" i="6" s="1"/>
  <c r="V225" i="6" s="1"/>
  <c r="W225" i="6" s="1"/>
  <c r="X225" i="6" s="1"/>
  <c r="Y225" i="6" s="1"/>
  <c r="Z225" i="6" s="1"/>
  <c r="AA225" i="6" s="1"/>
  <c r="AB225" i="6" s="1"/>
  <c r="AC225" i="6" s="1"/>
  <c r="AD225" i="6" s="1"/>
  <c r="AE225" i="6" s="1"/>
  <c r="AF225" i="6" s="1"/>
  <c r="AG225" i="6" s="1"/>
  <c r="AH225" i="6" s="1"/>
  <c r="AI225" i="6" s="1"/>
  <c r="AJ225" i="6" s="1"/>
  <c r="AK225" i="6" s="1"/>
  <c r="AL225" i="6" s="1"/>
  <c r="AM225" i="6" s="1"/>
  <c r="AN225" i="6" s="1"/>
  <c r="AO225" i="6" s="1"/>
  <c r="AP225" i="6" s="1"/>
  <c r="AQ225" i="6" s="1"/>
  <c r="AR225" i="6" s="1"/>
  <c r="AS225" i="6" s="1"/>
  <c r="AT225" i="6" s="1"/>
  <c r="AU225" i="6" s="1"/>
  <c r="AV225" i="6" s="1"/>
  <c r="AW225" i="6" s="1"/>
  <c r="AX225" i="6" s="1"/>
  <c r="AY225" i="6" s="1"/>
  <c r="AZ225" i="6" s="1"/>
  <c r="BA225" i="6" s="1"/>
  <c r="BB225" i="6" s="1"/>
  <c r="BC225" i="6" s="1"/>
  <c r="BD225" i="6" s="1"/>
  <c r="BE225" i="6" s="1"/>
  <c r="BF225" i="6" s="1"/>
  <c r="BG225" i="6" s="1"/>
  <c r="BH225" i="6" s="1"/>
  <c r="BI225" i="6" s="1"/>
  <c r="BJ225" i="6" s="1"/>
  <c r="BK225" i="6" s="1"/>
  <c r="BL225" i="6" s="1"/>
  <c r="BM225" i="6" s="1"/>
  <c r="BN225" i="6" s="1"/>
  <c r="BO225" i="6" s="1"/>
  <c r="BP225" i="6" s="1"/>
  <c r="BQ225" i="6" s="1"/>
  <c r="BR225" i="6" s="1"/>
  <c r="BS225" i="6" s="1"/>
  <c r="BT225" i="6" s="1"/>
  <c r="BU225" i="6" s="1"/>
  <c r="BV225" i="6" s="1"/>
  <c r="BW225" i="6" s="1"/>
  <c r="BX225" i="6" s="1"/>
  <c r="BY225" i="6" s="1"/>
  <c r="BZ225" i="6" s="1"/>
  <c r="CA225" i="6" s="1"/>
  <c r="CB225" i="6" s="1"/>
  <c r="CC225" i="6" s="1"/>
  <c r="CD225" i="6" s="1"/>
  <c r="CE225" i="6" s="1"/>
  <c r="CF225" i="6" s="1"/>
  <c r="CG225" i="6" s="1"/>
  <c r="CH225" i="6" s="1"/>
  <c r="CI225" i="6" s="1"/>
  <c r="CJ225" i="6" s="1"/>
  <c r="CK225" i="6" s="1"/>
  <c r="CL225" i="6" s="1"/>
  <c r="CM225" i="6" s="1"/>
  <c r="CN225" i="6" s="1"/>
  <c r="CO225" i="6" s="1"/>
  <c r="CP225" i="6" s="1"/>
  <c r="CQ225" i="6" s="1"/>
  <c r="CR225" i="6" s="1"/>
  <c r="CS225" i="6" s="1"/>
  <c r="CT225" i="6" s="1"/>
  <c r="CU225" i="6" s="1"/>
  <c r="CV225" i="6" s="1"/>
  <c r="CW225" i="6" s="1"/>
  <c r="CX225" i="6" s="1"/>
  <c r="CY225" i="6" s="1"/>
  <c r="CZ225" i="6" s="1"/>
  <c r="DA225" i="6" s="1"/>
  <c r="DB225" i="6" s="1"/>
  <c r="DC225" i="6" s="1"/>
  <c r="DD225" i="6" s="1"/>
  <c r="DE225" i="6" s="1"/>
  <c r="O221" i="6"/>
  <c r="P221" i="6" s="1"/>
  <c r="Q221" i="6" s="1"/>
  <c r="R221" i="6" s="1"/>
  <c r="S221" i="6" s="1"/>
  <c r="T221" i="6" s="1"/>
  <c r="U221" i="6" s="1"/>
  <c r="V221" i="6" s="1"/>
  <c r="W221" i="6" s="1"/>
  <c r="X221" i="6" s="1"/>
  <c r="Y221" i="6" s="1"/>
  <c r="Z221" i="6" s="1"/>
  <c r="AA221" i="6" s="1"/>
  <c r="AB221" i="6" s="1"/>
  <c r="AC221" i="6" s="1"/>
  <c r="AD221" i="6" s="1"/>
  <c r="AE221" i="6" s="1"/>
  <c r="AF221" i="6" s="1"/>
  <c r="AG221" i="6" s="1"/>
  <c r="AH221" i="6" s="1"/>
  <c r="AI221" i="6" s="1"/>
  <c r="AJ221" i="6" s="1"/>
  <c r="AK221" i="6" s="1"/>
  <c r="AL221" i="6" s="1"/>
  <c r="AM221" i="6" s="1"/>
  <c r="AN221" i="6" s="1"/>
  <c r="AO221" i="6" s="1"/>
  <c r="AP221" i="6" s="1"/>
  <c r="AQ221" i="6" s="1"/>
  <c r="AR221" i="6" s="1"/>
  <c r="AS221" i="6" s="1"/>
  <c r="AT221" i="6" s="1"/>
  <c r="AU221" i="6" s="1"/>
  <c r="AV221" i="6" s="1"/>
  <c r="AW221" i="6" s="1"/>
  <c r="AX221" i="6" s="1"/>
  <c r="AY221" i="6" s="1"/>
  <c r="AZ221" i="6" s="1"/>
  <c r="BA221" i="6" s="1"/>
  <c r="BB221" i="6" s="1"/>
  <c r="BC221" i="6" s="1"/>
  <c r="BD221" i="6" s="1"/>
  <c r="BE221" i="6" s="1"/>
  <c r="BF221" i="6" s="1"/>
  <c r="BG221" i="6" s="1"/>
  <c r="BH221" i="6" s="1"/>
  <c r="BI221" i="6" s="1"/>
  <c r="BJ221" i="6" s="1"/>
  <c r="BK221" i="6" s="1"/>
  <c r="BL221" i="6" s="1"/>
  <c r="BM221" i="6" s="1"/>
  <c r="BN221" i="6" s="1"/>
  <c r="BO221" i="6" s="1"/>
  <c r="BP221" i="6" s="1"/>
  <c r="BQ221" i="6" s="1"/>
  <c r="BR221" i="6" s="1"/>
  <c r="BS221" i="6" s="1"/>
  <c r="BT221" i="6" s="1"/>
  <c r="BU221" i="6" s="1"/>
  <c r="BV221" i="6" s="1"/>
  <c r="BW221" i="6" s="1"/>
  <c r="BX221" i="6" s="1"/>
  <c r="BY221" i="6" s="1"/>
  <c r="BZ221" i="6" s="1"/>
  <c r="CA221" i="6" s="1"/>
  <c r="CB221" i="6" s="1"/>
  <c r="CC221" i="6" s="1"/>
  <c r="CD221" i="6" s="1"/>
  <c r="CE221" i="6" s="1"/>
  <c r="CF221" i="6" s="1"/>
  <c r="CG221" i="6" s="1"/>
  <c r="CH221" i="6" s="1"/>
  <c r="CI221" i="6" s="1"/>
  <c r="CJ221" i="6" s="1"/>
  <c r="CK221" i="6" s="1"/>
  <c r="CL221" i="6" s="1"/>
  <c r="CM221" i="6" s="1"/>
  <c r="CN221" i="6" s="1"/>
  <c r="CO221" i="6" s="1"/>
  <c r="CP221" i="6" s="1"/>
  <c r="CQ221" i="6" s="1"/>
  <c r="CR221" i="6" s="1"/>
  <c r="CS221" i="6" s="1"/>
  <c r="CT221" i="6" s="1"/>
  <c r="CU221" i="6" s="1"/>
  <c r="CV221" i="6" s="1"/>
  <c r="CW221" i="6" s="1"/>
  <c r="CX221" i="6" s="1"/>
  <c r="CY221" i="6" s="1"/>
  <c r="CZ221" i="6" s="1"/>
  <c r="DA221" i="6" s="1"/>
  <c r="DB221" i="6" s="1"/>
  <c r="DC221" i="6" s="1"/>
  <c r="DD221" i="6" s="1"/>
  <c r="DE221" i="6" s="1"/>
  <c r="O213" i="6"/>
  <c r="P213" i="6" s="1"/>
  <c r="Q213" i="6" s="1"/>
  <c r="R213" i="6" s="1"/>
  <c r="S213" i="6" s="1"/>
  <c r="T213" i="6" s="1"/>
  <c r="U213" i="6" s="1"/>
  <c r="V213" i="6" s="1"/>
  <c r="W213" i="6" s="1"/>
  <c r="X213" i="6" s="1"/>
  <c r="Y213" i="6" s="1"/>
  <c r="Z213" i="6" s="1"/>
  <c r="AA213" i="6" s="1"/>
  <c r="AB213" i="6" s="1"/>
  <c r="AC213" i="6" s="1"/>
  <c r="AD213" i="6" s="1"/>
  <c r="AE213" i="6" s="1"/>
  <c r="AF213" i="6" s="1"/>
  <c r="AG213" i="6" s="1"/>
  <c r="AH213" i="6" s="1"/>
  <c r="AI213" i="6" s="1"/>
  <c r="AJ213" i="6" s="1"/>
  <c r="AK213" i="6" s="1"/>
  <c r="AL213" i="6" s="1"/>
  <c r="AM213" i="6" s="1"/>
  <c r="AN213" i="6" s="1"/>
  <c r="AO213" i="6" s="1"/>
  <c r="AP213" i="6" s="1"/>
  <c r="AQ213" i="6" s="1"/>
  <c r="AR213" i="6" s="1"/>
  <c r="AS213" i="6" s="1"/>
  <c r="AT213" i="6" s="1"/>
  <c r="AU213" i="6" s="1"/>
  <c r="AV213" i="6" s="1"/>
  <c r="AW213" i="6" s="1"/>
  <c r="AX213" i="6" s="1"/>
  <c r="AY213" i="6" s="1"/>
  <c r="AZ213" i="6" s="1"/>
  <c r="BA213" i="6" s="1"/>
  <c r="BB213" i="6" s="1"/>
  <c r="BC213" i="6" s="1"/>
  <c r="BD213" i="6" s="1"/>
  <c r="BE213" i="6" s="1"/>
  <c r="BF213" i="6" s="1"/>
  <c r="BG213" i="6" s="1"/>
  <c r="BH213" i="6" s="1"/>
  <c r="BI213" i="6" s="1"/>
  <c r="BJ213" i="6" s="1"/>
  <c r="BK213" i="6" s="1"/>
  <c r="BL213" i="6" s="1"/>
  <c r="BM213" i="6" s="1"/>
  <c r="BN213" i="6" s="1"/>
  <c r="BO213" i="6" s="1"/>
  <c r="BP213" i="6" s="1"/>
  <c r="BQ213" i="6" s="1"/>
  <c r="BR213" i="6" s="1"/>
  <c r="BS213" i="6" s="1"/>
  <c r="BT213" i="6" s="1"/>
  <c r="BU213" i="6" s="1"/>
  <c r="BV213" i="6" s="1"/>
  <c r="BW213" i="6" s="1"/>
  <c r="BX213" i="6" s="1"/>
  <c r="BY213" i="6" s="1"/>
  <c r="BZ213" i="6" s="1"/>
  <c r="CA213" i="6" s="1"/>
  <c r="CB213" i="6" s="1"/>
  <c r="CC213" i="6" s="1"/>
  <c r="CD213" i="6" s="1"/>
  <c r="CE213" i="6" s="1"/>
  <c r="CF213" i="6" s="1"/>
  <c r="CG213" i="6" s="1"/>
  <c r="CH213" i="6" s="1"/>
  <c r="CI213" i="6" s="1"/>
  <c r="CJ213" i="6" s="1"/>
  <c r="CK213" i="6" s="1"/>
  <c r="CL213" i="6" s="1"/>
  <c r="CM213" i="6" s="1"/>
  <c r="CN213" i="6" s="1"/>
  <c r="CO213" i="6" s="1"/>
  <c r="CP213" i="6" s="1"/>
  <c r="CQ213" i="6" s="1"/>
  <c r="CR213" i="6" s="1"/>
  <c r="CS213" i="6" s="1"/>
  <c r="CT213" i="6" s="1"/>
  <c r="CU213" i="6" s="1"/>
  <c r="CV213" i="6" s="1"/>
  <c r="CW213" i="6" s="1"/>
  <c r="CX213" i="6" s="1"/>
  <c r="CY213" i="6" s="1"/>
  <c r="CZ213" i="6" s="1"/>
  <c r="DA213" i="6" s="1"/>
  <c r="DB213" i="6" s="1"/>
  <c r="DC213" i="6" s="1"/>
  <c r="DD213" i="6" s="1"/>
  <c r="DE213" i="6" s="1"/>
  <c r="L201" i="6"/>
  <c r="M201" i="6" s="1"/>
  <c r="N201" i="6" s="1"/>
  <c r="O201" i="6" s="1"/>
  <c r="P201" i="6" s="1"/>
  <c r="Q201" i="6" s="1"/>
  <c r="R201" i="6" s="1"/>
  <c r="S201" i="6" s="1"/>
  <c r="T201" i="6" s="1"/>
  <c r="U201" i="6" s="1"/>
  <c r="V201" i="6" s="1"/>
  <c r="W201" i="6" s="1"/>
  <c r="X201" i="6" s="1"/>
  <c r="Y201" i="6" s="1"/>
  <c r="Z201" i="6" s="1"/>
  <c r="AA201" i="6" s="1"/>
  <c r="AB201" i="6" s="1"/>
  <c r="AC201" i="6" s="1"/>
  <c r="AD201" i="6" s="1"/>
  <c r="AE201" i="6" s="1"/>
  <c r="AF201" i="6" s="1"/>
  <c r="AG201" i="6" s="1"/>
  <c r="AH201" i="6" s="1"/>
  <c r="AI201" i="6" s="1"/>
  <c r="AJ201" i="6" s="1"/>
  <c r="AK201" i="6" s="1"/>
  <c r="AL201" i="6" s="1"/>
  <c r="AM201" i="6" s="1"/>
  <c r="AN201" i="6" s="1"/>
  <c r="AO201" i="6" s="1"/>
  <c r="AP201" i="6" s="1"/>
  <c r="AQ201" i="6" s="1"/>
  <c r="AR201" i="6" s="1"/>
  <c r="AS201" i="6" s="1"/>
  <c r="AT201" i="6" s="1"/>
  <c r="AU201" i="6" s="1"/>
  <c r="AV201" i="6" s="1"/>
  <c r="AW201" i="6" s="1"/>
  <c r="AX201" i="6" s="1"/>
  <c r="AY201" i="6" s="1"/>
  <c r="AZ201" i="6" s="1"/>
  <c r="BA201" i="6" s="1"/>
  <c r="BB201" i="6" s="1"/>
  <c r="BC201" i="6" s="1"/>
  <c r="BD201" i="6" s="1"/>
  <c r="BE201" i="6" s="1"/>
  <c r="BF201" i="6" s="1"/>
  <c r="BG201" i="6" s="1"/>
  <c r="BH201" i="6" s="1"/>
  <c r="BI201" i="6" s="1"/>
  <c r="BJ201" i="6" s="1"/>
  <c r="BK201" i="6" s="1"/>
  <c r="BL201" i="6" s="1"/>
  <c r="BM201" i="6" s="1"/>
  <c r="BN201" i="6" s="1"/>
  <c r="BO201" i="6" s="1"/>
  <c r="BP201" i="6" s="1"/>
  <c r="BQ201" i="6" s="1"/>
  <c r="BR201" i="6" s="1"/>
  <c r="BS201" i="6" s="1"/>
  <c r="BT201" i="6" s="1"/>
  <c r="BU201" i="6" s="1"/>
  <c r="BV201" i="6" s="1"/>
  <c r="BW201" i="6" s="1"/>
  <c r="BX201" i="6" s="1"/>
  <c r="BY201" i="6" s="1"/>
  <c r="BZ201" i="6" s="1"/>
  <c r="CA201" i="6" s="1"/>
  <c r="CB201" i="6" s="1"/>
  <c r="CC201" i="6" s="1"/>
  <c r="CD201" i="6" s="1"/>
  <c r="CE201" i="6" s="1"/>
  <c r="CF201" i="6" s="1"/>
  <c r="CG201" i="6" s="1"/>
  <c r="CH201" i="6" s="1"/>
  <c r="CI201" i="6" s="1"/>
  <c r="CJ201" i="6" s="1"/>
  <c r="CK201" i="6" s="1"/>
  <c r="CL201" i="6" s="1"/>
  <c r="CM201" i="6" s="1"/>
  <c r="CN201" i="6" s="1"/>
  <c r="CO201" i="6" s="1"/>
  <c r="CP201" i="6" s="1"/>
  <c r="CQ201" i="6" s="1"/>
  <c r="CR201" i="6" s="1"/>
  <c r="CS201" i="6" s="1"/>
  <c r="CT201" i="6" s="1"/>
  <c r="CU201" i="6" s="1"/>
  <c r="CV201" i="6" s="1"/>
  <c r="CW201" i="6" s="1"/>
  <c r="CX201" i="6" s="1"/>
  <c r="CY201" i="6" s="1"/>
  <c r="CZ201" i="6" s="1"/>
  <c r="DA201" i="6" s="1"/>
  <c r="DB201" i="6" s="1"/>
  <c r="DC201" i="6" s="1"/>
  <c r="DD201" i="6" s="1"/>
  <c r="DE201" i="6" s="1"/>
  <c r="O160" i="6"/>
  <c r="P160" i="6" s="1"/>
  <c r="Q160" i="6" s="1"/>
  <c r="R160" i="6" s="1"/>
  <c r="S160" i="6" s="1"/>
  <c r="T160" i="6" s="1"/>
  <c r="U160" i="6" s="1"/>
  <c r="V160" i="6" s="1"/>
  <c r="W160" i="6" s="1"/>
  <c r="X160" i="6" s="1"/>
  <c r="Y160" i="6" s="1"/>
  <c r="Z160" i="6" s="1"/>
  <c r="AA160" i="6" s="1"/>
  <c r="AB160" i="6" s="1"/>
  <c r="AC160" i="6" s="1"/>
  <c r="AD160" i="6" s="1"/>
  <c r="AE160" i="6" s="1"/>
  <c r="AF160" i="6" s="1"/>
  <c r="AG160" i="6" s="1"/>
  <c r="AH160" i="6" s="1"/>
  <c r="AI160" i="6" s="1"/>
  <c r="AJ160" i="6" s="1"/>
  <c r="AK160" i="6" s="1"/>
  <c r="AL160" i="6" s="1"/>
  <c r="AM160" i="6" s="1"/>
  <c r="AN160" i="6" s="1"/>
  <c r="AO160" i="6" s="1"/>
  <c r="AP160" i="6" s="1"/>
  <c r="AQ160" i="6" s="1"/>
  <c r="AR160" i="6" s="1"/>
  <c r="AS160" i="6" s="1"/>
  <c r="AT160" i="6" s="1"/>
  <c r="AU160" i="6" s="1"/>
  <c r="AV160" i="6" s="1"/>
  <c r="AW160" i="6" s="1"/>
  <c r="AX160" i="6" s="1"/>
  <c r="AY160" i="6" s="1"/>
  <c r="AZ160" i="6" s="1"/>
  <c r="BA160" i="6" s="1"/>
  <c r="BB160" i="6" s="1"/>
  <c r="BC160" i="6" s="1"/>
  <c r="BD160" i="6" s="1"/>
  <c r="BE160" i="6" s="1"/>
  <c r="BF160" i="6" s="1"/>
  <c r="BG160" i="6" s="1"/>
  <c r="BH160" i="6" s="1"/>
  <c r="BI160" i="6" s="1"/>
  <c r="BJ160" i="6" s="1"/>
  <c r="BK160" i="6" s="1"/>
  <c r="BL160" i="6" s="1"/>
  <c r="BM160" i="6" s="1"/>
  <c r="BN160" i="6" s="1"/>
  <c r="BO160" i="6" s="1"/>
  <c r="BP160" i="6" s="1"/>
  <c r="BQ160" i="6" s="1"/>
  <c r="BR160" i="6" s="1"/>
  <c r="BS160" i="6" s="1"/>
  <c r="BT160" i="6" s="1"/>
  <c r="BU160" i="6" s="1"/>
  <c r="BV160" i="6" s="1"/>
  <c r="BW160" i="6" s="1"/>
  <c r="BX160" i="6" s="1"/>
  <c r="BY160" i="6" s="1"/>
  <c r="BZ160" i="6" s="1"/>
  <c r="CA160" i="6" s="1"/>
  <c r="CB160" i="6" s="1"/>
  <c r="CC160" i="6" s="1"/>
  <c r="CD160" i="6" s="1"/>
  <c r="CE160" i="6" s="1"/>
  <c r="CF160" i="6" s="1"/>
  <c r="CG160" i="6" s="1"/>
  <c r="CH160" i="6" s="1"/>
  <c r="CI160" i="6" s="1"/>
  <c r="CJ160" i="6" s="1"/>
  <c r="CK160" i="6" s="1"/>
  <c r="CL160" i="6" s="1"/>
  <c r="CM160" i="6" s="1"/>
  <c r="CN160" i="6" s="1"/>
  <c r="CO160" i="6" s="1"/>
  <c r="CP160" i="6" s="1"/>
  <c r="CQ160" i="6" s="1"/>
  <c r="CR160" i="6" s="1"/>
  <c r="CS160" i="6" s="1"/>
  <c r="CT160" i="6" s="1"/>
  <c r="CU160" i="6" s="1"/>
  <c r="CV160" i="6" s="1"/>
  <c r="CW160" i="6" s="1"/>
  <c r="CX160" i="6" s="1"/>
  <c r="CY160" i="6" s="1"/>
  <c r="CZ160" i="6" s="1"/>
  <c r="DA160" i="6" s="1"/>
  <c r="DB160" i="6" s="1"/>
  <c r="DC160" i="6" s="1"/>
  <c r="DD160" i="6" s="1"/>
  <c r="DE160" i="6" s="1"/>
  <c r="O154" i="6"/>
  <c r="P154" i="6" s="1"/>
  <c r="Q154" i="6" s="1"/>
  <c r="R154" i="6" s="1"/>
  <c r="S154" i="6" s="1"/>
  <c r="T154" i="6" s="1"/>
  <c r="U154" i="6" s="1"/>
  <c r="V154" i="6" s="1"/>
  <c r="W154" i="6" s="1"/>
  <c r="X154" i="6" s="1"/>
  <c r="Y154" i="6" s="1"/>
  <c r="Z154" i="6" s="1"/>
  <c r="AA154" i="6" s="1"/>
  <c r="AB154" i="6" s="1"/>
  <c r="AC154" i="6" s="1"/>
  <c r="AD154" i="6" s="1"/>
  <c r="AE154" i="6" s="1"/>
  <c r="AF154" i="6" s="1"/>
  <c r="AG154" i="6" s="1"/>
  <c r="AH154" i="6" s="1"/>
  <c r="AI154" i="6" s="1"/>
  <c r="AJ154" i="6" s="1"/>
  <c r="AK154" i="6" s="1"/>
  <c r="AL154" i="6" s="1"/>
  <c r="AM154" i="6" s="1"/>
  <c r="AN154" i="6" s="1"/>
  <c r="AO154" i="6" s="1"/>
  <c r="AP154" i="6" s="1"/>
  <c r="AQ154" i="6" s="1"/>
  <c r="AR154" i="6" s="1"/>
  <c r="AS154" i="6" s="1"/>
  <c r="AT154" i="6" s="1"/>
  <c r="AU154" i="6" s="1"/>
  <c r="AV154" i="6" s="1"/>
  <c r="AW154" i="6" s="1"/>
  <c r="AX154" i="6" s="1"/>
  <c r="AY154" i="6" s="1"/>
  <c r="AZ154" i="6" s="1"/>
  <c r="BA154" i="6" s="1"/>
  <c r="BB154" i="6" s="1"/>
  <c r="BC154" i="6" s="1"/>
  <c r="BD154" i="6" s="1"/>
  <c r="BE154" i="6" s="1"/>
  <c r="BF154" i="6" s="1"/>
  <c r="BG154" i="6" s="1"/>
  <c r="BH154" i="6" s="1"/>
  <c r="BI154" i="6" s="1"/>
  <c r="BJ154" i="6" s="1"/>
  <c r="BK154" i="6" s="1"/>
  <c r="BL154" i="6" s="1"/>
  <c r="BM154" i="6" s="1"/>
  <c r="BN154" i="6" s="1"/>
  <c r="BO154" i="6" s="1"/>
  <c r="BP154" i="6" s="1"/>
  <c r="BQ154" i="6" s="1"/>
  <c r="BR154" i="6" s="1"/>
  <c r="BS154" i="6" s="1"/>
  <c r="BT154" i="6" s="1"/>
  <c r="BU154" i="6" s="1"/>
  <c r="BV154" i="6" s="1"/>
  <c r="BW154" i="6" s="1"/>
  <c r="BX154" i="6" s="1"/>
  <c r="BY154" i="6" s="1"/>
  <c r="BZ154" i="6" s="1"/>
  <c r="CA154" i="6" s="1"/>
  <c r="CB154" i="6" s="1"/>
  <c r="CC154" i="6" s="1"/>
  <c r="CD154" i="6" s="1"/>
  <c r="CE154" i="6" s="1"/>
  <c r="CF154" i="6" s="1"/>
  <c r="CG154" i="6" s="1"/>
  <c r="CH154" i="6" s="1"/>
  <c r="CI154" i="6" s="1"/>
  <c r="CJ154" i="6" s="1"/>
  <c r="CK154" i="6" s="1"/>
  <c r="CL154" i="6" s="1"/>
  <c r="CM154" i="6" s="1"/>
  <c r="CN154" i="6" s="1"/>
  <c r="CO154" i="6" s="1"/>
  <c r="CP154" i="6" s="1"/>
  <c r="CQ154" i="6" s="1"/>
  <c r="CR154" i="6" s="1"/>
  <c r="CS154" i="6" s="1"/>
  <c r="CT154" i="6" s="1"/>
  <c r="CU154" i="6" s="1"/>
  <c r="CV154" i="6" s="1"/>
  <c r="CW154" i="6" s="1"/>
  <c r="CX154" i="6" s="1"/>
  <c r="CY154" i="6" s="1"/>
  <c r="CZ154" i="6" s="1"/>
  <c r="DA154" i="6" s="1"/>
  <c r="DB154" i="6" s="1"/>
  <c r="DC154" i="6" s="1"/>
  <c r="DD154" i="6" s="1"/>
  <c r="DE154" i="6" s="1"/>
  <c r="O150" i="6"/>
  <c r="P150" i="6" s="1"/>
  <c r="Q150" i="6" s="1"/>
  <c r="R150" i="6" s="1"/>
  <c r="S150" i="6" s="1"/>
  <c r="T150" i="6" s="1"/>
  <c r="U150" i="6" s="1"/>
  <c r="V150" i="6" s="1"/>
  <c r="W150" i="6" s="1"/>
  <c r="X150" i="6" s="1"/>
  <c r="Y150" i="6" s="1"/>
  <c r="Z150" i="6" s="1"/>
  <c r="AA150" i="6" s="1"/>
  <c r="AB150" i="6" s="1"/>
  <c r="AC150" i="6" s="1"/>
  <c r="AD150" i="6" s="1"/>
  <c r="AE150" i="6" s="1"/>
  <c r="AF150" i="6" s="1"/>
  <c r="AG150" i="6" s="1"/>
  <c r="AH150" i="6" s="1"/>
  <c r="AI150" i="6" s="1"/>
  <c r="AJ150" i="6" s="1"/>
  <c r="AK150" i="6" s="1"/>
  <c r="AL150" i="6" s="1"/>
  <c r="AM150" i="6" s="1"/>
  <c r="AN150" i="6" s="1"/>
  <c r="AO150" i="6" s="1"/>
  <c r="AP150" i="6" s="1"/>
  <c r="AQ150" i="6" s="1"/>
  <c r="AR150" i="6" s="1"/>
  <c r="AS150" i="6" s="1"/>
  <c r="AT150" i="6" s="1"/>
  <c r="AU150" i="6" s="1"/>
  <c r="AV150" i="6" s="1"/>
  <c r="AW150" i="6" s="1"/>
  <c r="AX150" i="6" s="1"/>
  <c r="AY150" i="6" s="1"/>
  <c r="AZ150" i="6" s="1"/>
  <c r="BA150" i="6" s="1"/>
  <c r="BB150" i="6" s="1"/>
  <c r="BC150" i="6" s="1"/>
  <c r="BD150" i="6" s="1"/>
  <c r="BE150" i="6" s="1"/>
  <c r="BF150" i="6" s="1"/>
  <c r="BG150" i="6" s="1"/>
  <c r="BH150" i="6" s="1"/>
  <c r="BI150" i="6" s="1"/>
  <c r="BJ150" i="6" s="1"/>
  <c r="BK150" i="6" s="1"/>
  <c r="BL150" i="6" s="1"/>
  <c r="BM150" i="6" s="1"/>
  <c r="BN150" i="6" s="1"/>
  <c r="BO150" i="6" s="1"/>
  <c r="BP150" i="6" s="1"/>
  <c r="BQ150" i="6" s="1"/>
  <c r="BR150" i="6" s="1"/>
  <c r="BS150" i="6" s="1"/>
  <c r="BT150" i="6" s="1"/>
  <c r="BU150" i="6" s="1"/>
  <c r="BV150" i="6" s="1"/>
  <c r="BW150" i="6" s="1"/>
  <c r="BX150" i="6" s="1"/>
  <c r="BY150" i="6" s="1"/>
  <c r="BZ150" i="6" s="1"/>
  <c r="CA150" i="6" s="1"/>
  <c r="CB150" i="6" s="1"/>
  <c r="CC150" i="6" s="1"/>
  <c r="CD150" i="6" s="1"/>
  <c r="CE150" i="6" s="1"/>
  <c r="CF150" i="6" s="1"/>
  <c r="CG150" i="6" s="1"/>
  <c r="CH150" i="6" s="1"/>
  <c r="CI150" i="6" s="1"/>
  <c r="CJ150" i="6" s="1"/>
  <c r="CK150" i="6" s="1"/>
  <c r="CL150" i="6" s="1"/>
  <c r="CM150" i="6" s="1"/>
  <c r="CN150" i="6" s="1"/>
  <c r="CO150" i="6" s="1"/>
  <c r="CP150" i="6" s="1"/>
  <c r="CQ150" i="6" s="1"/>
  <c r="CR150" i="6" s="1"/>
  <c r="CS150" i="6" s="1"/>
  <c r="CT150" i="6" s="1"/>
  <c r="CU150" i="6" s="1"/>
  <c r="CV150" i="6" s="1"/>
  <c r="CW150" i="6" s="1"/>
  <c r="CX150" i="6" s="1"/>
  <c r="CY150" i="6" s="1"/>
  <c r="CZ150" i="6" s="1"/>
  <c r="DA150" i="6" s="1"/>
  <c r="DB150" i="6" s="1"/>
  <c r="DC150" i="6" s="1"/>
  <c r="DD150" i="6" s="1"/>
  <c r="DE150" i="6" s="1"/>
  <c r="O118" i="6"/>
  <c r="P118" i="6" s="1"/>
  <c r="Q118" i="6" s="1"/>
  <c r="R118" i="6" s="1"/>
  <c r="S118" i="6" s="1"/>
  <c r="T118" i="6" s="1"/>
  <c r="U118" i="6" s="1"/>
  <c r="V118" i="6" s="1"/>
  <c r="W118" i="6" s="1"/>
  <c r="X118" i="6" s="1"/>
  <c r="Y118" i="6" s="1"/>
  <c r="Z118" i="6" s="1"/>
  <c r="AA118" i="6" s="1"/>
  <c r="AB118" i="6" s="1"/>
  <c r="AC118" i="6" s="1"/>
  <c r="AD118" i="6" s="1"/>
  <c r="AE118" i="6" s="1"/>
  <c r="AF118" i="6" s="1"/>
  <c r="AG118" i="6" s="1"/>
  <c r="AH118" i="6" s="1"/>
  <c r="AI118" i="6" s="1"/>
  <c r="AJ118" i="6" s="1"/>
  <c r="AK118" i="6" s="1"/>
  <c r="AL118" i="6" s="1"/>
  <c r="AM118" i="6" s="1"/>
  <c r="AN118" i="6" s="1"/>
  <c r="AO118" i="6" s="1"/>
  <c r="AP118" i="6" s="1"/>
  <c r="AQ118" i="6" s="1"/>
  <c r="AR118" i="6" s="1"/>
  <c r="AS118" i="6" s="1"/>
  <c r="AT118" i="6" s="1"/>
  <c r="AU118" i="6" s="1"/>
  <c r="AV118" i="6" s="1"/>
  <c r="AW118" i="6" s="1"/>
  <c r="AX118" i="6" s="1"/>
  <c r="AY118" i="6" s="1"/>
  <c r="AZ118" i="6" s="1"/>
  <c r="BA118" i="6" s="1"/>
  <c r="BB118" i="6" s="1"/>
  <c r="BC118" i="6" s="1"/>
  <c r="BD118" i="6" s="1"/>
  <c r="BE118" i="6" s="1"/>
  <c r="BF118" i="6" s="1"/>
  <c r="BG118" i="6" s="1"/>
  <c r="BH118" i="6" s="1"/>
  <c r="BI118" i="6" s="1"/>
  <c r="BJ118" i="6" s="1"/>
  <c r="BK118" i="6" s="1"/>
  <c r="BL118" i="6" s="1"/>
  <c r="BM118" i="6" s="1"/>
  <c r="BN118" i="6" s="1"/>
  <c r="BO118" i="6" s="1"/>
  <c r="BP118" i="6" s="1"/>
  <c r="BQ118" i="6" s="1"/>
  <c r="BR118" i="6" s="1"/>
  <c r="BS118" i="6" s="1"/>
  <c r="BT118" i="6" s="1"/>
  <c r="BU118" i="6" s="1"/>
  <c r="BV118" i="6" s="1"/>
  <c r="BW118" i="6" s="1"/>
  <c r="BX118" i="6" s="1"/>
  <c r="BY118" i="6" s="1"/>
  <c r="BZ118" i="6" s="1"/>
  <c r="CA118" i="6" s="1"/>
  <c r="CB118" i="6" s="1"/>
  <c r="CC118" i="6" s="1"/>
  <c r="CD118" i="6" s="1"/>
  <c r="CE118" i="6" s="1"/>
  <c r="CF118" i="6" s="1"/>
  <c r="CG118" i="6" s="1"/>
  <c r="CH118" i="6" s="1"/>
  <c r="CI118" i="6" s="1"/>
  <c r="CJ118" i="6" s="1"/>
  <c r="CK118" i="6" s="1"/>
  <c r="CL118" i="6" s="1"/>
  <c r="CM118" i="6" s="1"/>
  <c r="CN118" i="6" s="1"/>
  <c r="CO118" i="6" s="1"/>
  <c r="CP118" i="6" s="1"/>
  <c r="CQ118" i="6" s="1"/>
  <c r="CR118" i="6" s="1"/>
  <c r="CS118" i="6" s="1"/>
  <c r="CT118" i="6" s="1"/>
  <c r="CU118" i="6" s="1"/>
  <c r="CV118" i="6" s="1"/>
  <c r="CW118" i="6" s="1"/>
  <c r="CX118" i="6" s="1"/>
  <c r="CY118" i="6" s="1"/>
  <c r="CZ118" i="6" s="1"/>
  <c r="DA118" i="6" s="1"/>
  <c r="DB118" i="6" s="1"/>
  <c r="DC118" i="6" s="1"/>
  <c r="DD118" i="6" s="1"/>
  <c r="DE118" i="6" s="1"/>
  <c r="O98" i="6"/>
  <c r="P98" i="6" s="1"/>
  <c r="Q98" i="6" s="1"/>
  <c r="R98" i="6" s="1"/>
  <c r="S98" i="6" s="1"/>
  <c r="T98" i="6" s="1"/>
  <c r="U98" i="6" s="1"/>
  <c r="V98" i="6" s="1"/>
  <c r="W98" i="6" s="1"/>
  <c r="X98" i="6" s="1"/>
  <c r="Y98" i="6" s="1"/>
  <c r="Z98" i="6" s="1"/>
  <c r="AA98" i="6" s="1"/>
  <c r="AB98" i="6" s="1"/>
  <c r="AC98" i="6" s="1"/>
  <c r="AD98" i="6" s="1"/>
  <c r="AE98" i="6" s="1"/>
  <c r="AF98" i="6" s="1"/>
  <c r="AG98" i="6" s="1"/>
  <c r="AH98" i="6" s="1"/>
  <c r="AI98" i="6" s="1"/>
  <c r="AJ98" i="6" s="1"/>
  <c r="AK98" i="6" s="1"/>
  <c r="AL98" i="6" s="1"/>
  <c r="AM98" i="6" s="1"/>
  <c r="AN98" i="6" s="1"/>
  <c r="AO98" i="6" s="1"/>
  <c r="AP98" i="6" s="1"/>
  <c r="AQ98" i="6" s="1"/>
  <c r="AR98" i="6" s="1"/>
  <c r="AS98" i="6" s="1"/>
  <c r="AT98" i="6" s="1"/>
  <c r="AU98" i="6" s="1"/>
  <c r="AV98" i="6" s="1"/>
  <c r="AW98" i="6" s="1"/>
  <c r="AX98" i="6" s="1"/>
  <c r="AY98" i="6" s="1"/>
  <c r="AZ98" i="6" s="1"/>
  <c r="BA98" i="6" s="1"/>
  <c r="BB98" i="6" s="1"/>
  <c r="BC98" i="6" s="1"/>
  <c r="BD98" i="6" s="1"/>
  <c r="BE98" i="6" s="1"/>
  <c r="BF98" i="6" s="1"/>
  <c r="BG98" i="6" s="1"/>
  <c r="BH98" i="6" s="1"/>
  <c r="BI98" i="6" s="1"/>
  <c r="BJ98" i="6" s="1"/>
  <c r="BK98" i="6" s="1"/>
  <c r="BL98" i="6" s="1"/>
  <c r="BM98" i="6" s="1"/>
  <c r="BN98" i="6" s="1"/>
  <c r="BO98" i="6" s="1"/>
  <c r="BP98" i="6" s="1"/>
  <c r="BQ98" i="6" s="1"/>
  <c r="BR98" i="6" s="1"/>
  <c r="BS98" i="6" s="1"/>
  <c r="BT98" i="6" s="1"/>
  <c r="BU98" i="6" s="1"/>
  <c r="BV98" i="6" s="1"/>
  <c r="BW98" i="6" s="1"/>
  <c r="BX98" i="6" s="1"/>
  <c r="BY98" i="6" s="1"/>
  <c r="BZ98" i="6" s="1"/>
  <c r="CA98" i="6" s="1"/>
  <c r="CB98" i="6" s="1"/>
  <c r="CC98" i="6" s="1"/>
  <c r="CD98" i="6" s="1"/>
  <c r="CE98" i="6" s="1"/>
  <c r="CF98" i="6" s="1"/>
  <c r="CG98" i="6" s="1"/>
  <c r="CH98" i="6" s="1"/>
  <c r="CI98" i="6" s="1"/>
  <c r="CJ98" i="6" s="1"/>
  <c r="CK98" i="6" s="1"/>
  <c r="CL98" i="6" s="1"/>
  <c r="CM98" i="6" s="1"/>
  <c r="CN98" i="6" s="1"/>
  <c r="CO98" i="6" s="1"/>
  <c r="CP98" i="6" s="1"/>
  <c r="CQ98" i="6" s="1"/>
  <c r="CR98" i="6" s="1"/>
  <c r="CS98" i="6" s="1"/>
  <c r="CT98" i="6" s="1"/>
  <c r="CU98" i="6" s="1"/>
  <c r="CV98" i="6" s="1"/>
  <c r="CW98" i="6" s="1"/>
  <c r="CX98" i="6" s="1"/>
  <c r="CY98" i="6" s="1"/>
  <c r="CZ98" i="6" s="1"/>
  <c r="DA98" i="6" s="1"/>
  <c r="DB98" i="6" s="1"/>
  <c r="DC98" i="6" s="1"/>
  <c r="DD98" i="6" s="1"/>
  <c r="DE98" i="6" s="1"/>
  <c r="O21" i="6"/>
  <c r="P21" i="6" s="1"/>
  <c r="Q21" i="6" s="1"/>
  <c r="R21" i="6" s="1"/>
  <c r="S21" i="6" s="1"/>
  <c r="T21" i="6" s="1"/>
  <c r="U21" i="6" s="1"/>
  <c r="V21" i="6" s="1"/>
  <c r="W21" i="6" s="1"/>
  <c r="X21" i="6" s="1"/>
  <c r="Y21" i="6" s="1"/>
  <c r="Z21" i="6" s="1"/>
  <c r="AA21" i="6" s="1"/>
  <c r="AB21" i="6" s="1"/>
  <c r="AC21" i="6" s="1"/>
  <c r="AD21" i="6" s="1"/>
  <c r="AE21" i="6" s="1"/>
  <c r="AF21" i="6" s="1"/>
  <c r="AG21" i="6" s="1"/>
  <c r="AH21" i="6" s="1"/>
  <c r="AI21" i="6" s="1"/>
  <c r="AJ21" i="6" s="1"/>
  <c r="AK21" i="6" s="1"/>
  <c r="AL21" i="6" s="1"/>
  <c r="AM21" i="6" s="1"/>
  <c r="AN21" i="6" s="1"/>
  <c r="AO21" i="6" s="1"/>
  <c r="AP21" i="6" s="1"/>
  <c r="AQ21" i="6" s="1"/>
  <c r="AR21" i="6" s="1"/>
  <c r="AS21" i="6" s="1"/>
  <c r="AT21" i="6" s="1"/>
  <c r="AU21" i="6" s="1"/>
  <c r="AV21" i="6" s="1"/>
  <c r="AW21" i="6" s="1"/>
  <c r="AX21" i="6" s="1"/>
  <c r="AY21" i="6" s="1"/>
  <c r="AZ21" i="6" s="1"/>
  <c r="BA21" i="6" s="1"/>
  <c r="BB21" i="6" s="1"/>
  <c r="BC21" i="6" s="1"/>
  <c r="BD21" i="6" s="1"/>
  <c r="BE21" i="6" s="1"/>
  <c r="BF21" i="6" s="1"/>
  <c r="BG21" i="6" s="1"/>
  <c r="BH21" i="6" s="1"/>
  <c r="BI21" i="6" s="1"/>
  <c r="BJ21" i="6" s="1"/>
  <c r="BK21" i="6" s="1"/>
  <c r="BL21" i="6" s="1"/>
  <c r="BM21" i="6" s="1"/>
  <c r="BN21" i="6" s="1"/>
  <c r="BO21" i="6" s="1"/>
  <c r="BP21" i="6" s="1"/>
  <c r="BQ21" i="6" s="1"/>
  <c r="BR21" i="6" s="1"/>
  <c r="BS21" i="6" s="1"/>
  <c r="BT21" i="6" s="1"/>
  <c r="BU21" i="6" s="1"/>
  <c r="BV21" i="6" s="1"/>
  <c r="BW21" i="6" s="1"/>
  <c r="BX21" i="6" s="1"/>
  <c r="BY21" i="6" s="1"/>
  <c r="BZ21" i="6" s="1"/>
  <c r="CA21" i="6" s="1"/>
  <c r="CB21" i="6" s="1"/>
  <c r="CC21" i="6" s="1"/>
  <c r="CD21" i="6" s="1"/>
  <c r="CE21" i="6" s="1"/>
  <c r="CF21" i="6" s="1"/>
  <c r="CG21" i="6" s="1"/>
  <c r="CH21" i="6" s="1"/>
  <c r="CI21" i="6" s="1"/>
  <c r="CJ21" i="6" s="1"/>
  <c r="CK21" i="6" s="1"/>
  <c r="CL21" i="6" s="1"/>
  <c r="CM21" i="6" s="1"/>
  <c r="CN21" i="6" s="1"/>
  <c r="CO21" i="6" s="1"/>
  <c r="CP21" i="6" s="1"/>
  <c r="CQ21" i="6" s="1"/>
  <c r="CR21" i="6" s="1"/>
  <c r="CS21" i="6" s="1"/>
  <c r="CT21" i="6" s="1"/>
  <c r="CU21" i="6" s="1"/>
  <c r="CV21" i="6" s="1"/>
  <c r="CW21" i="6" s="1"/>
  <c r="CX21" i="6" s="1"/>
  <c r="CY21" i="6" s="1"/>
  <c r="CZ21" i="6" s="1"/>
  <c r="DA21" i="6" s="1"/>
  <c r="DB21" i="6" s="1"/>
  <c r="DC21" i="6" s="1"/>
  <c r="DD21" i="6" s="1"/>
  <c r="DE21" i="6" s="1"/>
  <c r="O17" i="6"/>
  <c r="P17" i="6" s="1"/>
  <c r="Q17" i="6" s="1"/>
  <c r="R17" i="6" s="1"/>
  <c r="S17" i="6" s="1"/>
  <c r="T17" i="6" s="1"/>
  <c r="U17" i="6" s="1"/>
  <c r="V17" i="6" s="1"/>
  <c r="W17" i="6" s="1"/>
  <c r="X17" i="6" s="1"/>
  <c r="Y17" i="6" s="1"/>
  <c r="Z17" i="6" s="1"/>
  <c r="AA17" i="6" s="1"/>
  <c r="AB17" i="6" s="1"/>
  <c r="AC17" i="6" s="1"/>
  <c r="AD17" i="6" s="1"/>
  <c r="AE17" i="6" s="1"/>
  <c r="AF17" i="6" s="1"/>
  <c r="AG17" i="6" s="1"/>
  <c r="AH17" i="6" s="1"/>
  <c r="AI17" i="6" s="1"/>
  <c r="AJ17" i="6" s="1"/>
  <c r="AK17" i="6" s="1"/>
  <c r="AL17" i="6" s="1"/>
  <c r="AM17" i="6" s="1"/>
  <c r="AN17" i="6" s="1"/>
  <c r="AO17" i="6" s="1"/>
  <c r="AP17" i="6" s="1"/>
  <c r="AQ17" i="6" s="1"/>
  <c r="AR17" i="6" s="1"/>
  <c r="AS17" i="6" s="1"/>
  <c r="AT17" i="6" s="1"/>
  <c r="AU17" i="6" s="1"/>
  <c r="AV17" i="6" s="1"/>
  <c r="AW17" i="6" s="1"/>
  <c r="AX17" i="6" s="1"/>
  <c r="AY17" i="6" s="1"/>
  <c r="AZ17" i="6" s="1"/>
  <c r="BA17" i="6" s="1"/>
  <c r="BB17" i="6" s="1"/>
  <c r="BC17" i="6" s="1"/>
  <c r="BD17" i="6" s="1"/>
  <c r="BE17" i="6" s="1"/>
  <c r="BF17" i="6" s="1"/>
  <c r="BG17" i="6" s="1"/>
  <c r="BH17" i="6" s="1"/>
  <c r="BI17" i="6" s="1"/>
  <c r="BJ17" i="6" s="1"/>
  <c r="BK17" i="6" s="1"/>
  <c r="BL17" i="6" s="1"/>
  <c r="BM17" i="6" s="1"/>
  <c r="BN17" i="6" s="1"/>
  <c r="BO17" i="6" s="1"/>
  <c r="BP17" i="6" s="1"/>
  <c r="BQ17" i="6" s="1"/>
  <c r="BR17" i="6" s="1"/>
  <c r="BS17" i="6" s="1"/>
  <c r="BT17" i="6" s="1"/>
  <c r="BU17" i="6" s="1"/>
  <c r="BV17" i="6" s="1"/>
  <c r="BW17" i="6" s="1"/>
  <c r="BX17" i="6" s="1"/>
  <c r="BY17" i="6" s="1"/>
  <c r="BZ17" i="6" s="1"/>
  <c r="CA17" i="6" s="1"/>
  <c r="CB17" i="6" s="1"/>
  <c r="CC17" i="6" s="1"/>
  <c r="CD17" i="6" s="1"/>
  <c r="CE17" i="6" s="1"/>
  <c r="CF17" i="6" s="1"/>
  <c r="CG17" i="6" s="1"/>
  <c r="CH17" i="6" s="1"/>
  <c r="CI17" i="6" s="1"/>
  <c r="CJ17" i="6" s="1"/>
  <c r="CK17" i="6" s="1"/>
  <c r="CL17" i="6" s="1"/>
  <c r="CM17" i="6" s="1"/>
  <c r="CN17" i="6" s="1"/>
  <c r="CO17" i="6" s="1"/>
  <c r="CP17" i="6" s="1"/>
  <c r="CQ17" i="6" s="1"/>
  <c r="CR17" i="6" s="1"/>
  <c r="CS17" i="6" s="1"/>
  <c r="CT17" i="6" s="1"/>
  <c r="CU17" i="6" s="1"/>
  <c r="CV17" i="6" s="1"/>
  <c r="CW17" i="6" s="1"/>
  <c r="CX17" i="6" s="1"/>
  <c r="CY17" i="6" s="1"/>
  <c r="CZ17" i="6" s="1"/>
  <c r="DA17" i="6" s="1"/>
  <c r="DB17" i="6" s="1"/>
  <c r="DC17" i="6" s="1"/>
  <c r="DD17" i="6" s="1"/>
  <c r="DE17" i="6" s="1"/>
  <c r="O13" i="6"/>
  <c r="P13" i="6" s="1"/>
  <c r="Q13" i="6" s="1"/>
  <c r="R13" i="6" s="1"/>
  <c r="S13" i="6" s="1"/>
  <c r="T13" i="6" s="1"/>
  <c r="U13" i="6" s="1"/>
  <c r="V13" i="6" s="1"/>
  <c r="W13" i="6" s="1"/>
  <c r="X13" i="6" s="1"/>
  <c r="Y13" i="6" s="1"/>
  <c r="Z13" i="6" s="1"/>
  <c r="AA13" i="6" s="1"/>
  <c r="AB13" i="6" s="1"/>
  <c r="AC13" i="6" s="1"/>
  <c r="AD13" i="6" s="1"/>
  <c r="AE13" i="6" s="1"/>
  <c r="AF13" i="6" s="1"/>
  <c r="AG13" i="6" s="1"/>
  <c r="AH13" i="6" s="1"/>
  <c r="AI13" i="6" s="1"/>
  <c r="AJ13" i="6" s="1"/>
  <c r="AK13" i="6" s="1"/>
  <c r="AL13" i="6" s="1"/>
  <c r="AM13" i="6" s="1"/>
  <c r="AN13" i="6" s="1"/>
  <c r="AO13" i="6" s="1"/>
  <c r="AP13" i="6" s="1"/>
  <c r="AQ13" i="6" s="1"/>
  <c r="AR13" i="6" s="1"/>
  <c r="AS13" i="6" s="1"/>
  <c r="AT13" i="6" s="1"/>
  <c r="AU13" i="6" s="1"/>
  <c r="AV13" i="6" s="1"/>
  <c r="AW13" i="6" s="1"/>
  <c r="AX13" i="6" s="1"/>
  <c r="AY13" i="6" s="1"/>
  <c r="AZ13" i="6" s="1"/>
  <c r="BA13" i="6" s="1"/>
  <c r="BB13" i="6" s="1"/>
  <c r="BC13" i="6" s="1"/>
  <c r="BD13" i="6" s="1"/>
  <c r="BE13" i="6" s="1"/>
  <c r="BF13" i="6" s="1"/>
  <c r="BG13" i="6" s="1"/>
  <c r="BH13" i="6" s="1"/>
  <c r="BI13" i="6" s="1"/>
  <c r="BJ13" i="6" s="1"/>
  <c r="BK13" i="6" s="1"/>
  <c r="BL13" i="6" s="1"/>
  <c r="BM13" i="6" s="1"/>
  <c r="BN13" i="6" s="1"/>
  <c r="BO13" i="6" s="1"/>
  <c r="BP13" i="6" s="1"/>
  <c r="BQ13" i="6" s="1"/>
  <c r="BR13" i="6" s="1"/>
  <c r="BS13" i="6" s="1"/>
  <c r="BT13" i="6" s="1"/>
  <c r="BU13" i="6" s="1"/>
  <c r="BV13" i="6" s="1"/>
  <c r="BW13" i="6" s="1"/>
  <c r="BX13" i="6" s="1"/>
  <c r="BY13" i="6" s="1"/>
  <c r="BZ13" i="6" s="1"/>
  <c r="CA13" i="6" s="1"/>
  <c r="CB13" i="6" s="1"/>
  <c r="CC13" i="6" s="1"/>
  <c r="CD13" i="6" s="1"/>
  <c r="CE13" i="6" s="1"/>
  <c r="CF13" i="6" s="1"/>
  <c r="CG13" i="6" s="1"/>
  <c r="CH13" i="6" s="1"/>
  <c r="CI13" i="6" s="1"/>
  <c r="CJ13" i="6" s="1"/>
  <c r="CK13" i="6" s="1"/>
  <c r="CL13" i="6" s="1"/>
  <c r="CM13" i="6" s="1"/>
  <c r="CN13" i="6" s="1"/>
  <c r="CO13" i="6" s="1"/>
  <c r="CP13" i="6" s="1"/>
  <c r="CQ13" i="6" s="1"/>
  <c r="CR13" i="6" s="1"/>
  <c r="CS13" i="6" s="1"/>
  <c r="CT13" i="6" s="1"/>
  <c r="CU13" i="6" s="1"/>
  <c r="CV13" i="6" s="1"/>
  <c r="CW13" i="6" s="1"/>
  <c r="CX13" i="6" s="1"/>
  <c r="CY13" i="6" s="1"/>
  <c r="CZ13" i="6" s="1"/>
  <c r="DA13" i="6" s="1"/>
  <c r="DB13" i="6" s="1"/>
  <c r="DC13" i="6" s="1"/>
  <c r="DD13" i="6" s="1"/>
  <c r="DE13" i="6" s="1"/>
  <c r="O303" i="6"/>
  <c r="P303" i="6" s="1"/>
  <c r="Q303" i="6" s="1"/>
  <c r="R303" i="6" s="1"/>
  <c r="S303" i="6" s="1"/>
  <c r="T303" i="6" s="1"/>
  <c r="U303" i="6" s="1"/>
  <c r="V303" i="6" s="1"/>
  <c r="W303" i="6" s="1"/>
  <c r="X303" i="6" s="1"/>
  <c r="Y303" i="6" s="1"/>
  <c r="Z303" i="6" s="1"/>
  <c r="AA303" i="6" s="1"/>
  <c r="AB303" i="6" s="1"/>
  <c r="AC303" i="6" s="1"/>
  <c r="AD303" i="6" s="1"/>
  <c r="AE303" i="6" s="1"/>
  <c r="AF303" i="6" s="1"/>
  <c r="AG303" i="6" s="1"/>
  <c r="AH303" i="6" s="1"/>
  <c r="AI303" i="6" s="1"/>
  <c r="AJ303" i="6" s="1"/>
  <c r="AK303" i="6" s="1"/>
  <c r="AL303" i="6" s="1"/>
  <c r="AM303" i="6" s="1"/>
  <c r="AN303" i="6" s="1"/>
  <c r="AO303" i="6" s="1"/>
  <c r="AP303" i="6" s="1"/>
  <c r="AQ303" i="6" s="1"/>
  <c r="AR303" i="6" s="1"/>
  <c r="AS303" i="6" s="1"/>
  <c r="AT303" i="6" s="1"/>
  <c r="AU303" i="6" s="1"/>
  <c r="AV303" i="6" s="1"/>
  <c r="AW303" i="6" s="1"/>
  <c r="AX303" i="6" s="1"/>
  <c r="AY303" i="6" s="1"/>
  <c r="AZ303" i="6" s="1"/>
  <c r="BA303" i="6" s="1"/>
  <c r="BB303" i="6" s="1"/>
  <c r="BC303" i="6" s="1"/>
  <c r="BD303" i="6" s="1"/>
  <c r="BE303" i="6" s="1"/>
  <c r="BF303" i="6" s="1"/>
  <c r="BG303" i="6" s="1"/>
  <c r="BH303" i="6" s="1"/>
  <c r="BI303" i="6" s="1"/>
  <c r="BJ303" i="6" s="1"/>
  <c r="BK303" i="6" s="1"/>
  <c r="BL303" i="6" s="1"/>
  <c r="BM303" i="6" s="1"/>
  <c r="BN303" i="6" s="1"/>
  <c r="BO303" i="6" s="1"/>
  <c r="BP303" i="6" s="1"/>
  <c r="BQ303" i="6" s="1"/>
  <c r="BR303" i="6" s="1"/>
  <c r="BS303" i="6" s="1"/>
  <c r="BT303" i="6" s="1"/>
  <c r="BU303" i="6" s="1"/>
  <c r="BV303" i="6" s="1"/>
  <c r="BW303" i="6" s="1"/>
  <c r="BX303" i="6" s="1"/>
  <c r="BY303" i="6" s="1"/>
  <c r="BZ303" i="6" s="1"/>
  <c r="CA303" i="6" s="1"/>
  <c r="CB303" i="6" s="1"/>
  <c r="CC303" i="6" s="1"/>
  <c r="CD303" i="6" s="1"/>
  <c r="CE303" i="6" s="1"/>
  <c r="CF303" i="6" s="1"/>
  <c r="CG303" i="6" s="1"/>
  <c r="CH303" i="6" s="1"/>
  <c r="CI303" i="6" s="1"/>
  <c r="CJ303" i="6" s="1"/>
  <c r="CK303" i="6" s="1"/>
  <c r="CL303" i="6" s="1"/>
  <c r="CM303" i="6" s="1"/>
  <c r="CN303" i="6" s="1"/>
  <c r="CO303" i="6" s="1"/>
  <c r="CP303" i="6" s="1"/>
  <c r="CQ303" i="6" s="1"/>
  <c r="CR303" i="6" s="1"/>
  <c r="CS303" i="6" s="1"/>
  <c r="CT303" i="6" s="1"/>
  <c r="CU303" i="6" s="1"/>
  <c r="CV303" i="6" s="1"/>
  <c r="CW303" i="6" s="1"/>
  <c r="CX303" i="6" s="1"/>
  <c r="CY303" i="6" s="1"/>
  <c r="CZ303" i="6" s="1"/>
  <c r="DA303" i="6" s="1"/>
  <c r="DB303" i="6" s="1"/>
  <c r="DC303" i="6" s="1"/>
  <c r="DD303" i="6" s="1"/>
  <c r="DE303" i="6" s="1"/>
  <c r="O279" i="6"/>
  <c r="P279" i="6" s="1"/>
  <c r="Q279" i="6" s="1"/>
  <c r="R279" i="6" s="1"/>
  <c r="S279" i="6" s="1"/>
  <c r="T279" i="6" s="1"/>
  <c r="U279" i="6" s="1"/>
  <c r="V279" i="6" s="1"/>
  <c r="W279" i="6" s="1"/>
  <c r="X279" i="6" s="1"/>
  <c r="Y279" i="6" s="1"/>
  <c r="Z279" i="6" s="1"/>
  <c r="AA279" i="6" s="1"/>
  <c r="AB279" i="6" s="1"/>
  <c r="AC279" i="6" s="1"/>
  <c r="AD279" i="6" s="1"/>
  <c r="AE279" i="6" s="1"/>
  <c r="AF279" i="6" s="1"/>
  <c r="AG279" i="6" s="1"/>
  <c r="AH279" i="6" s="1"/>
  <c r="AI279" i="6" s="1"/>
  <c r="AJ279" i="6" s="1"/>
  <c r="AK279" i="6" s="1"/>
  <c r="AL279" i="6" s="1"/>
  <c r="AM279" i="6" s="1"/>
  <c r="AN279" i="6" s="1"/>
  <c r="AO279" i="6" s="1"/>
  <c r="AP279" i="6" s="1"/>
  <c r="AQ279" i="6" s="1"/>
  <c r="AR279" i="6" s="1"/>
  <c r="AS279" i="6" s="1"/>
  <c r="AT279" i="6" s="1"/>
  <c r="AU279" i="6" s="1"/>
  <c r="AV279" i="6" s="1"/>
  <c r="AW279" i="6" s="1"/>
  <c r="AX279" i="6" s="1"/>
  <c r="AY279" i="6" s="1"/>
  <c r="AZ279" i="6" s="1"/>
  <c r="BA279" i="6" s="1"/>
  <c r="BB279" i="6" s="1"/>
  <c r="BC279" i="6" s="1"/>
  <c r="BD279" i="6" s="1"/>
  <c r="BE279" i="6" s="1"/>
  <c r="BF279" i="6" s="1"/>
  <c r="BG279" i="6" s="1"/>
  <c r="BH279" i="6" s="1"/>
  <c r="BI279" i="6" s="1"/>
  <c r="BJ279" i="6" s="1"/>
  <c r="BK279" i="6" s="1"/>
  <c r="BL279" i="6" s="1"/>
  <c r="BM279" i="6" s="1"/>
  <c r="BN279" i="6" s="1"/>
  <c r="BO279" i="6" s="1"/>
  <c r="BP279" i="6" s="1"/>
  <c r="BQ279" i="6" s="1"/>
  <c r="BR279" i="6" s="1"/>
  <c r="BS279" i="6" s="1"/>
  <c r="BT279" i="6" s="1"/>
  <c r="BU279" i="6" s="1"/>
  <c r="BV279" i="6" s="1"/>
  <c r="BW279" i="6" s="1"/>
  <c r="BX279" i="6" s="1"/>
  <c r="BY279" i="6" s="1"/>
  <c r="BZ279" i="6" s="1"/>
  <c r="CA279" i="6" s="1"/>
  <c r="CB279" i="6" s="1"/>
  <c r="CC279" i="6" s="1"/>
  <c r="CD279" i="6" s="1"/>
  <c r="CE279" i="6" s="1"/>
  <c r="CF279" i="6" s="1"/>
  <c r="CG279" i="6" s="1"/>
  <c r="CH279" i="6" s="1"/>
  <c r="CI279" i="6" s="1"/>
  <c r="CJ279" i="6" s="1"/>
  <c r="CK279" i="6" s="1"/>
  <c r="CL279" i="6" s="1"/>
  <c r="CM279" i="6" s="1"/>
  <c r="CN279" i="6" s="1"/>
  <c r="CO279" i="6" s="1"/>
  <c r="CP279" i="6" s="1"/>
  <c r="CQ279" i="6" s="1"/>
  <c r="CR279" i="6" s="1"/>
  <c r="CS279" i="6" s="1"/>
  <c r="CT279" i="6" s="1"/>
  <c r="CU279" i="6" s="1"/>
  <c r="CV279" i="6" s="1"/>
  <c r="CW279" i="6" s="1"/>
  <c r="CX279" i="6" s="1"/>
  <c r="CY279" i="6" s="1"/>
  <c r="CZ279" i="6" s="1"/>
  <c r="DA279" i="6" s="1"/>
  <c r="DB279" i="6" s="1"/>
  <c r="DC279" i="6" s="1"/>
  <c r="DD279" i="6" s="1"/>
  <c r="DE279" i="6" s="1"/>
  <c r="O134" i="6"/>
  <c r="P134" i="6" s="1"/>
  <c r="Q134" i="6" s="1"/>
  <c r="R134" i="6" s="1"/>
  <c r="S134" i="6" s="1"/>
  <c r="T134" i="6" s="1"/>
  <c r="U134" i="6" s="1"/>
  <c r="V134" i="6" s="1"/>
  <c r="W134" i="6" s="1"/>
  <c r="X134" i="6" s="1"/>
  <c r="Y134" i="6" s="1"/>
  <c r="Z134" i="6" s="1"/>
  <c r="AA134" i="6" s="1"/>
  <c r="AB134" i="6" s="1"/>
  <c r="AC134" i="6" s="1"/>
  <c r="AD134" i="6" s="1"/>
  <c r="AE134" i="6" s="1"/>
  <c r="AF134" i="6" s="1"/>
  <c r="AG134" i="6" s="1"/>
  <c r="AH134" i="6" s="1"/>
  <c r="AI134" i="6" s="1"/>
  <c r="AJ134" i="6" s="1"/>
  <c r="AK134" i="6" s="1"/>
  <c r="AL134" i="6" s="1"/>
  <c r="AM134" i="6" s="1"/>
  <c r="AN134" i="6" s="1"/>
  <c r="AO134" i="6" s="1"/>
  <c r="AP134" i="6" s="1"/>
  <c r="AQ134" i="6" s="1"/>
  <c r="AR134" i="6" s="1"/>
  <c r="AS134" i="6" s="1"/>
  <c r="AT134" i="6" s="1"/>
  <c r="AU134" i="6" s="1"/>
  <c r="AV134" i="6" s="1"/>
  <c r="AW134" i="6" s="1"/>
  <c r="AX134" i="6" s="1"/>
  <c r="AY134" i="6" s="1"/>
  <c r="AZ134" i="6" s="1"/>
  <c r="BA134" i="6" s="1"/>
  <c r="BB134" i="6" s="1"/>
  <c r="BC134" i="6" s="1"/>
  <c r="BD134" i="6" s="1"/>
  <c r="BE134" i="6" s="1"/>
  <c r="BF134" i="6" s="1"/>
  <c r="BG134" i="6" s="1"/>
  <c r="BH134" i="6" s="1"/>
  <c r="BI134" i="6" s="1"/>
  <c r="BJ134" i="6" s="1"/>
  <c r="BK134" i="6" s="1"/>
  <c r="BL134" i="6" s="1"/>
  <c r="BM134" i="6" s="1"/>
  <c r="BN134" i="6" s="1"/>
  <c r="BO134" i="6" s="1"/>
  <c r="BP134" i="6" s="1"/>
  <c r="BQ134" i="6" s="1"/>
  <c r="BR134" i="6" s="1"/>
  <c r="BS134" i="6" s="1"/>
  <c r="BT134" i="6" s="1"/>
  <c r="BU134" i="6" s="1"/>
  <c r="BV134" i="6" s="1"/>
  <c r="BW134" i="6" s="1"/>
  <c r="BX134" i="6" s="1"/>
  <c r="BY134" i="6" s="1"/>
  <c r="BZ134" i="6" s="1"/>
  <c r="CA134" i="6" s="1"/>
  <c r="CB134" i="6" s="1"/>
  <c r="CC134" i="6" s="1"/>
  <c r="CD134" i="6" s="1"/>
  <c r="CE134" i="6" s="1"/>
  <c r="CF134" i="6" s="1"/>
  <c r="CG134" i="6" s="1"/>
  <c r="CH134" i="6" s="1"/>
  <c r="CI134" i="6" s="1"/>
  <c r="CJ134" i="6" s="1"/>
  <c r="CK134" i="6" s="1"/>
  <c r="CL134" i="6" s="1"/>
  <c r="CM134" i="6" s="1"/>
  <c r="CN134" i="6" s="1"/>
  <c r="CO134" i="6" s="1"/>
  <c r="CP134" i="6" s="1"/>
  <c r="CQ134" i="6" s="1"/>
  <c r="CR134" i="6" s="1"/>
  <c r="CS134" i="6" s="1"/>
  <c r="CT134" i="6" s="1"/>
  <c r="CU134" i="6" s="1"/>
  <c r="CV134" i="6" s="1"/>
  <c r="CW134" i="6" s="1"/>
  <c r="CX134" i="6" s="1"/>
  <c r="CY134" i="6" s="1"/>
  <c r="CZ134" i="6" s="1"/>
  <c r="DA134" i="6" s="1"/>
  <c r="DB134" i="6" s="1"/>
  <c r="DC134" i="6" s="1"/>
  <c r="DD134" i="6" s="1"/>
  <c r="DE134" i="6" s="1"/>
  <c r="L130" i="6"/>
  <c r="M130" i="6" s="1"/>
  <c r="N130" i="6" s="1"/>
  <c r="O130" i="6" s="1"/>
  <c r="P130" i="6" s="1"/>
  <c r="Q130" i="6" s="1"/>
  <c r="R130" i="6" s="1"/>
  <c r="S130" i="6" s="1"/>
  <c r="T130" i="6" s="1"/>
  <c r="U130" i="6" s="1"/>
  <c r="V130" i="6" s="1"/>
  <c r="W130" i="6" s="1"/>
  <c r="X130" i="6" s="1"/>
  <c r="Y130" i="6" s="1"/>
  <c r="Z130" i="6" s="1"/>
  <c r="AA130" i="6" s="1"/>
  <c r="AB130" i="6" s="1"/>
  <c r="AC130" i="6" s="1"/>
  <c r="AD130" i="6" s="1"/>
  <c r="AE130" i="6" s="1"/>
  <c r="AF130" i="6" s="1"/>
  <c r="AG130" i="6" s="1"/>
  <c r="AH130" i="6" s="1"/>
  <c r="AI130" i="6" s="1"/>
  <c r="AJ130" i="6" s="1"/>
  <c r="AK130" i="6" s="1"/>
  <c r="AL130" i="6" s="1"/>
  <c r="AM130" i="6" s="1"/>
  <c r="AN130" i="6" s="1"/>
  <c r="AO130" i="6" s="1"/>
  <c r="AP130" i="6" s="1"/>
  <c r="AQ130" i="6" s="1"/>
  <c r="AR130" i="6" s="1"/>
  <c r="AS130" i="6" s="1"/>
  <c r="AT130" i="6" s="1"/>
  <c r="AU130" i="6" s="1"/>
  <c r="AV130" i="6" s="1"/>
  <c r="AW130" i="6" s="1"/>
  <c r="AX130" i="6" s="1"/>
  <c r="AY130" i="6" s="1"/>
  <c r="AZ130" i="6" s="1"/>
  <c r="BA130" i="6" s="1"/>
  <c r="BB130" i="6" s="1"/>
  <c r="BC130" i="6" s="1"/>
  <c r="BD130" i="6" s="1"/>
  <c r="BE130" i="6" s="1"/>
  <c r="BF130" i="6" s="1"/>
  <c r="BG130" i="6" s="1"/>
  <c r="BH130" i="6" s="1"/>
  <c r="BI130" i="6" s="1"/>
  <c r="BJ130" i="6" s="1"/>
  <c r="BK130" i="6" s="1"/>
  <c r="BL130" i="6" s="1"/>
  <c r="BM130" i="6" s="1"/>
  <c r="BN130" i="6" s="1"/>
  <c r="BO130" i="6" s="1"/>
  <c r="BP130" i="6" s="1"/>
  <c r="BQ130" i="6" s="1"/>
  <c r="BR130" i="6" s="1"/>
  <c r="BS130" i="6" s="1"/>
  <c r="BT130" i="6" s="1"/>
  <c r="BU130" i="6" s="1"/>
  <c r="BV130" i="6" s="1"/>
  <c r="BW130" i="6" s="1"/>
  <c r="BX130" i="6" s="1"/>
  <c r="BY130" i="6" s="1"/>
  <c r="BZ130" i="6" s="1"/>
  <c r="CA130" i="6" s="1"/>
  <c r="CB130" i="6" s="1"/>
  <c r="CC130" i="6" s="1"/>
  <c r="CD130" i="6" s="1"/>
  <c r="CE130" i="6" s="1"/>
  <c r="CF130" i="6" s="1"/>
  <c r="CG130" i="6" s="1"/>
  <c r="CH130" i="6" s="1"/>
  <c r="CI130" i="6" s="1"/>
  <c r="CJ130" i="6" s="1"/>
  <c r="CK130" i="6" s="1"/>
  <c r="CL130" i="6" s="1"/>
  <c r="CM130" i="6" s="1"/>
  <c r="CN130" i="6" s="1"/>
  <c r="CO130" i="6" s="1"/>
  <c r="CP130" i="6" s="1"/>
  <c r="CQ130" i="6" s="1"/>
  <c r="CR130" i="6" s="1"/>
  <c r="CS130" i="6" s="1"/>
  <c r="CT130" i="6" s="1"/>
  <c r="CU130" i="6" s="1"/>
  <c r="CV130" i="6" s="1"/>
  <c r="CW130" i="6" s="1"/>
  <c r="CX130" i="6" s="1"/>
  <c r="CY130" i="6" s="1"/>
  <c r="CZ130" i="6" s="1"/>
  <c r="DA130" i="6" s="1"/>
  <c r="DB130" i="6" s="1"/>
  <c r="DC130" i="6" s="1"/>
  <c r="DD130" i="6" s="1"/>
  <c r="DE130" i="6" s="1"/>
  <c r="O51" i="6"/>
  <c r="P51" i="6" s="1"/>
  <c r="Q51" i="6" s="1"/>
  <c r="R51" i="6" s="1"/>
  <c r="S51" i="6" s="1"/>
  <c r="T51" i="6" s="1"/>
  <c r="U51" i="6" s="1"/>
  <c r="V51" i="6" s="1"/>
  <c r="W51" i="6" s="1"/>
  <c r="X51" i="6" s="1"/>
  <c r="Y51" i="6" s="1"/>
  <c r="Z51" i="6" s="1"/>
  <c r="AA51" i="6" s="1"/>
  <c r="AB51" i="6" s="1"/>
  <c r="AC51" i="6" s="1"/>
  <c r="AD51" i="6" s="1"/>
  <c r="AE51" i="6" s="1"/>
  <c r="AF51" i="6" s="1"/>
  <c r="AG51" i="6" s="1"/>
  <c r="AH51" i="6" s="1"/>
  <c r="AI51" i="6" s="1"/>
  <c r="AJ51" i="6" s="1"/>
  <c r="AK51" i="6" s="1"/>
  <c r="AL51" i="6" s="1"/>
  <c r="AM51" i="6" s="1"/>
  <c r="AN51" i="6" s="1"/>
  <c r="AO51" i="6" s="1"/>
  <c r="AP51" i="6" s="1"/>
  <c r="AQ51" i="6" s="1"/>
  <c r="AR51" i="6" s="1"/>
  <c r="AS51" i="6" s="1"/>
  <c r="AT51" i="6" s="1"/>
  <c r="AU51" i="6" s="1"/>
  <c r="AV51" i="6" s="1"/>
  <c r="AW51" i="6" s="1"/>
  <c r="AX51" i="6" s="1"/>
  <c r="AY51" i="6" s="1"/>
  <c r="AZ51" i="6" s="1"/>
  <c r="BA51" i="6" s="1"/>
  <c r="BB51" i="6" s="1"/>
  <c r="BC51" i="6" s="1"/>
  <c r="BD51" i="6" s="1"/>
  <c r="BE51" i="6" s="1"/>
  <c r="BF51" i="6" s="1"/>
  <c r="BG51" i="6" s="1"/>
  <c r="BH51" i="6" s="1"/>
  <c r="BI51" i="6" s="1"/>
  <c r="BJ51" i="6" s="1"/>
  <c r="BK51" i="6" s="1"/>
  <c r="BL51" i="6" s="1"/>
  <c r="BM51" i="6" s="1"/>
  <c r="BN51" i="6" s="1"/>
  <c r="BO51" i="6" s="1"/>
  <c r="BP51" i="6" s="1"/>
  <c r="BQ51" i="6" s="1"/>
  <c r="BR51" i="6" s="1"/>
  <c r="BS51" i="6" s="1"/>
  <c r="BT51" i="6" s="1"/>
  <c r="BU51" i="6" s="1"/>
  <c r="BV51" i="6" s="1"/>
  <c r="BW51" i="6" s="1"/>
  <c r="BX51" i="6" s="1"/>
  <c r="BY51" i="6" s="1"/>
  <c r="BZ51" i="6" s="1"/>
  <c r="CA51" i="6" s="1"/>
  <c r="CB51" i="6" s="1"/>
  <c r="CC51" i="6" s="1"/>
  <c r="CD51" i="6" s="1"/>
  <c r="CE51" i="6" s="1"/>
  <c r="CF51" i="6" s="1"/>
  <c r="CG51" i="6" s="1"/>
  <c r="CH51" i="6" s="1"/>
  <c r="CI51" i="6" s="1"/>
  <c r="CJ51" i="6" s="1"/>
  <c r="CK51" i="6" s="1"/>
  <c r="CL51" i="6" s="1"/>
  <c r="CM51" i="6" s="1"/>
  <c r="CN51" i="6" s="1"/>
  <c r="CO51" i="6" s="1"/>
  <c r="CP51" i="6" s="1"/>
  <c r="CQ51" i="6" s="1"/>
  <c r="CR51" i="6" s="1"/>
  <c r="CS51" i="6" s="1"/>
  <c r="CT51" i="6" s="1"/>
  <c r="CU51" i="6" s="1"/>
  <c r="CV51" i="6" s="1"/>
  <c r="CW51" i="6" s="1"/>
  <c r="CX51" i="6" s="1"/>
  <c r="CY51" i="6" s="1"/>
  <c r="CZ51" i="6" s="1"/>
  <c r="DA51" i="6" s="1"/>
  <c r="DB51" i="6" s="1"/>
  <c r="DC51" i="6" s="1"/>
  <c r="DD51" i="6" s="1"/>
  <c r="DE51" i="6" s="1"/>
  <c r="O41" i="6"/>
  <c r="P41" i="6" s="1"/>
  <c r="Q41" i="6" s="1"/>
  <c r="R41" i="6" s="1"/>
  <c r="S41" i="6" s="1"/>
  <c r="T41" i="6" s="1"/>
  <c r="U41" i="6" s="1"/>
  <c r="V41" i="6" s="1"/>
  <c r="W41" i="6" s="1"/>
  <c r="X41" i="6" s="1"/>
  <c r="Y41" i="6" s="1"/>
  <c r="Z41" i="6" s="1"/>
  <c r="AA41" i="6" s="1"/>
  <c r="AB41" i="6" s="1"/>
  <c r="AC41" i="6" s="1"/>
  <c r="AD41" i="6" s="1"/>
  <c r="AE41" i="6" s="1"/>
  <c r="AF41" i="6" s="1"/>
  <c r="AG41" i="6" s="1"/>
  <c r="AH41" i="6" s="1"/>
  <c r="AI41" i="6" s="1"/>
  <c r="AJ41" i="6" s="1"/>
  <c r="AK41" i="6" s="1"/>
  <c r="AL41" i="6" s="1"/>
  <c r="AM41" i="6" s="1"/>
  <c r="AN41" i="6" s="1"/>
  <c r="AO41" i="6" s="1"/>
  <c r="AP41" i="6" s="1"/>
  <c r="AQ41" i="6" s="1"/>
  <c r="AR41" i="6" s="1"/>
  <c r="AS41" i="6" s="1"/>
  <c r="AT41" i="6" s="1"/>
  <c r="AU41" i="6" s="1"/>
  <c r="AV41" i="6" s="1"/>
  <c r="AW41" i="6" s="1"/>
  <c r="AX41" i="6" s="1"/>
  <c r="AY41" i="6" s="1"/>
  <c r="AZ41" i="6" s="1"/>
  <c r="BA41" i="6" s="1"/>
  <c r="BB41" i="6" s="1"/>
  <c r="BC41" i="6" s="1"/>
  <c r="BD41" i="6" s="1"/>
  <c r="BE41" i="6" s="1"/>
  <c r="BF41" i="6" s="1"/>
  <c r="BG41" i="6" s="1"/>
  <c r="BH41" i="6" s="1"/>
  <c r="BI41" i="6" s="1"/>
  <c r="BJ41" i="6" s="1"/>
  <c r="BK41" i="6" s="1"/>
  <c r="BL41" i="6" s="1"/>
  <c r="BM41" i="6" s="1"/>
  <c r="BN41" i="6" s="1"/>
  <c r="BO41" i="6" s="1"/>
  <c r="BP41" i="6" s="1"/>
  <c r="BQ41" i="6" s="1"/>
  <c r="BR41" i="6" s="1"/>
  <c r="BS41" i="6" s="1"/>
  <c r="BT41" i="6" s="1"/>
  <c r="BU41" i="6" s="1"/>
  <c r="BV41" i="6" s="1"/>
  <c r="BW41" i="6" s="1"/>
  <c r="BX41" i="6" s="1"/>
  <c r="BY41" i="6" s="1"/>
  <c r="BZ41" i="6" s="1"/>
  <c r="CA41" i="6" s="1"/>
  <c r="CB41" i="6" s="1"/>
  <c r="CC41" i="6" s="1"/>
  <c r="CD41" i="6" s="1"/>
  <c r="CE41" i="6" s="1"/>
  <c r="CF41" i="6" s="1"/>
  <c r="CG41" i="6" s="1"/>
  <c r="CH41" i="6" s="1"/>
  <c r="CI41" i="6" s="1"/>
  <c r="CJ41" i="6" s="1"/>
  <c r="CK41" i="6" s="1"/>
  <c r="CL41" i="6" s="1"/>
  <c r="CM41" i="6" s="1"/>
  <c r="CN41" i="6" s="1"/>
  <c r="CO41" i="6" s="1"/>
  <c r="CP41" i="6" s="1"/>
  <c r="CQ41" i="6" s="1"/>
  <c r="CR41" i="6" s="1"/>
  <c r="CS41" i="6" s="1"/>
  <c r="CT41" i="6" s="1"/>
  <c r="CU41" i="6" s="1"/>
  <c r="CV41" i="6" s="1"/>
  <c r="CW41" i="6" s="1"/>
  <c r="CX41" i="6" s="1"/>
  <c r="CY41" i="6" s="1"/>
  <c r="CZ41" i="6" s="1"/>
  <c r="DA41" i="6" s="1"/>
  <c r="DB41" i="6" s="1"/>
  <c r="DC41" i="6" s="1"/>
  <c r="DD41" i="6" s="1"/>
  <c r="DE41" i="6" s="1"/>
  <c r="S31" i="6"/>
  <c r="T31" i="6" s="1"/>
  <c r="U31" i="6" s="1"/>
  <c r="V31" i="6" s="1"/>
  <c r="W31" i="6" s="1"/>
  <c r="X31" i="6" s="1"/>
  <c r="Y31" i="6" s="1"/>
  <c r="Z31" i="6" s="1"/>
  <c r="AA31" i="6" s="1"/>
  <c r="AB31" i="6" s="1"/>
  <c r="AC31" i="6" s="1"/>
  <c r="AD31" i="6" s="1"/>
  <c r="AE31" i="6" s="1"/>
  <c r="AF31" i="6" s="1"/>
  <c r="AG31" i="6" s="1"/>
  <c r="AH31" i="6" s="1"/>
  <c r="AI31" i="6" s="1"/>
  <c r="AJ31" i="6" s="1"/>
  <c r="AK31" i="6" s="1"/>
  <c r="AL31" i="6" s="1"/>
  <c r="AM31" i="6" s="1"/>
  <c r="AN31" i="6" s="1"/>
  <c r="AO31" i="6" s="1"/>
  <c r="AP31" i="6" s="1"/>
  <c r="AQ31" i="6" s="1"/>
  <c r="AR31" i="6" s="1"/>
  <c r="AS31" i="6" s="1"/>
  <c r="AT31" i="6" s="1"/>
  <c r="AU31" i="6" s="1"/>
  <c r="AV31" i="6" s="1"/>
  <c r="AW31" i="6" s="1"/>
  <c r="AX31" i="6" s="1"/>
  <c r="AY31" i="6" s="1"/>
  <c r="AZ31" i="6" s="1"/>
  <c r="BA31" i="6" s="1"/>
  <c r="BB31" i="6" s="1"/>
  <c r="BC31" i="6" s="1"/>
  <c r="BD31" i="6" s="1"/>
  <c r="BE31" i="6" s="1"/>
  <c r="BF31" i="6" s="1"/>
  <c r="BG31" i="6" s="1"/>
  <c r="BH31" i="6" s="1"/>
  <c r="BI31" i="6" s="1"/>
  <c r="BJ31" i="6" s="1"/>
  <c r="BK31" i="6" s="1"/>
  <c r="BL31" i="6" s="1"/>
  <c r="BM31" i="6" s="1"/>
  <c r="BN31" i="6" s="1"/>
  <c r="BO31" i="6" s="1"/>
  <c r="BP31" i="6" s="1"/>
  <c r="BQ31" i="6" s="1"/>
  <c r="BR31" i="6" s="1"/>
  <c r="BS31" i="6" s="1"/>
  <c r="BT31" i="6" s="1"/>
  <c r="BU31" i="6" s="1"/>
  <c r="BV31" i="6" s="1"/>
  <c r="BW31" i="6" s="1"/>
  <c r="BX31" i="6" s="1"/>
  <c r="BY31" i="6" s="1"/>
  <c r="BZ31" i="6" s="1"/>
  <c r="CA31" i="6" s="1"/>
  <c r="CB31" i="6" s="1"/>
  <c r="CC31" i="6" s="1"/>
  <c r="CD31" i="6" s="1"/>
  <c r="CE31" i="6" s="1"/>
  <c r="CF31" i="6" s="1"/>
  <c r="CG31" i="6" s="1"/>
  <c r="CH31" i="6" s="1"/>
  <c r="CI31" i="6" s="1"/>
  <c r="CJ31" i="6" s="1"/>
  <c r="CK31" i="6" s="1"/>
  <c r="CL31" i="6" s="1"/>
  <c r="CM31" i="6" s="1"/>
  <c r="CN31" i="6" s="1"/>
  <c r="CO31" i="6" s="1"/>
  <c r="CP31" i="6" s="1"/>
  <c r="CQ31" i="6" s="1"/>
  <c r="CR31" i="6" s="1"/>
  <c r="CS31" i="6" s="1"/>
  <c r="CT31" i="6" s="1"/>
  <c r="CU31" i="6" s="1"/>
  <c r="CV31" i="6" s="1"/>
  <c r="CW31" i="6" s="1"/>
  <c r="CX31" i="6" s="1"/>
  <c r="CY31" i="6" s="1"/>
  <c r="CZ31" i="6" s="1"/>
  <c r="DA31" i="6" s="1"/>
  <c r="DB31" i="6" s="1"/>
  <c r="DC31" i="6" s="1"/>
  <c r="DD31" i="6" s="1"/>
  <c r="DE31" i="6" s="1"/>
  <c r="L27" i="6"/>
  <c r="M27" i="6" s="1"/>
  <c r="N27" i="6" s="1"/>
  <c r="O27" i="6" s="1"/>
  <c r="P27" i="6" s="1"/>
  <c r="Q27" i="6" s="1"/>
  <c r="R27" i="6" s="1"/>
  <c r="S27" i="6" s="1"/>
  <c r="T27" i="6" s="1"/>
  <c r="U27" i="6" s="1"/>
  <c r="V27" i="6" s="1"/>
  <c r="W27" i="6" s="1"/>
  <c r="X27" i="6" s="1"/>
  <c r="Y27" i="6" s="1"/>
  <c r="Z27" i="6" s="1"/>
  <c r="AA27" i="6" s="1"/>
  <c r="AB27" i="6" s="1"/>
  <c r="AC27" i="6" s="1"/>
  <c r="AD27" i="6" s="1"/>
  <c r="AE27" i="6" s="1"/>
  <c r="AF27" i="6" s="1"/>
  <c r="AG27" i="6" s="1"/>
  <c r="AH27" i="6" s="1"/>
  <c r="AI27" i="6" s="1"/>
  <c r="AJ27" i="6" s="1"/>
  <c r="AK27" i="6" s="1"/>
  <c r="AL27" i="6" s="1"/>
  <c r="AM27" i="6" s="1"/>
  <c r="AN27" i="6" s="1"/>
  <c r="AO27" i="6" s="1"/>
  <c r="AP27" i="6" s="1"/>
  <c r="AQ27" i="6" s="1"/>
  <c r="AR27" i="6" s="1"/>
  <c r="AS27" i="6" s="1"/>
  <c r="AT27" i="6" s="1"/>
  <c r="AU27" i="6" s="1"/>
  <c r="AV27" i="6" s="1"/>
  <c r="AW27" i="6" s="1"/>
  <c r="AX27" i="6" s="1"/>
  <c r="AY27" i="6" s="1"/>
  <c r="AZ27" i="6" s="1"/>
  <c r="BA27" i="6" s="1"/>
  <c r="BB27" i="6" s="1"/>
  <c r="BC27" i="6" s="1"/>
  <c r="BD27" i="6" s="1"/>
  <c r="BE27" i="6" s="1"/>
  <c r="BF27" i="6" s="1"/>
  <c r="BG27" i="6" s="1"/>
  <c r="BH27" i="6" s="1"/>
  <c r="BI27" i="6" s="1"/>
  <c r="BJ27" i="6" s="1"/>
  <c r="BK27" i="6" s="1"/>
  <c r="BL27" i="6" s="1"/>
  <c r="BM27" i="6" s="1"/>
  <c r="BN27" i="6" s="1"/>
  <c r="BO27" i="6" s="1"/>
  <c r="BP27" i="6" s="1"/>
  <c r="BQ27" i="6" s="1"/>
  <c r="BR27" i="6" s="1"/>
  <c r="BS27" i="6" s="1"/>
  <c r="BT27" i="6" s="1"/>
  <c r="BU27" i="6" s="1"/>
  <c r="BV27" i="6" s="1"/>
  <c r="BW27" i="6" s="1"/>
  <c r="BX27" i="6" s="1"/>
  <c r="BY27" i="6" s="1"/>
  <c r="BZ27" i="6" s="1"/>
  <c r="CA27" i="6" s="1"/>
  <c r="CB27" i="6" s="1"/>
  <c r="CC27" i="6" s="1"/>
  <c r="CD27" i="6" s="1"/>
  <c r="CE27" i="6" s="1"/>
  <c r="CF27" i="6" s="1"/>
  <c r="CG27" i="6" s="1"/>
  <c r="CH27" i="6" s="1"/>
  <c r="CI27" i="6" s="1"/>
  <c r="CJ27" i="6" s="1"/>
  <c r="CK27" i="6" s="1"/>
  <c r="CL27" i="6" s="1"/>
  <c r="CM27" i="6" s="1"/>
  <c r="CN27" i="6" s="1"/>
  <c r="CO27" i="6" s="1"/>
  <c r="CP27" i="6" s="1"/>
  <c r="CQ27" i="6" s="1"/>
  <c r="CR27" i="6" s="1"/>
  <c r="CS27" i="6" s="1"/>
  <c r="CT27" i="6" s="1"/>
  <c r="CU27" i="6" s="1"/>
  <c r="CV27" i="6" s="1"/>
  <c r="CW27" i="6" s="1"/>
  <c r="CX27" i="6" s="1"/>
  <c r="CY27" i="6" s="1"/>
  <c r="CZ27" i="6" s="1"/>
  <c r="DA27" i="6" s="1"/>
  <c r="DB27" i="6" s="1"/>
  <c r="DC27" i="6" s="1"/>
  <c r="DD27" i="6" s="1"/>
  <c r="DE27" i="6" s="1"/>
  <c r="O227" i="6"/>
  <c r="P227" i="6" s="1"/>
  <c r="Q227" i="6" s="1"/>
  <c r="R227" i="6" s="1"/>
  <c r="S227" i="6" s="1"/>
  <c r="T227" i="6" s="1"/>
  <c r="U227" i="6" s="1"/>
  <c r="V227" i="6" s="1"/>
  <c r="W227" i="6" s="1"/>
  <c r="X227" i="6" s="1"/>
  <c r="Y227" i="6" s="1"/>
  <c r="Z227" i="6" s="1"/>
  <c r="AA227" i="6" s="1"/>
  <c r="AB227" i="6" s="1"/>
  <c r="AC227" i="6" s="1"/>
  <c r="AD227" i="6" s="1"/>
  <c r="AE227" i="6" s="1"/>
  <c r="AF227" i="6" s="1"/>
  <c r="AG227" i="6" s="1"/>
  <c r="AH227" i="6" s="1"/>
  <c r="AI227" i="6" s="1"/>
  <c r="AJ227" i="6" s="1"/>
  <c r="AK227" i="6" s="1"/>
  <c r="AL227" i="6" s="1"/>
  <c r="AM227" i="6" s="1"/>
  <c r="AN227" i="6" s="1"/>
  <c r="AO227" i="6" s="1"/>
  <c r="AP227" i="6" s="1"/>
  <c r="AQ227" i="6" s="1"/>
  <c r="AR227" i="6" s="1"/>
  <c r="AS227" i="6" s="1"/>
  <c r="AT227" i="6" s="1"/>
  <c r="AU227" i="6" s="1"/>
  <c r="AV227" i="6" s="1"/>
  <c r="AW227" i="6" s="1"/>
  <c r="AX227" i="6" s="1"/>
  <c r="AY227" i="6" s="1"/>
  <c r="AZ227" i="6" s="1"/>
  <c r="BA227" i="6" s="1"/>
  <c r="BB227" i="6" s="1"/>
  <c r="BC227" i="6" s="1"/>
  <c r="BD227" i="6" s="1"/>
  <c r="BE227" i="6" s="1"/>
  <c r="BF227" i="6" s="1"/>
  <c r="BG227" i="6" s="1"/>
  <c r="BH227" i="6" s="1"/>
  <c r="BI227" i="6" s="1"/>
  <c r="BJ227" i="6" s="1"/>
  <c r="BK227" i="6" s="1"/>
  <c r="BL227" i="6" s="1"/>
  <c r="BM227" i="6" s="1"/>
  <c r="BN227" i="6" s="1"/>
  <c r="BO227" i="6" s="1"/>
  <c r="BP227" i="6" s="1"/>
  <c r="BQ227" i="6" s="1"/>
  <c r="BR227" i="6" s="1"/>
  <c r="BS227" i="6" s="1"/>
  <c r="BT227" i="6" s="1"/>
  <c r="BU227" i="6" s="1"/>
  <c r="BV227" i="6" s="1"/>
  <c r="BW227" i="6" s="1"/>
  <c r="BX227" i="6" s="1"/>
  <c r="BY227" i="6" s="1"/>
  <c r="BZ227" i="6" s="1"/>
  <c r="CA227" i="6" s="1"/>
  <c r="CB227" i="6" s="1"/>
  <c r="CC227" i="6" s="1"/>
  <c r="CD227" i="6" s="1"/>
  <c r="CE227" i="6" s="1"/>
  <c r="CF227" i="6" s="1"/>
  <c r="CG227" i="6" s="1"/>
  <c r="CH227" i="6" s="1"/>
  <c r="CI227" i="6" s="1"/>
  <c r="CJ227" i="6" s="1"/>
  <c r="CK227" i="6" s="1"/>
  <c r="CL227" i="6" s="1"/>
  <c r="CM227" i="6" s="1"/>
  <c r="CN227" i="6" s="1"/>
  <c r="CO227" i="6" s="1"/>
  <c r="CP227" i="6" s="1"/>
  <c r="CQ227" i="6" s="1"/>
  <c r="CR227" i="6" s="1"/>
  <c r="CS227" i="6" s="1"/>
  <c r="CT227" i="6" s="1"/>
  <c r="CU227" i="6" s="1"/>
  <c r="CV227" i="6" s="1"/>
  <c r="CW227" i="6" s="1"/>
  <c r="CX227" i="6" s="1"/>
  <c r="CY227" i="6" s="1"/>
  <c r="CZ227" i="6" s="1"/>
  <c r="DA227" i="6" s="1"/>
  <c r="DB227" i="6" s="1"/>
  <c r="DC227" i="6" s="1"/>
  <c r="DD227" i="6" s="1"/>
  <c r="DE227" i="6" s="1"/>
  <c r="S211" i="6"/>
  <c r="T211" i="6" s="1"/>
  <c r="U211" i="6" s="1"/>
  <c r="V211" i="6" s="1"/>
  <c r="W211" i="6" s="1"/>
  <c r="X211" i="6" s="1"/>
  <c r="Y211" i="6" s="1"/>
  <c r="Z211" i="6" s="1"/>
  <c r="AA211" i="6" s="1"/>
  <c r="AB211" i="6" s="1"/>
  <c r="AC211" i="6" s="1"/>
  <c r="AD211" i="6" s="1"/>
  <c r="AE211" i="6" s="1"/>
  <c r="AF211" i="6" s="1"/>
  <c r="AG211" i="6" s="1"/>
  <c r="AH211" i="6" s="1"/>
  <c r="AI211" i="6" s="1"/>
  <c r="AJ211" i="6" s="1"/>
  <c r="AK211" i="6" s="1"/>
  <c r="AL211" i="6" s="1"/>
  <c r="AM211" i="6" s="1"/>
  <c r="AN211" i="6" s="1"/>
  <c r="AO211" i="6" s="1"/>
  <c r="AP211" i="6" s="1"/>
  <c r="AQ211" i="6" s="1"/>
  <c r="AR211" i="6" s="1"/>
  <c r="AS211" i="6" s="1"/>
  <c r="AT211" i="6" s="1"/>
  <c r="AU211" i="6" s="1"/>
  <c r="AV211" i="6" s="1"/>
  <c r="AW211" i="6" s="1"/>
  <c r="AX211" i="6" s="1"/>
  <c r="AY211" i="6" s="1"/>
  <c r="AZ211" i="6" s="1"/>
  <c r="BA211" i="6" s="1"/>
  <c r="BB211" i="6" s="1"/>
  <c r="BC211" i="6" s="1"/>
  <c r="BD211" i="6" s="1"/>
  <c r="BE211" i="6" s="1"/>
  <c r="BF211" i="6" s="1"/>
  <c r="BG211" i="6" s="1"/>
  <c r="BH211" i="6" s="1"/>
  <c r="BI211" i="6" s="1"/>
  <c r="BJ211" i="6" s="1"/>
  <c r="BK211" i="6" s="1"/>
  <c r="BL211" i="6" s="1"/>
  <c r="BM211" i="6" s="1"/>
  <c r="BN211" i="6" s="1"/>
  <c r="BO211" i="6" s="1"/>
  <c r="BP211" i="6" s="1"/>
  <c r="BQ211" i="6" s="1"/>
  <c r="BR211" i="6" s="1"/>
  <c r="BS211" i="6" s="1"/>
  <c r="BT211" i="6" s="1"/>
  <c r="BU211" i="6" s="1"/>
  <c r="BV211" i="6" s="1"/>
  <c r="BW211" i="6" s="1"/>
  <c r="BX211" i="6" s="1"/>
  <c r="BY211" i="6" s="1"/>
  <c r="BZ211" i="6" s="1"/>
  <c r="CA211" i="6" s="1"/>
  <c r="CB211" i="6" s="1"/>
  <c r="CC211" i="6" s="1"/>
  <c r="CD211" i="6" s="1"/>
  <c r="CE211" i="6" s="1"/>
  <c r="CF211" i="6" s="1"/>
  <c r="CG211" i="6" s="1"/>
  <c r="CH211" i="6" s="1"/>
  <c r="CI211" i="6" s="1"/>
  <c r="CJ211" i="6" s="1"/>
  <c r="CK211" i="6" s="1"/>
  <c r="CL211" i="6" s="1"/>
  <c r="CM211" i="6" s="1"/>
  <c r="CN211" i="6" s="1"/>
  <c r="CO211" i="6" s="1"/>
  <c r="CP211" i="6" s="1"/>
  <c r="CQ211" i="6" s="1"/>
  <c r="CR211" i="6" s="1"/>
  <c r="CS211" i="6" s="1"/>
  <c r="CT211" i="6" s="1"/>
  <c r="CU211" i="6" s="1"/>
  <c r="CV211" i="6" s="1"/>
  <c r="CW211" i="6" s="1"/>
  <c r="CX211" i="6" s="1"/>
  <c r="CY211" i="6" s="1"/>
  <c r="CZ211" i="6" s="1"/>
  <c r="DA211" i="6" s="1"/>
  <c r="DB211" i="6" s="1"/>
  <c r="DC211" i="6" s="1"/>
  <c r="DD211" i="6" s="1"/>
  <c r="DE211" i="6" s="1"/>
  <c r="AA205" i="6"/>
  <c r="AB205" i="6" s="1"/>
  <c r="AC205" i="6" s="1"/>
  <c r="AD205" i="6" s="1"/>
  <c r="AE205" i="6" s="1"/>
  <c r="AF205" i="6" s="1"/>
  <c r="AG205" i="6" s="1"/>
  <c r="AH205" i="6" s="1"/>
  <c r="AI205" i="6" s="1"/>
  <c r="AJ205" i="6" s="1"/>
  <c r="AK205" i="6" s="1"/>
  <c r="AL205" i="6" s="1"/>
  <c r="AM205" i="6" s="1"/>
  <c r="AN205" i="6" s="1"/>
  <c r="AO205" i="6" s="1"/>
  <c r="AP205" i="6" s="1"/>
  <c r="AQ205" i="6" s="1"/>
  <c r="AR205" i="6" s="1"/>
  <c r="AS205" i="6" s="1"/>
  <c r="AT205" i="6" s="1"/>
  <c r="AU205" i="6" s="1"/>
  <c r="AV205" i="6" s="1"/>
  <c r="AW205" i="6" s="1"/>
  <c r="AX205" i="6" s="1"/>
  <c r="AY205" i="6" s="1"/>
  <c r="AZ205" i="6" s="1"/>
  <c r="BA205" i="6" s="1"/>
  <c r="BB205" i="6" s="1"/>
  <c r="BC205" i="6" s="1"/>
  <c r="BD205" i="6" s="1"/>
  <c r="BE205" i="6" s="1"/>
  <c r="BF205" i="6" s="1"/>
  <c r="BG205" i="6" s="1"/>
  <c r="BH205" i="6" s="1"/>
  <c r="BI205" i="6" s="1"/>
  <c r="BJ205" i="6" s="1"/>
  <c r="BK205" i="6" s="1"/>
  <c r="BL205" i="6" s="1"/>
  <c r="BM205" i="6" s="1"/>
  <c r="BN205" i="6" s="1"/>
  <c r="BO205" i="6" s="1"/>
  <c r="BP205" i="6" s="1"/>
  <c r="BQ205" i="6" s="1"/>
  <c r="BR205" i="6" s="1"/>
  <c r="BS205" i="6" s="1"/>
  <c r="BT205" i="6" s="1"/>
  <c r="BU205" i="6" s="1"/>
  <c r="BV205" i="6" s="1"/>
  <c r="BW205" i="6" s="1"/>
  <c r="BX205" i="6" s="1"/>
  <c r="BY205" i="6" s="1"/>
  <c r="BZ205" i="6" s="1"/>
  <c r="CA205" i="6" s="1"/>
  <c r="CB205" i="6" s="1"/>
  <c r="CC205" i="6" s="1"/>
  <c r="CD205" i="6" s="1"/>
  <c r="CE205" i="6" s="1"/>
  <c r="CF205" i="6" s="1"/>
  <c r="CG205" i="6" s="1"/>
  <c r="CH205" i="6" s="1"/>
  <c r="CI205" i="6" s="1"/>
  <c r="CJ205" i="6" s="1"/>
  <c r="CK205" i="6" s="1"/>
  <c r="CL205" i="6" s="1"/>
  <c r="CM205" i="6" s="1"/>
  <c r="CN205" i="6" s="1"/>
  <c r="CO205" i="6" s="1"/>
  <c r="CP205" i="6" s="1"/>
  <c r="CQ205" i="6" s="1"/>
  <c r="CR205" i="6" s="1"/>
  <c r="CS205" i="6" s="1"/>
  <c r="CT205" i="6" s="1"/>
  <c r="CU205" i="6" s="1"/>
  <c r="CV205" i="6" s="1"/>
  <c r="CW205" i="6" s="1"/>
  <c r="CX205" i="6" s="1"/>
  <c r="CY205" i="6" s="1"/>
  <c r="CZ205" i="6" s="1"/>
  <c r="DA205" i="6" s="1"/>
  <c r="DB205" i="6" s="1"/>
  <c r="DC205" i="6" s="1"/>
  <c r="DD205" i="6" s="1"/>
  <c r="DE205" i="6" s="1"/>
  <c r="O197" i="6"/>
  <c r="P197" i="6" s="1"/>
  <c r="Q197" i="6" s="1"/>
  <c r="R197" i="6" s="1"/>
  <c r="S197" i="6" s="1"/>
  <c r="T197" i="6" s="1"/>
  <c r="U197" i="6" s="1"/>
  <c r="V197" i="6" s="1"/>
  <c r="W197" i="6" s="1"/>
  <c r="X197" i="6" s="1"/>
  <c r="Y197" i="6" s="1"/>
  <c r="Z197" i="6" s="1"/>
  <c r="AA197" i="6" s="1"/>
  <c r="AB197" i="6" s="1"/>
  <c r="AC197" i="6" s="1"/>
  <c r="AD197" i="6" s="1"/>
  <c r="AE197" i="6" s="1"/>
  <c r="AF197" i="6" s="1"/>
  <c r="AG197" i="6" s="1"/>
  <c r="AH197" i="6" s="1"/>
  <c r="AI197" i="6" s="1"/>
  <c r="AJ197" i="6" s="1"/>
  <c r="AK197" i="6" s="1"/>
  <c r="AL197" i="6" s="1"/>
  <c r="AM197" i="6" s="1"/>
  <c r="AN197" i="6" s="1"/>
  <c r="AO197" i="6" s="1"/>
  <c r="AP197" i="6" s="1"/>
  <c r="AQ197" i="6" s="1"/>
  <c r="AR197" i="6" s="1"/>
  <c r="AS197" i="6" s="1"/>
  <c r="AT197" i="6" s="1"/>
  <c r="AU197" i="6" s="1"/>
  <c r="AV197" i="6" s="1"/>
  <c r="AW197" i="6" s="1"/>
  <c r="AX197" i="6" s="1"/>
  <c r="AY197" i="6" s="1"/>
  <c r="AZ197" i="6" s="1"/>
  <c r="BA197" i="6" s="1"/>
  <c r="BB197" i="6" s="1"/>
  <c r="BC197" i="6" s="1"/>
  <c r="BD197" i="6" s="1"/>
  <c r="BE197" i="6" s="1"/>
  <c r="BF197" i="6" s="1"/>
  <c r="BG197" i="6" s="1"/>
  <c r="BH197" i="6" s="1"/>
  <c r="BI197" i="6" s="1"/>
  <c r="BJ197" i="6" s="1"/>
  <c r="BK197" i="6" s="1"/>
  <c r="BL197" i="6" s="1"/>
  <c r="BM197" i="6" s="1"/>
  <c r="BN197" i="6" s="1"/>
  <c r="BO197" i="6" s="1"/>
  <c r="BP197" i="6" s="1"/>
  <c r="BQ197" i="6" s="1"/>
  <c r="BR197" i="6" s="1"/>
  <c r="BS197" i="6" s="1"/>
  <c r="BT197" i="6" s="1"/>
  <c r="BU197" i="6" s="1"/>
  <c r="BV197" i="6" s="1"/>
  <c r="BW197" i="6" s="1"/>
  <c r="BX197" i="6" s="1"/>
  <c r="BY197" i="6" s="1"/>
  <c r="BZ197" i="6" s="1"/>
  <c r="CA197" i="6" s="1"/>
  <c r="CB197" i="6" s="1"/>
  <c r="CC197" i="6" s="1"/>
  <c r="CD197" i="6" s="1"/>
  <c r="CE197" i="6" s="1"/>
  <c r="CF197" i="6" s="1"/>
  <c r="CG197" i="6" s="1"/>
  <c r="CH197" i="6" s="1"/>
  <c r="CI197" i="6" s="1"/>
  <c r="CJ197" i="6" s="1"/>
  <c r="CK197" i="6" s="1"/>
  <c r="CL197" i="6" s="1"/>
  <c r="CM197" i="6" s="1"/>
  <c r="CN197" i="6" s="1"/>
  <c r="CO197" i="6" s="1"/>
  <c r="CP197" i="6" s="1"/>
  <c r="CQ197" i="6" s="1"/>
  <c r="CR197" i="6" s="1"/>
  <c r="CS197" i="6" s="1"/>
  <c r="CT197" i="6" s="1"/>
  <c r="CU197" i="6" s="1"/>
  <c r="CV197" i="6" s="1"/>
  <c r="CW197" i="6" s="1"/>
  <c r="CX197" i="6" s="1"/>
  <c r="CY197" i="6" s="1"/>
  <c r="CZ197" i="6" s="1"/>
  <c r="DA197" i="6" s="1"/>
  <c r="DB197" i="6" s="1"/>
  <c r="DC197" i="6" s="1"/>
  <c r="DD197" i="6" s="1"/>
  <c r="DE197" i="6" s="1"/>
  <c r="W148" i="6"/>
  <c r="X148" i="6" s="1"/>
  <c r="Y148" i="6" s="1"/>
  <c r="Z148" i="6" s="1"/>
  <c r="AA148" i="6" s="1"/>
  <c r="AB148" i="6" s="1"/>
  <c r="AC148" i="6" s="1"/>
  <c r="AD148" i="6" s="1"/>
  <c r="AE148" i="6" s="1"/>
  <c r="AF148" i="6" s="1"/>
  <c r="AG148" i="6" s="1"/>
  <c r="AH148" i="6" s="1"/>
  <c r="AI148" i="6" s="1"/>
  <c r="AJ148" i="6" s="1"/>
  <c r="AK148" i="6" s="1"/>
  <c r="AL148" i="6" s="1"/>
  <c r="AM148" i="6" s="1"/>
  <c r="AN148" i="6" s="1"/>
  <c r="AO148" i="6" s="1"/>
  <c r="AP148" i="6" s="1"/>
  <c r="AQ148" i="6" s="1"/>
  <c r="AR148" i="6" s="1"/>
  <c r="AS148" i="6" s="1"/>
  <c r="AT148" i="6" s="1"/>
  <c r="AU148" i="6" s="1"/>
  <c r="AV148" i="6" s="1"/>
  <c r="AW148" i="6" s="1"/>
  <c r="AX148" i="6" s="1"/>
  <c r="AY148" i="6" s="1"/>
  <c r="AZ148" i="6" s="1"/>
  <c r="BA148" i="6" s="1"/>
  <c r="BB148" i="6" s="1"/>
  <c r="BC148" i="6" s="1"/>
  <c r="BD148" i="6" s="1"/>
  <c r="BE148" i="6" s="1"/>
  <c r="BF148" i="6" s="1"/>
  <c r="BG148" i="6" s="1"/>
  <c r="BH148" i="6" s="1"/>
  <c r="BI148" i="6" s="1"/>
  <c r="BJ148" i="6" s="1"/>
  <c r="BK148" i="6" s="1"/>
  <c r="BL148" i="6" s="1"/>
  <c r="BM148" i="6" s="1"/>
  <c r="BN148" i="6" s="1"/>
  <c r="BO148" i="6" s="1"/>
  <c r="BP148" i="6" s="1"/>
  <c r="BQ148" i="6" s="1"/>
  <c r="BR148" i="6" s="1"/>
  <c r="BS148" i="6" s="1"/>
  <c r="BT148" i="6" s="1"/>
  <c r="BU148" i="6" s="1"/>
  <c r="BV148" i="6" s="1"/>
  <c r="BW148" i="6" s="1"/>
  <c r="BX148" i="6" s="1"/>
  <c r="BY148" i="6" s="1"/>
  <c r="BZ148" i="6" s="1"/>
  <c r="CA148" i="6" s="1"/>
  <c r="CB148" i="6" s="1"/>
  <c r="CC148" i="6" s="1"/>
  <c r="CD148" i="6" s="1"/>
  <c r="CE148" i="6" s="1"/>
  <c r="CF148" i="6" s="1"/>
  <c r="CG148" i="6" s="1"/>
  <c r="CH148" i="6" s="1"/>
  <c r="CI148" i="6" s="1"/>
  <c r="CJ148" i="6" s="1"/>
  <c r="CK148" i="6" s="1"/>
  <c r="CL148" i="6" s="1"/>
  <c r="CM148" i="6" s="1"/>
  <c r="CN148" i="6" s="1"/>
  <c r="CO148" i="6" s="1"/>
  <c r="CP148" i="6" s="1"/>
  <c r="CQ148" i="6" s="1"/>
  <c r="CR148" i="6" s="1"/>
  <c r="CS148" i="6" s="1"/>
  <c r="CT148" i="6" s="1"/>
  <c r="CU148" i="6" s="1"/>
  <c r="CV148" i="6" s="1"/>
  <c r="CW148" i="6" s="1"/>
  <c r="CX148" i="6" s="1"/>
  <c r="CY148" i="6" s="1"/>
  <c r="CZ148" i="6" s="1"/>
  <c r="DA148" i="6" s="1"/>
  <c r="DB148" i="6" s="1"/>
  <c r="DC148" i="6" s="1"/>
  <c r="DD148" i="6" s="1"/>
  <c r="DE148" i="6" s="1"/>
  <c r="W146" i="6"/>
  <c r="X146" i="6" s="1"/>
  <c r="Y146" i="6" s="1"/>
  <c r="Z146" i="6" s="1"/>
  <c r="AA146" i="6" s="1"/>
  <c r="AB146" i="6" s="1"/>
  <c r="AC146" i="6" s="1"/>
  <c r="AD146" i="6" s="1"/>
  <c r="AE146" i="6" s="1"/>
  <c r="AF146" i="6" s="1"/>
  <c r="AG146" i="6" s="1"/>
  <c r="AH146" i="6" s="1"/>
  <c r="AI146" i="6" s="1"/>
  <c r="AJ146" i="6" s="1"/>
  <c r="AK146" i="6" s="1"/>
  <c r="AL146" i="6" s="1"/>
  <c r="AM146" i="6" s="1"/>
  <c r="AN146" i="6" s="1"/>
  <c r="AO146" i="6" s="1"/>
  <c r="AP146" i="6" s="1"/>
  <c r="AQ146" i="6" s="1"/>
  <c r="AR146" i="6" s="1"/>
  <c r="AS146" i="6" s="1"/>
  <c r="AT146" i="6" s="1"/>
  <c r="AU146" i="6" s="1"/>
  <c r="AV146" i="6" s="1"/>
  <c r="AW146" i="6" s="1"/>
  <c r="AX146" i="6" s="1"/>
  <c r="AY146" i="6" s="1"/>
  <c r="AZ146" i="6" s="1"/>
  <c r="BA146" i="6" s="1"/>
  <c r="BB146" i="6" s="1"/>
  <c r="BC146" i="6" s="1"/>
  <c r="BD146" i="6" s="1"/>
  <c r="BE146" i="6" s="1"/>
  <c r="BF146" i="6" s="1"/>
  <c r="BG146" i="6" s="1"/>
  <c r="BH146" i="6" s="1"/>
  <c r="BI146" i="6" s="1"/>
  <c r="BJ146" i="6" s="1"/>
  <c r="BK146" i="6" s="1"/>
  <c r="BL146" i="6" s="1"/>
  <c r="BM146" i="6" s="1"/>
  <c r="BN146" i="6" s="1"/>
  <c r="BO146" i="6" s="1"/>
  <c r="BP146" i="6" s="1"/>
  <c r="BQ146" i="6" s="1"/>
  <c r="BR146" i="6" s="1"/>
  <c r="BS146" i="6" s="1"/>
  <c r="BT146" i="6" s="1"/>
  <c r="BU146" i="6" s="1"/>
  <c r="BV146" i="6" s="1"/>
  <c r="BW146" i="6" s="1"/>
  <c r="BX146" i="6" s="1"/>
  <c r="BY146" i="6" s="1"/>
  <c r="BZ146" i="6" s="1"/>
  <c r="CA146" i="6" s="1"/>
  <c r="CB146" i="6" s="1"/>
  <c r="CC146" i="6" s="1"/>
  <c r="CD146" i="6" s="1"/>
  <c r="CE146" i="6" s="1"/>
  <c r="CF146" i="6" s="1"/>
  <c r="CG146" i="6" s="1"/>
  <c r="CH146" i="6" s="1"/>
  <c r="CI146" i="6" s="1"/>
  <c r="CJ146" i="6" s="1"/>
  <c r="CK146" i="6" s="1"/>
  <c r="CL146" i="6" s="1"/>
  <c r="CM146" i="6" s="1"/>
  <c r="CN146" i="6" s="1"/>
  <c r="CO146" i="6" s="1"/>
  <c r="CP146" i="6" s="1"/>
  <c r="CQ146" i="6" s="1"/>
  <c r="CR146" i="6" s="1"/>
  <c r="CS146" i="6" s="1"/>
  <c r="CT146" i="6" s="1"/>
  <c r="CU146" i="6" s="1"/>
  <c r="CV146" i="6" s="1"/>
  <c r="CW146" i="6" s="1"/>
  <c r="CX146" i="6" s="1"/>
  <c r="CY146" i="6" s="1"/>
  <c r="CZ146" i="6" s="1"/>
  <c r="DA146" i="6" s="1"/>
  <c r="DB146" i="6" s="1"/>
  <c r="DC146" i="6" s="1"/>
  <c r="DD146" i="6" s="1"/>
  <c r="DE146" i="6" s="1"/>
  <c r="O124" i="6"/>
  <c r="P124" i="6" s="1"/>
  <c r="Q124" i="6" s="1"/>
  <c r="R124" i="6" s="1"/>
  <c r="S124" i="6" s="1"/>
  <c r="T124" i="6" s="1"/>
  <c r="U124" i="6" s="1"/>
  <c r="V124" i="6" s="1"/>
  <c r="W124" i="6" s="1"/>
  <c r="X124" i="6" s="1"/>
  <c r="Y124" i="6" s="1"/>
  <c r="Z124" i="6" s="1"/>
  <c r="AA124" i="6" s="1"/>
  <c r="AB124" i="6" s="1"/>
  <c r="AC124" i="6" s="1"/>
  <c r="AD124" i="6" s="1"/>
  <c r="AE124" i="6" s="1"/>
  <c r="AF124" i="6" s="1"/>
  <c r="AG124" i="6" s="1"/>
  <c r="AH124" i="6" s="1"/>
  <c r="AI124" i="6" s="1"/>
  <c r="AJ124" i="6" s="1"/>
  <c r="AK124" i="6" s="1"/>
  <c r="AL124" i="6" s="1"/>
  <c r="AM124" i="6" s="1"/>
  <c r="AN124" i="6" s="1"/>
  <c r="AO124" i="6" s="1"/>
  <c r="AP124" i="6" s="1"/>
  <c r="AQ124" i="6" s="1"/>
  <c r="AR124" i="6" s="1"/>
  <c r="AS124" i="6" s="1"/>
  <c r="AT124" i="6" s="1"/>
  <c r="AU124" i="6" s="1"/>
  <c r="AV124" i="6" s="1"/>
  <c r="AW124" i="6" s="1"/>
  <c r="AX124" i="6" s="1"/>
  <c r="AY124" i="6" s="1"/>
  <c r="AZ124" i="6" s="1"/>
  <c r="BA124" i="6" s="1"/>
  <c r="BB124" i="6" s="1"/>
  <c r="BC124" i="6" s="1"/>
  <c r="BD124" i="6" s="1"/>
  <c r="BE124" i="6" s="1"/>
  <c r="BF124" i="6" s="1"/>
  <c r="BG124" i="6" s="1"/>
  <c r="BH124" i="6" s="1"/>
  <c r="BI124" i="6" s="1"/>
  <c r="BJ124" i="6" s="1"/>
  <c r="BK124" i="6" s="1"/>
  <c r="BL124" i="6" s="1"/>
  <c r="BM124" i="6" s="1"/>
  <c r="BN124" i="6" s="1"/>
  <c r="BO124" i="6" s="1"/>
  <c r="BP124" i="6" s="1"/>
  <c r="BQ124" i="6" s="1"/>
  <c r="BR124" i="6" s="1"/>
  <c r="BS124" i="6" s="1"/>
  <c r="BT124" i="6" s="1"/>
  <c r="BU124" i="6" s="1"/>
  <c r="BV124" i="6" s="1"/>
  <c r="BW124" i="6" s="1"/>
  <c r="BX124" i="6" s="1"/>
  <c r="BY124" i="6" s="1"/>
  <c r="BZ124" i="6" s="1"/>
  <c r="CA124" i="6" s="1"/>
  <c r="CB124" i="6" s="1"/>
  <c r="CC124" i="6" s="1"/>
  <c r="CD124" i="6" s="1"/>
  <c r="CE124" i="6" s="1"/>
  <c r="CF124" i="6" s="1"/>
  <c r="CG124" i="6" s="1"/>
  <c r="CH124" i="6" s="1"/>
  <c r="CI124" i="6" s="1"/>
  <c r="CJ124" i="6" s="1"/>
  <c r="CK124" i="6" s="1"/>
  <c r="CL124" i="6" s="1"/>
  <c r="CM124" i="6" s="1"/>
  <c r="CN124" i="6" s="1"/>
  <c r="CO124" i="6" s="1"/>
  <c r="CP124" i="6" s="1"/>
  <c r="CQ124" i="6" s="1"/>
  <c r="CR124" i="6" s="1"/>
  <c r="CS124" i="6" s="1"/>
  <c r="CT124" i="6" s="1"/>
  <c r="CU124" i="6" s="1"/>
  <c r="CV124" i="6" s="1"/>
  <c r="CW124" i="6" s="1"/>
  <c r="CX124" i="6" s="1"/>
  <c r="CY124" i="6" s="1"/>
  <c r="CZ124" i="6" s="1"/>
  <c r="DA124" i="6" s="1"/>
  <c r="DB124" i="6" s="1"/>
  <c r="DC124" i="6" s="1"/>
  <c r="DD124" i="6" s="1"/>
  <c r="DE124" i="6" s="1"/>
  <c r="O283" i="6"/>
  <c r="P283" i="6" s="1"/>
  <c r="Q283" i="6" s="1"/>
  <c r="R283" i="6" s="1"/>
  <c r="S283" i="6" s="1"/>
  <c r="T283" i="6" s="1"/>
  <c r="U283" i="6" s="1"/>
  <c r="V283" i="6" s="1"/>
  <c r="W283" i="6" s="1"/>
  <c r="X283" i="6" s="1"/>
  <c r="Y283" i="6" s="1"/>
  <c r="Z283" i="6" s="1"/>
  <c r="AA283" i="6" s="1"/>
  <c r="AB283" i="6" s="1"/>
  <c r="AC283" i="6" s="1"/>
  <c r="AD283" i="6" s="1"/>
  <c r="AE283" i="6" s="1"/>
  <c r="AF283" i="6" s="1"/>
  <c r="AG283" i="6" s="1"/>
  <c r="AH283" i="6" s="1"/>
  <c r="AI283" i="6" s="1"/>
  <c r="AJ283" i="6" s="1"/>
  <c r="AK283" i="6" s="1"/>
  <c r="AL283" i="6" s="1"/>
  <c r="AM283" i="6" s="1"/>
  <c r="AN283" i="6" s="1"/>
  <c r="AO283" i="6" s="1"/>
  <c r="AP283" i="6" s="1"/>
  <c r="AQ283" i="6" s="1"/>
  <c r="AR283" i="6" s="1"/>
  <c r="AS283" i="6" s="1"/>
  <c r="AT283" i="6" s="1"/>
  <c r="AU283" i="6" s="1"/>
  <c r="AV283" i="6" s="1"/>
  <c r="AW283" i="6" s="1"/>
  <c r="AX283" i="6" s="1"/>
  <c r="AY283" i="6" s="1"/>
  <c r="AZ283" i="6" s="1"/>
  <c r="BA283" i="6" s="1"/>
  <c r="BB283" i="6" s="1"/>
  <c r="BC283" i="6" s="1"/>
  <c r="BD283" i="6" s="1"/>
  <c r="BE283" i="6" s="1"/>
  <c r="BF283" i="6" s="1"/>
  <c r="BG283" i="6" s="1"/>
  <c r="BH283" i="6" s="1"/>
  <c r="BI283" i="6" s="1"/>
  <c r="BJ283" i="6" s="1"/>
  <c r="BK283" i="6" s="1"/>
  <c r="BL283" i="6" s="1"/>
  <c r="BM283" i="6" s="1"/>
  <c r="BN283" i="6" s="1"/>
  <c r="BO283" i="6" s="1"/>
  <c r="BP283" i="6" s="1"/>
  <c r="BQ283" i="6" s="1"/>
  <c r="BR283" i="6" s="1"/>
  <c r="BS283" i="6" s="1"/>
  <c r="BT283" i="6" s="1"/>
  <c r="BU283" i="6" s="1"/>
  <c r="BV283" i="6" s="1"/>
  <c r="BW283" i="6" s="1"/>
  <c r="BX283" i="6" s="1"/>
  <c r="BY283" i="6" s="1"/>
  <c r="BZ283" i="6" s="1"/>
  <c r="CA283" i="6" s="1"/>
  <c r="CB283" i="6" s="1"/>
  <c r="CC283" i="6" s="1"/>
  <c r="CD283" i="6" s="1"/>
  <c r="CE283" i="6" s="1"/>
  <c r="CF283" i="6" s="1"/>
  <c r="CG283" i="6" s="1"/>
  <c r="CH283" i="6" s="1"/>
  <c r="CI283" i="6" s="1"/>
  <c r="CJ283" i="6" s="1"/>
  <c r="CK283" i="6" s="1"/>
  <c r="CL283" i="6" s="1"/>
  <c r="CM283" i="6" s="1"/>
  <c r="CN283" i="6" s="1"/>
  <c r="CO283" i="6" s="1"/>
  <c r="CP283" i="6" s="1"/>
  <c r="CQ283" i="6" s="1"/>
  <c r="CR283" i="6" s="1"/>
  <c r="CS283" i="6" s="1"/>
  <c r="CT283" i="6" s="1"/>
  <c r="CU283" i="6" s="1"/>
  <c r="CV283" i="6" s="1"/>
  <c r="CW283" i="6" s="1"/>
  <c r="CX283" i="6" s="1"/>
  <c r="CY283" i="6" s="1"/>
  <c r="CZ283" i="6" s="1"/>
  <c r="DA283" i="6" s="1"/>
  <c r="DB283" i="6" s="1"/>
  <c r="DC283" i="6" s="1"/>
  <c r="DD283" i="6" s="1"/>
  <c r="DE283" i="6" s="1"/>
  <c r="S207" i="6"/>
  <c r="T207" i="6" s="1"/>
  <c r="U207" i="6" s="1"/>
  <c r="V207" i="6" s="1"/>
  <c r="W207" i="6" s="1"/>
  <c r="X207" i="6" s="1"/>
  <c r="Y207" i="6" s="1"/>
  <c r="Z207" i="6" s="1"/>
  <c r="AA207" i="6" s="1"/>
  <c r="AB207" i="6" s="1"/>
  <c r="AC207" i="6" s="1"/>
  <c r="AD207" i="6" s="1"/>
  <c r="AE207" i="6" s="1"/>
  <c r="AF207" i="6" s="1"/>
  <c r="AG207" i="6" s="1"/>
  <c r="AH207" i="6" s="1"/>
  <c r="AI207" i="6" s="1"/>
  <c r="AJ207" i="6" s="1"/>
  <c r="AK207" i="6" s="1"/>
  <c r="AL207" i="6" s="1"/>
  <c r="AM207" i="6" s="1"/>
  <c r="AN207" i="6" s="1"/>
  <c r="AO207" i="6" s="1"/>
  <c r="AP207" i="6" s="1"/>
  <c r="AQ207" i="6" s="1"/>
  <c r="AR207" i="6" s="1"/>
  <c r="AS207" i="6" s="1"/>
  <c r="AT207" i="6" s="1"/>
  <c r="AU207" i="6" s="1"/>
  <c r="AV207" i="6" s="1"/>
  <c r="AW207" i="6" s="1"/>
  <c r="AX207" i="6" s="1"/>
  <c r="AY207" i="6" s="1"/>
  <c r="AZ207" i="6" s="1"/>
  <c r="BA207" i="6" s="1"/>
  <c r="BB207" i="6" s="1"/>
  <c r="BC207" i="6" s="1"/>
  <c r="BD207" i="6" s="1"/>
  <c r="BE207" i="6" s="1"/>
  <c r="BF207" i="6" s="1"/>
  <c r="BG207" i="6" s="1"/>
  <c r="BH207" i="6" s="1"/>
  <c r="BI207" i="6" s="1"/>
  <c r="BJ207" i="6" s="1"/>
  <c r="BK207" i="6" s="1"/>
  <c r="BL207" i="6" s="1"/>
  <c r="BM207" i="6" s="1"/>
  <c r="BN207" i="6" s="1"/>
  <c r="BO207" i="6" s="1"/>
  <c r="BP207" i="6" s="1"/>
  <c r="BQ207" i="6" s="1"/>
  <c r="BR207" i="6" s="1"/>
  <c r="BS207" i="6" s="1"/>
  <c r="BT207" i="6" s="1"/>
  <c r="BU207" i="6" s="1"/>
  <c r="BV207" i="6" s="1"/>
  <c r="BW207" i="6" s="1"/>
  <c r="BX207" i="6" s="1"/>
  <c r="BY207" i="6" s="1"/>
  <c r="BZ207" i="6" s="1"/>
  <c r="CA207" i="6" s="1"/>
  <c r="CB207" i="6" s="1"/>
  <c r="CC207" i="6" s="1"/>
  <c r="CD207" i="6" s="1"/>
  <c r="CE207" i="6" s="1"/>
  <c r="CF207" i="6" s="1"/>
  <c r="CG207" i="6" s="1"/>
  <c r="CH207" i="6" s="1"/>
  <c r="CI207" i="6" s="1"/>
  <c r="CJ207" i="6" s="1"/>
  <c r="CK207" i="6" s="1"/>
  <c r="CL207" i="6" s="1"/>
  <c r="CM207" i="6" s="1"/>
  <c r="CN207" i="6" s="1"/>
  <c r="CO207" i="6" s="1"/>
  <c r="CP207" i="6" s="1"/>
  <c r="CQ207" i="6" s="1"/>
  <c r="CR207" i="6" s="1"/>
  <c r="CS207" i="6" s="1"/>
  <c r="CT207" i="6" s="1"/>
  <c r="CU207" i="6" s="1"/>
  <c r="CV207" i="6" s="1"/>
  <c r="CW207" i="6" s="1"/>
  <c r="CX207" i="6" s="1"/>
  <c r="CY207" i="6" s="1"/>
  <c r="CZ207" i="6" s="1"/>
  <c r="DA207" i="6" s="1"/>
  <c r="DB207" i="6" s="1"/>
  <c r="DC207" i="6" s="1"/>
  <c r="DD207" i="6" s="1"/>
  <c r="DE207" i="6" s="1"/>
  <c r="O193" i="6"/>
  <c r="P193" i="6" s="1"/>
  <c r="Q193" i="6" s="1"/>
  <c r="R193" i="6" s="1"/>
  <c r="S193" i="6" s="1"/>
  <c r="T193" i="6" s="1"/>
  <c r="U193" i="6" s="1"/>
  <c r="V193" i="6" s="1"/>
  <c r="W193" i="6" s="1"/>
  <c r="X193" i="6" s="1"/>
  <c r="Y193" i="6" s="1"/>
  <c r="Z193" i="6" s="1"/>
  <c r="AA193" i="6" s="1"/>
  <c r="AB193" i="6" s="1"/>
  <c r="AC193" i="6" s="1"/>
  <c r="AD193" i="6" s="1"/>
  <c r="AE193" i="6" s="1"/>
  <c r="AF193" i="6" s="1"/>
  <c r="AG193" i="6" s="1"/>
  <c r="AH193" i="6" s="1"/>
  <c r="AI193" i="6" s="1"/>
  <c r="AJ193" i="6" s="1"/>
  <c r="AK193" i="6" s="1"/>
  <c r="AL193" i="6" s="1"/>
  <c r="AM193" i="6" s="1"/>
  <c r="AN193" i="6" s="1"/>
  <c r="AO193" i="6" s="1"/>
  <c r="AP193" i="6" s="1"/>
  <c r="AQ193" i="6" s="1"/>
  <c r="AR193" i="6" s="1"/>
  <c r="AS193" i="6" s="1"/>
  <c r="AT193" i="6" s="1"/>
  <c r="AU193" i="6" s="1"/>
  <c r="AV193" i="6" s="1"/>
  <c r="AW193" i="6" s="1"/>
  <c r="AX193" i="6" s="1"/>
  <c r="AY193" i="6" s="1"/>
  <c r="AZ193" i="6" s="1"/>
  <c r="BA193" i="6" s="1"/>
  <c r="BB193" i="6" s="1"/>
  <c r="BC193" i="6" s="1"/>
  <c r="BD193" i="6" s="1"/>
  <c r="BE193" i="6" s="1"/>
  <c r="BF193" i="6" s="1"/>
  <c r="BG193" i="6" s="1"/>
  <c r="BH193" i="6" s="1"/>
  <c r="BI193" i="6" s="1"/>
  <c r="BJ193" i="6" s="1"/>
  <c r="BK193" i="6" s="1"/>
  <c r="BL193" i="6" s="1"/>
  <c r="BM193" i="6" s="1"/>
  <c r="BN193" i="6" s="1"/>
  <c r="BO193" i="6" s="1"/>
  <c r="BP193" i="6" s="1"/>
  <c r="BQ193" i="6" s="1"/>
  <c r="BR193" i="6" s="1"/>
  <c r="BS193" i="6" s="1"/>
  <c r="BT193" i="6" s="1"/>
  <c r="BU193" i="6" s="1"/>
  <c r="BV193" i="6" s="1"/>
  <c r="BW193" i="6" s="1"/>
  <c r="BX193" i="6" s="1"/>
  <c r="BY193" i="6" s="1"/>
  <c r="BZ193" i="6" s="1"/>
  <c r="CA193" i="6" s="1"/>
  <c r="CB193" i="6" s="1"/>
  <c r="CC193" i="6" s="1"/>
  <c r="CD193" i="6" s="1"/>
  <c r="CE193" i="6" s="1"/>
  <c r="CF193" i="6" s="1"/>
  <c r="CG193" i="6" s="1"/>
  <c r="CH193" i="6" s="1"/>
  <c r="CI193" i="6" s="1"/>
  <c r="CJ193" i="6" s="1"/>
  <c r="CK193" i="6" s="1"/>
  <c r="CL193" i="6" s="1"/>
  <c r="CM193" i="6" s="1"/>
  <c r="CN193" i="6" s="1"/>
  <c r="CO193" i="6" s="1"/>
  <c r="CP193" i="6" s="1"/>
  <c r="CQ193" i="6" s="1"/>
  <c r="CR193" i="6" s="1"/>
  <c r="CS193" i="6" s="1"/>
  <c r="CT193" i="6" s="1"/>
  <c r="CU193" i="6" s="1"/>
  <c r="CV193" i="6" s="1"/>
  <c r="CW193" i="6" s="1"/>
  <c r="CX193" i="6" s="1"/>
  <c r="CY193" i="6" s="1"/>
  <c r="CZ193" i="6" s="1"/>
  <c r="DA193" i="6" s="1"/>
  <c r="DB193" i="6" s="1"/>
  <c r="DC193" i="6" s="1"/>
  <c r="DD193" i="6" s="1"/>
  <c r="DE193" i="6" s="1"/>
  <c r="S191" i="6"/>
  <c r="T191" i="6" s="1"/>
  <c r="U191" i="6" s="1"/>
  <c r="V191" i="6" s="1"/>
  <c r="W191" i="6" s="1"/>
  <c r="X191" i="6" s="1"/>
  <c r="Y191" i="6" s="1"/>
  <c r="Z191" i="6" s="1"/>
  <c r="AA191" i="6" s="1"/>
  <c r="AB191" i="6" s="1"/>
  <c r="AC191" i="6" s="1"/>
  <c r="AD191" i="6" s="1"/>
  <c r="AE191" i="6" s="1"/>
  <c r="AF191" i="6" s="1"/>
  <c r="AG191" i="6" s="1"/>
  <c r="AH191" i="6" s="1"/>
  <c r="AI191" i="6" s="1"/>
  <c r="AJ191" i="6" s="1"/>
  <c r="AK191" i="6" s="1"/>
  <c r="AL191" i="6" s="1"/>
  <c r="AM191" i="6" s="1"/>
  <c r="AN191" i="6" s="1"/>
  <c r="AO191" i="6" s="1"/>
  <c r="AP191" i="6" s="1"/>
  <c r="AQ191" i="6" s="1"/>
  <c r="AR191" i="6" s="1"/>
  <c r="AS191" i="6" s="1"/>
  <c r="AT191" i="6" s="1"/>
  <c r="AU191" i="6" s="1"/>
  <c r="AV191" i="6" s="1"/>
  <c r="AW191" i="6" s="1"/>
  <c r="AX191" i="6" s="1"/>
  <c r="AY191" i="6" s="1"/>
  <c r="AZ191" i="6" s="1"/>
  <c r="BA191" i="6" s="1"/>
  <c r="BB191" i="6" s="1"/>
  <c r="BC191" i="6" s="1"/>
  <c r="BD191" i="6" s="1"/>
  <c r="BE191" i="6" s="1"/>
  <c r="BF191" i="6" s="1"/>
  <c r="BG191" i="6" s="1"/>
  <c r="BH191" i="6" s="1"/>
  <c r="BI191" i="6" s="1"/>
  <c r="BJ191" i="6" s="1"/>
  <c r="BK191" i="6" s="1"/>
  <c r="BL191" i="6" s="1"/>
  <c r="BM191" i="6" s="1"/>
  <c r="BN191" i="6" s="1"/>
  <c r="BO191" i="6" s="1"/>
  <c r="BP191" i="6" s="1"/>
  <c r="BQ191" i="6" s="1"/>
  <c r="BR191" i="6" s="1"/>
  <c r="BS191" i="6" s="1"/>
  <c r="BT191" i="6" s="1"/>
  <c r="BU191" i="6" s="1"/>
  <c r="BV191" i="6" s="1"/>
  <c r="BW191" i="6" s="1"/>
  <c r="BX191" i="6" s="1"/>
  <c r="BY191" i="6" s="1"/>
  <c r="BZ191" i="6" s="1"/>
  <c r="CA191" i="6" s="1"/>
  <c r="CB191" i="6" s="1"/>
  <c r="CC191" i="6" s="1"/>
  <c r="CD191" i="6" s="1"/>
  <c r="CE191" i="6" s="1"/>
  <c r="CF191" i="6" s="1"/>
  <c r="CG191" i="6" s="1"/>
  <c r="CH191" i="6" s="1"/>
  <c r="CI191" i="6" s="1"/>
  <c r="CJ191" i="6" s="1"/>
  <c r="CK191" i="6" s="1"/>
  <c r="CL191" i="6" s="1"/>
  <c r="CM191" i="6" s="1"/>
  <c r="CN191" i="6" s="1"/>
  <c r="CO191" i="6" s="1"/>
  <c r="CP191" i="6" s="1"/>
  <c r="CQ191" i="6" s="1"/>
  <c r="CR191" i="6" s="1"/>
  <c r="CS191" i="6" s="1"/>
  <c r="CT191" i="6" s="1"/>
  <c r="CU191" i="6" s="1"/>
  <c r="CV191" i="6" s="1"/>
  <c r="CW191" i="6" s="1"/>
  <c r="CX191" i="6" s="1"/>
  <c r="CY191" i="6" s="1"/>
  <c r="CZ191" i="6" s="1"/>
  <c r="DA191" i="6" s="1"/>
  <c r="DB191" i="6" s="1"/>
  <c r="DC191" i="6" s="1"/>
  <c r="DD191" i="6" s="1"/>
  <c r="DE191" i="6" s="1"/>
  <c r="O96" i="6"/>
  <c r="P96" i="6" s="1"/>
  <c r="Q96" i="6" s="1"/>
  <c r="R96" i="6" s="1"/>
  <c r="S96" i="6" s="1"/>
  <c r="T96" i="6" s="1"/>
  <c r="U96" i="6" s="1"/>
  <c r="V96" i="6" s="1"/>
  <c r="W96" i="6" s="1"/>
  <c r="X96" i="6" s="1"/>
  <c r="Y96" i="6" s="1"/>
  <c r="Z96" i="6" s="1"/>
  <c r="AA96" i="6" s="1"/>
  <c r="AB96" i="6" s="1"/>
  <c r="AC96" i="6" s="1"/>
  <c r="AD96" i="6" s="1"/>
  <c r="AE96" i="6" s="1"/>
  <c r="AF96" i="6" s="1"/>
  <c r="AG96" i="6" s="1"/>
  <c r="AH96" i="6" s="1"/>
  <c r="AI96" i="6" s="1"/>
  <c r="AJ96" i="6" s="1"/>
  <c r="AK96" i="6" s="1"/>
  <c r="AL96" i="6" s="1"/>
  <c r="AM96" i="6" s="1"/>
  <c r="AN96" i="6" s="1"/>
  <c r="AO96" i="6" s="1"/>
  <c r="AP96" i="6" s="1"/>
  <c r="AQ96" i="6" s="1"/>
  <c r="AR96" i="6" s="1"/>
  <c r="AS96" i="6" s="1"/>
  <c r="AT96" i="6" s="1"/>
  <c r="AU96" i="6" s="1"/>
  <c r="AV96" i="6" s="1"/>
  <c r="AW96" i="6" s="1"/>
  <c r="AX96" i="6" s="1"/>
  <c r="AY96" i="6" s="1"/>
  <c r="AZ96" i="6" s="1"/>
  <c r="BA96" i="6" s="1"/>
  <c r="BB96" i="6" s="1"/>
  <c r="BC96" i="6" s="1"/>
  <c r="BD96" i="6" s="1"/>
  <c r="BE96" i="6" s="1"/>
  <c r="BF96" i="6" s="1"/>
  <c r="BG96" i="6" s="1"/>
  <c r="BH96" i="6" s="1"/>
  <c r="BI96" i="6" s="1"/>
  <c r="BJ96" i="6" s="1"/>
  <c r="BK96" i="6" s="1"/>
  <c r="BL96" i="6" s="1"/>
  <c r="BM96" i="6" s="1"/>
  <c r="BN96" i="6" s="1"/>
  <c r="BO96" i="6" s="1"/>
  <c r="BP96" i="6" s="1"/>
  <c r="BQ96" i="6" s="1"/>
  <c r="BR96" i="6" s="1"/>
  <c r="BS96" i="6" s="1"/>
  <c r="BT96" i="6" s="1"/>
  <c r="BU96" i="6" s="1"/>
  <c r="BV96" i="6" s="1"/>
  <c r="BW96" i="6" s="1"/>
  <c r="BX96" i="6" s="1"/>
  <c r="BY96" i="6" s="1"/>
  <c r="BZ96" i="6" s="1"/>
  <c r="CA96" i="6" s="1"/>
  <c r="CB96" i="6" s="1"/>
  <c r="CC96" i="6" s="1"/>
  <c r="CD96" i="6" s="1"/>
  <c r="CE96" i="6" s="1"/>
  <c r="CF96" i="6" s="1"/>
  <c r="CG96" i="6" s="1"/>
  <c r="CH96" i="6" s="1"/>
  <c r="CI96" i="6" s="1"/>
  <c r="CJ96" i="6" s="1"/>
  <c r="CK96" i="6" s="1"/>
  <c r="CL96" i="6" s="1"/>
  <c r="CM96" i="6" s="1"/>
  <c r="CN96" i="6" s="1"/>
  <c r="CO96" i="6" s="1"/>
  <c r="CP96" i="6" s="1"/>
  <c r="CQ96" i="6" s="1"/>
  <c r="CR96" i="6" s="1"/>
  <c r="CS96" i="6" s="1"/>
  <c r="CT96" i="6" s="1"/>
  <c r="CU96" i="6" s="1"/>
  <c r="CV96" i="6" s="1"/>
  <c r="CW96" i="6" s="1"/>
  <c r="CX96" i="6" s="1"/>
  <c r="CY96" i="6" s="1"/>
  <c r="CZ96" i="6" s="1"/>
  <c r="DA96" i="6" s="1"/>
  <c r="DB96" i="6" s="1"/>
  <c r="DC96" i="6" s="1"/>
  <c r="DD96" i="6" s="1"/>
  <c r="DE96" i="6" s="1"/>
  <c r="O65" i="6"/>
  <c r="P65" i="6" s="1"/>
  <c r="Q65" i="6" s="1"/>
  <c r="R65" i="6" s="1"/>
  <c r="S65" i="6" s="1"/>
  <c r="T65" i="6" s="1"/>
  <c r="U65" i="6" s="1"/>
  <c r="V65" i="6" s="1"/>
  <c r="W65" i="6" s="1"/>
  <c r="X65" i="6" s="1"/>
  <c r="Y65" i="6" s="1"/>
  <c r="Z65" i="6" s="1"/>
  <c r="AA65" i="6" s="1"/>
  <c r="AB65" i="6" s="1"/>
  <c r="AC65" i="6" s="1"/>
  <c r="AD65" i="6" s="1"/>
  <c r="AE65" i="6" s="1"/>
  <c r="AF65" i="6" s="1"/>
  <c r="AG65" i="6" s="1"/>
  <c r="AH65" i="6" s="1"/>
  <c r="AI65" i="6" s="1"/>
  <c r="AJ65" i="6" s="1"/>
  <c r="AK65" i="6" s="1"/>
  <c r="AL65" i="6" s="1"/>
  <c r="AM65" i="6" s="1"/>
  <c r="AN65" i="6" s="1"/>
  <c r="AO65" i="6" s="1"/>
  <c r="AP65" i="6" s="1"/>
  <c r="AQ65" i="6" s="1"/>
  <c r="AR65" i="6" s="1"/>
  <c r="AS65" i="6" s="1"/>
  <c r="AT65" i="6" s="1"/>
  <c r="AU65" i="6" s="1"/>
  <c r="AV65" i="6" s="1"/>
  <c r="AW65" i="6" s="1"/>
  <c r="AX65" i="6" s="1"/>
  <c r="AY65" i="6" s="1"/>
  <c r="AZ65" i="6" s="1"/>
  <c r="BA65" i="6" s="1"/>
  <c r="BB65" i="6" s="1"/>
  <c r="BC65" i="6" s="1"/>
  <c r="BD65" i="6" s="1"/>
  <c r="BE65" i="6" s="1"/>
  <c r="BF65" i="6" s="1"/>
  <c r="BG65" i="6" s="1"/>
  <c r="BH65" i="6" s="1"/>
  <c r="BI65" i="6" s="1"/>
  <c r="BJ65" i="6" s="1"/>
  <c r="BK65" i="6" s="1"/>
  <c r="BL65" i="6" s="1"/>
  <c r="BM65" i="6" s="1"/>
  <c r="BN65" i="6" s="1"/>
  <c r="BO65" i="6" s="1"/>
  <c r="BP65" i="6" s="1"/>
  <c r="BQ65" i="6" s="1"/>
  <c r="BR65" i="6" s="1"/>
  <c r="BS65" i="6" s="1"/>
  <c r="BT65" i="6" s="1"/>
  <c r="BU65" i="6" s="1"/>
  <c r="BV65" i="6" s="1"/>
  <c r="BW65" i="6" s="1"/>
  <c r="BX65" i="6" s="1"/>
  <c r="BY65" i="6" s="1"/>
  <c r="BZ65" i="6" s="1"/>
  <c r="CA65" i="6" s="1"/>
  <c r="CB65" i="6" s="1"/>
  <c r="CC65" i="6" s="1"/>
  <c r="CD65" i="6" s="1"/>
  <c r="CE65" i="6" s="1"/>
  <c r="CF65" i="6" s="1"/>
  <c r="CG65" i="6" s="1"/>
  <c r="CH65" i="6" s="1"/>
  <c r="CI65" i="6" s="1"/>
  <c r="CJ65" i="6" s="1"/>
  <c r="CK65" i="6" s="1"/>
  <c r="CL65" i="6" s="1"/>
  <c r="CM65" i="6" s="1"/>
  <c r="CN65" i="6" s="1"/>
  <c r="CO65" i="6" s="1"/>
  <c r="CP65" i="6" s="1"/>
  <c r="CQ65" i="6" s="1"/>
  <c r="CR65" i="6" s="1"/>
  <c r="CS65" i="6" s="1"/>
  <c r="CT65" i="6" s="1"/>
  <c r="CU65" i="6" s="1"/>
  <c r="CV65" i="6" s="1"/>
  <c r="CW65" i="6" s="1"/>
  <c r="CX65" i="6" s="1"/>
  <c r="CY65" i="6" s="1"/>
  <c r="CZ65" i="6" s="1"/>
  <c r="DA65" i="6" s="1"/>
  <c r="DB65" i="6" s="1"/>
  <c r="DC65" i="6" s="1"/>
  <c r="DD65" i="6" s="1"/>
  <c r="DE65" i="6" s="1"/>
  <c r="J397" i="6"/>
  <c r="E402" i="6" s="1"/>
  <c r="JE69" i="4"/>
  <c r="P71" i="4"/>
  <c r="Q71" i="4"/>
  <c r="R71" i="4" s="1"/>
  <c r="S71" i="4" s="1"/>
  <c r="K59" i="4"/>
  <c r="L59" i="4" s="1"/>
  <c r="M59" i="4" s="1"/>
  <c r="N59" i="4" s="1"/>
  <c r="O59" i="4" s="1"/>
  <c r="P59" i="4" s="1"/>
  <c r="Q59" i="4" s="1"/>
  <c r="R59" i="4" s="1"/>
  <c r="S59" i="4" s="1"/>
  <c r="T59" i="4" s="1"/>
  <c r="U59" i="4" s="1"/>
  <c r="V59" i="4" s="1"/>
  <c r="W59" i="4" s="1"/>
  <c r="X59" i="4" s="1"/>
  <c r="Y59" i="4" s="1"/>
  <c r="Z59" i="4" s="1"/>
  <c r="AA59" i="4" s="1"/>
  <c r="AB59" i="4" s="1"/>
  <c r="AC59" i="4" s="1"/>
  <c r="AD59" i="4" s="1"/>
  <c r="AE59" i="4" s="1"/>
  <c r="AF59" i="4" s="1"/>
  <c r="AG59" i="4" s="1"/>
  <c r="AH59" i="4" s="1"/>
  <c r="AI59" i="4" s="1"/>
  <c r="AJ59" i="4" s="1"/>
  <c r="AK59" i="4" s="1"/>
  <c r="AL59" i="4" s="1"/>
  <c r="AM59" i="4" s="1"/>
  <c r="AN59" i="4" s="1"/>
  <c r="AO59" i="4" s="1"/>
  <c r="AP59" i="4" s="1"/>
  <c r="AQ59" i="4" s="1"/>
  <c r="AR59" i="4" s="1"/>
  <c r="AS59" i="4" s="1"/>
  <c r="AT59" i="4" s="1"/>
  <c r="AU59" i="4" s="1"/>
  <c r="AV59" i="4" s="1"/>
  <c r="AW59" i="4" s="1"/>
  <c r="AX59" i="4" s="1"/>
  <c r="AY59" i="4" s="1"/>
  <c r="AZ59" i="4" s="1"/>
  <c r="BA59" i="4" s="1"/>
  <c r="BB59" i="4" s="1"/>
  <c r="BC59" i="4" s="1"/>
  <c r="BD59" i="4" s="1"/>
  <c r="BE59" i="4" s="1"/>
  <c r="BF59" i="4" s="1"/>
  <c r="BG59" i="4" s="1"/>
  <c r="BH59" i="4" s="1"/>
  <c r="BI59" i="4" s="1"/>
  <c r="BJ59" i="4" s="1"/>
  <c r="BK59" i="4" s="1"/>
  <c r="BL59" i="4" s="1"/>
  <c r="BM59" i="4" s="1"/>
  <c r="BN59" i="4" s="1"/>
  <c r="BO59" i="4" s="1"/>
  <c r="BP59" i="4" s="1"/>
  <c r="BQ59" i="4" s="1"/>
  <c r="BR59" i="4" s="1"/>
  <c r="BS59" i="4" s="1"/>
  <c r="BT59" i="4" s="1"/>
  <c r="BU59" i="4" s="1"/>
  <c r="BV59" i="4" s="1"/>
  <c r="BW59" i="4" s="1"/>
  <c r="BX59" i="4" s="1"/>
  <c r="BY59" i="4" s="1"/>
  <c r="BZ59" i="4" s="1"/>
  <c r="CA59" i="4" s="1"/>
  <c r="CB59" i="4" s="1"/>
  <c r="CC59" i="4" s="1"/>
  <c r="CD59" i="4" s="1"/>
  <c r="CE59" i="4" s="1"/>
  <c r="CF59" i="4" s="1"/>
  <c r="CG59" i="4" s="1"/>
  <c r="CH59" i="4" s="1"/>
  <c r="CI59" i="4" s="1"/>
  <c r="CJ59" i="4" s="1"/>
  <c r="CK59" i="4" s="1"/>
  <c r="CL59" i="4" s="1"/>
  <c r="CM59" i="4" s="1"/>
  <c r="CN59" i="4" s="1"/>
  <c r="CO59" i="4" s="1"/>
  <c r="CP59" i="4" s="1"/>
  <c r="CQ59" i="4" s="1"/>
  <c r="CR59" i="4" s="1"/>
  <c r="CS59" i="4" s="1"/>
  <c r="CT59" i="4" s="1"/>
  <c r="CU59" i="4" s="1"/>
  <c r="CV59" i="4" s="1"/>
  <c r="CW59" i="4" s="1"/>
  <c r="CX59" i="4" s="1"/>
  <c r="CY59" i="4" s="1"/>
  <c r="CZ59" i="4" s="1"/>
  <c r="DA59" i="4" s="1"/>
  <c r="DB59" i="4" s="1"/>
  <c r="DC59" i="4" s="1"/>
  <c r="DD59" i="4" s="1"/>
  <c r="DE59" i="4" s="1"/>
  <c r="DF59" i="4" s="1"/>
  <c r="DG59" i="4" s="1"/>
  <c r="DH59" i="4" s="1"/>
  <c r="DI59" i="4" s="1"/>
  <c r="DJ59" i="4" s="1"/>
  <c r="DK59" i="4" s="1"/>
  <c r="DL59" i="4" s="1"/>
  <c r="DM59" i="4" s="1"/>
  <c r="DN59" i="4" s="1"/>
  <c r="DO59" i="4" s="1"/>
  <c r="DP59" i="4" s="1"/>
  <c r="DQ59" i="4" s="1"/>
  <c r="DR59" i="4" s="1"/>
  <c r="DS59" i="4" s="1"/>
  <c r="DT59" i="4" s="1"/>
  <c r="DU59" i="4" s="1"/>
  <c r="DV59" i="4" s="1"/>
  <c r="DW59" i="4" s="1"/>
  <c r="DX59" i="4" s="1"/>
  <c r="DY59" i="4" s="1"/>
  <c r="DZ59" i="4" s="1"/>
  <c r="EA59" i="4" s="1"/>
  <c r="EB59" i="4" s="1"/>
  <c r="EC59" i="4" s="1"/>
  <c r="ED59" i="4" s="1"/>
  <c r="EE59" i="4" s="1"/>
  <c r="EF59" i="4" s="1"/>
  <c r="EG59" i="4" s="1"/>
  <c r="EH59" i="4" s="1"/>
  <c r="EI59" i="4" s="1"/>
  <c r="EJ59" i="4" s="1"/>
  <c r="EK59" i="4" s="1"/>
  <c r="EL59" i="4" s="1"/>
  <c r="EM59" i="4" s="1"/>
  <c r="EN59" i="4" s="1"/>
  <c r="EO59" i="4" s="1"/>
  <c r="EP59" i="4" s="1"/>
  <c r="EQ59" i="4" s="1"/>
  <c r="ER59" i="4" s="1"/>
  <c r="ES59" i="4" s="1"/>
  <c r="J82" i="4"/>
  <c r="E87" i="4" s="1"/>
  <c r="JE73" i="4"/>
  <c r="H82" i="4"/>
  <c r="J6" i="7" s="1"/>
  <c r="L3" i="6"/>
  <c r="L106" i="6"/>
  <c r="M106" i="6" s="1"/>
  <c r="N106" i="6" s="1"/>
  <c r="L59" i="6"/>
  <c r="M59" i="6" s="1"/>
  <c r="N59" i="6" s="1"/>
  <c r="O59" i="6" s="1"/>
  <c r="P59" i="6" s="1"/>
  <c r="Q59" i="6" s="1"/>
  <c r="R59" i="6" s="1"/>
  <c r="S59" i="6" s="1"/>
  <c r="T59" i="6" s="1"/>
  <c r="U59" i="6" s="1"/>
  <c r="V59" i="6" s="1"/>
  <c r="W59" i="6" s="1"/>
  <c r="X59" i="6" s="1"/>
  <c r="Y59" i="6" s="1"/>
  <c r="Z59" i="6" s="1"/>
  <c r="AA59" i="6" s="1"/>
  <c r="AB59" i="6" s="1"/>
  <c r="AC59" i="6" s="1"/>
  <c r="AD59" i="6" s="1"/>
  <c r="AE59" i="6" s="1"/>
  <c r="AF59" i="6" s="1"/>
  <c r="AG59" i="6" s="1"/>
  <c r="AH59" i="6" s="1"/>
  <c r="AI59" i="6" s="1"/>
  <c r="AJ59" i="6" s="1"/>
  <c r="AK59" i="6" s="1"/>
  <c r="AL59" i="6" s="1"/>
  <c r="AM59" i="6" s="1"/>
  <c r="AN59" i="6" s="1"/>
  <c r="AO59" i="6" s="1"/>
  <c r="AP59" i="6" s="1"/>
  <c r="AQ59" i="6" s="1"/>
  <c r="AR59" i="6" s="1"/>
  <c r="AS59" i="6" s="1"/>
  <c r="AT59" i="6" s="1"/>
  <c r="AU59" i="6" s="1"/>
  <c r="AV59" i="6" s="1"/>
  <c r="AW59" i="6" s="1"/>
  <c r="AX59" i="6" s="1"/>
  <c r="AY59" i="6" s="1"/>
  <c r="AZ59" i="6" s="1"/>
  <c r="BA59" i="6" s="1"/>
  <c r="BB59" i="6" s="1"/>
  <c r="BC59" i="6" s="1"/>
  <c r="BD59" i="6" s="1"/>
  <c r="BE59" i="6" s="1"/>
  <c r="BF59" i="6" s="1"/>
  <c r="BG59" i="6" s="1"/>
  <c r="BH59" i="6" s="1"/>
  <c r="BI59" i="6" s="1"/>
  <c r="BJ59" i="6" s="1"/>
  <c r="BK59" i="6" s="1"/>
  <c r="BL59" i="6" s="1"/>
  <c r="BM59" i="6" s="1"/>
  <c r="BN59" i="6" s="1"/>
  <c r="BO59" i="6" s="1"/>
  <c r="BP59" i="6" s="1"/>
  <c r="BQ59" i="6" s="1"/>
  <c r="BR59" i="6" s="1"/>
  <c r="BS59" i="6" s="1"/>
  <c r="BT59" i="6" s="1"/>
  <c r="BU59" i="6" s="1"/>
  <c r="BV59" i="6" s="1"/>
  <c r="BW59" i="6" s="1"/>
  <c r="BX59" i="6" s="1"/>
  <c r="BY59" i="6" s="1"/>
  <c r="BZ59" i="6" s="1"/>
  <c r="CA59" i="6" s="1"/>
  <c r="CB59" i="6" s="1"/>
  <c r="CC59" i="6" s="1"/>
  <c r="CD59" i="6" s="1"/>
  <c r="CE59" i="6" s="1"/>
  <c r="CF59" i="6" s="1"/>
  <c r="CG59" i="6" s="1"/>
  <c r="CH59" i="6" s="1"/>
  <c r="CI59" i="6" s="1"/>
  <c r="CJ59" i="6" s="1"/>
  <c r="CK59" i="6" s="1"/>
  <c r="CL59" i="6" s="1"/>
  <c r="CM59" i="6" s="1"/>
  <c r="CN59" i="6" s="1"/>
  <c r="CO59" i="6" s="1"/>
  <c r="CP59" i="6" s="1"/>
  <c r="CQ59" i="6" s="1"/>
  <c r="CR59" i="6" s="1"/>
  <c r="CS59" i="6" s="1"/>
  <c r="CT59" i="6" s="1"/>
  <c r="CU59" i="6" s="1"/>
  <c r="CV59" i="6" s="1"/>
  <c r="CW59" i="6" s="1"/>
  <c r="CX59" i="6" s="1"/>
  <c r="CY59" i="6" s="1"/>
  <c r="CZ59" i="6" s="1"/>
  <c r="DA59" i="6" s="1"/>
  <c r="DB59" i="6" s="1"/>
  <c r="DC59" i="6" s="1"/>
  <c r="DD59" i="6" s="1"/>
  <c r="DE59" i="6" s="1"/>
  <c r="L249" i="6"/>
  <c r="M249" i="6" s="1"/>
  <c r="N249" i="6" s="1"/>
  <c r="L245" i="6"/>
  <c r="M245" i="6" s="1"/>
  <c r="N245" i="6" s="1"/>
  <c r="L215" i="6"/>
  <c r="L199" i="6"/>
  <c r="L110" i="6"/>
  <c r="L289" i="6"/>
  <c r="M289" i="6" s="1"/>
  <c r="N289" i="6" s="1"/>
  <c r="L69" i="6"/>
  <c r="M69" i="6" s="1"/>
  <c r="N69" i="6" s="1"/>
  <c r="K263" i="6"/>
  <c r="L263" i="6" s="1"/>
  <c r="M263" i="6" s="1"/>
  <c r="N263" i="6" s="1"/>
  <c r="L100" i="6"/>
  <c r="M100" i="6" s="1"/>
  <c r="N100" i="6" s="1"/>
  <c r="O100" i="6" s="1"/>
  <c r="P100" i="6" s="1"/>
  <c r="Q100" i="6" s="1"/>
  <c r="R100" i="6" s="1"/>
  <c r="S100" i="6" s="1"/>
  <c r="T100" i="6" s="1"/>
  <c r="U100" i="6" s="1"/>
  <c r="V100" i="6" s="1"/>
  <c r="W100" i="6" s="1"/>
  <c r="X100" i="6" s="1"/>
  <c r="Y100" i="6" s="1"/>
  <c r="Z100" i="6" s="1"/>
  <c r="AA100" i="6" s="1"/>
  <c r="AB100" i="6" s="1"/>
  <c r="AC100" i="6" s="1"/>
  <c r="AD100" i="6" s="1"/>
  <c r="AE100" i="6" s="1"/>
  <c r="AF100" i="6" s="1"/>
  <c r="AG100" i="6" s="1"/>
  <c r="AH100" i="6" s="1"/>
  <c r="AI100" i="6" s="1"/>
  <c r="AJ100" i="6" s="1"/>
  <c r="AK100" i="6" s="1"/>
  <c r="AL100" i="6" s="1"/>
  <c r="AM100" i="6" s="1"/>
  <c r="AN100" i="6" s="1"/>
  <c r="AO100" i="6" s="1"/>
  <c r="AP100" i="6" s="1"/>
  <c r="AQ100" i="6" s="1"/>
  <c r="AR100" i="6" s="1"/>
  <c r="AS100" i="6" s="1"/>
  <c r="AT100" i="6" s="1"/>
  <c r="AU100" i="6" s="1"/>
  <c r="AV100" i="6" s="1"/>
  <c r="AW100" i="6" s="1"/>
  <c r="AX100" i="6" s="1"/>
  <c r="AY100" i="6" s="1"/>
  <c r="AZ100" i="6" s="1"/>
  <c r="BA100" i="6" s="1"/>
  <c r="BB100" i="6" s="1"/>
  <c r="BC100" i="6" s="1"/>
  <c r="BD100" i="6" s="1"/>
  <c r="BE100" i="6" s="1"/>
  <c r="BF100" i="6" s="1"/>
  <c r="BG100" i="6" s="1"/>
  <c r="BH100" i="6" s="1"/>
  <c r="BI100" i="6" s="1"/>
  <c r="BJ100" i="6" s="1"/>
  <c r="BK100" i="6" s="1"/>
  <c r="BL100" i="6" s="1"/>
  <c r="BM100" i="6" s="1"/>
  <c r="BN100" i="6" s="1"/>
  <c r="BO100" i="6" s="1"/>
  <c r="BP100" i="6" s="1"/>
  <c r="BQ100" i="6" s="1"/>
  <c r="BR100" i="6" s="1"/>
  <c r="BS100" i="6" s="1"/>
  <c r="BT100" i="6" s="1"/>
  <c r="BU100" i="6" s="1"/>
  <c r="BV100" i="6" s="1"/>
  <c r="BW100" i="6" s="1"/>
  <c r="BX100" i="6" s="1"/>
  <c r="BY100" i="6" s="1"/>
  <c r="BZ100" i="6" s="1"/>
  <c r="CA100" i="6" s="1"/>
  <c r="CB100" i="6" s="1"/>
  <c r="CC100" i="6" s="1"/>
  <c r="CD100" i="6" s="1"/>
  <c r="CE100" i="6" s="1"/>
  <c r="CF100" i="6" s="1"/>
  <c r="CG100" i="6" s="1"/>
  <c r="CH100" i="6" s="1"/>
  <c r="CI100" i="6" s="1"/>
  <c r="CJ100" i="6" s="1"/>
  <c r="CK100" i="6" s="1"/>
  <c r="CL100" i="6" s="1"/>
  <c r="CM100" i="6" s="1"/>
  <c r="CN100" i="6" s="1"/>
  <c r="CO100" i="6" s="1"/>
  <c r="CP100" i="6" s="1"/>
  <c r="CQ100" i="6" s="1"/>
  <c r="CR100" i="6" s="1"/>
  <c r="CS100" i="6" s="1"/>
  <c r="CT100" i="6" s="1"/>
  <c r="CU100" i="6" s="1"/>
  <c r="CV100" i="6" s="1"/>
  <c r="CW100" i="6" s="1"/>
  <c r="CX100" i="6" s="1"/>
  <c r="CY100" i="6" s="1"/>
  <c r="CZ100" i="6" s="1"/>
  <c r="DA100" i="6" s="1"/>
  <c r="DB100" i="6" s="1"/>
  <c r="DC100" i="6" s="1"/>
  <c r="DD100" i="6" s="1"/>
  <c r="DE100" i="6" s="1"/>
  <c r="L247" i="6"/>
  <c r="M247" i="6" s="1"/>
  <c r="N247" i="6" s="1"/>
  <c r="L112" i="6"/>
  <c r="M112" i="6" s="1"/>
  <c r="N112" i="6" s="1"/>
  <c r="L108" i="6"/>
  <c r="M108" i="6" s="1"/>
  <c r="N108" i="6" s="1"/>
  <c r="L291" i="6"/>
  <c r="M291" i="6" s="1"/>
  <c r="N291" i="6" s="1"/>
  <c r="L94" i="6"/>
  <c r="M94" i="6" s="1"/>
  <c r="N94" i="6" s="1"/>
  <c r="L61" i="6"/>
  <c r="M61" i="6" s="1"/>
  <c r="N61" i="6" s="1"/>
  <c r="O61" i="6" s="1"/>
  <c r="P61" i="6" s="1"/>
  <c r="Q61" i="6" s="1"/>
  <c r="R61" i="6" s="1"/>
  <c r="S61" i="6" s="1"/>
  <c r="T61" i="6" s="1"/>
  <c r="U61" i="6" s="1"/>
  <c r="V61" i="6" s="1"/>
  <c r="W61" i="6" s="1"/>
  <c r="X61" i="6" s="1"/>
  <c r="Y61" i="6" s="1"/>
  <c r="Z61" i="6" s="1"/>
  <c r="AA61" i="6" s="1"/>
  <c r="AB61" i="6" s="1"/>
  <c r="AC61" i="6" s="1"/>
  <c r="AD61" i="6" s="1"/>
  <c r="AE61" i="6" s="1"/>
  <c r="AF61" i="6" s="1"/>
  <c r="AG61" i="6" s="1"/>
  <c r="AH61" i="6" s="1"/>
  <c r="AI61" i="6" s="1"/>
  <c r="AJ61" i="6" s="1"/>
  <c r="AK61" i="6" s="1"/>
  <c r="AL61" i="6" s="1"/>
  <c r="AM61" i="6" s="1"/>
  <c r="AN61" i="6" s="1"/>
  <c r="AO61" i="6" s="1"/>
  <c r="AP61" i="6" s="1"/>
  <c r="AQ61" i="6" s="1"/>
  <c r="AR61" i="6" s="1"/>
  <c r="AS61" i="6" s="1"/>
  <c r="AT61" i="6" s="1"/>
  <c r="AU61" i="6" s="1"/>
  <c r="AV61" i="6" s="1"/>
  <c r="AW61" i="6" s="1"/>
  <c r="AX61" i="6" s="1"/>
  <c r="AY61" i="6" s="1"/>
  <c r="AZ61" i="6" s="1"/>
  <c r="BA61" i="6" s="1"/>
  <c r="BB61" i="6" s="1"/>
  <c r="BC61" i="6" s="1"/>
  <c r="BD61" i="6" s="1"/>
  <c r="BE61" i="6" s="1"/>
  <c r="BF61" i="6" s="1"/>
  <c r="BG61" i="6" s="1"/>
  <c r="BH61" i="6" s="1"/>
  <c r="BI61" i="6" s="1"/>
  <c r="BJ61" i="6" s="1"/>
  <c r="BK61" i="6" s="1"/>
  <c r="BL61" i="6" s="1"/>
  <c r="BM61" i="6" s="1"/>
  <c r="BN61" i="6" s="1"/>
  <c r="BO61" i="6" s="1"/>
  <c r="BP61" i="6" s="1"/>
  <c r="BQ61" i="6" s="1"/>
  <c r="BR61" i="6" s="1"/>
  <c r="BS61" i="6" s="1"/>
  <c r="BT61" i="6" s="1"/>
  <c r="BU61" i="6" s="1"/>
  <c r="BV61" i="6" s="1"/>
  <c r="BW61" i="6" s="1"/>
  <c r="BX61" i="6" s="1"/>
  <c r="BY61" i="6" s="1"/>
  <c r="BZ61" i="6" s="1"/>
  <c r="CA61" i="6" s="1"/>
  <c r="CB61" i="6" s="1"/>
  <c r="CC61" i="6" s="1"/>
  <c r="CD61" i="6" s="1"/>
  <c r="CE61" i="6" s="1"/>
  <c r="CF61" i="6" s="1"/>
  <c r="CG61" i="6" s="1"/>
  <c r="CH61" i="6" s="1"/>
  <c r="CI61" i="6" s="1"/>
  <c r="CJ61" i="6" s="1"/>
  <c r="CK61" i="6" s="1"/>
  <c r="CL61" i="6" s="1"/>
  <c r="CM61" i="6" s="1"/>
  <c r="CN61" i="6" s="1"/>
  <c r="CO61" i="6" s="1"/>
  <c r="CP61" i="6" s="1"/>
  <c r="CQ61" i="6" s="1"/>
  <c r="CR61" i="6" s="1"/>
  <c r="CS61" i="6" s="1"/>
  <c r="CT61" i="6" s="1"/>
  <c r="CU61" i="6" s="1"/>
  <c r="CV61" i="6" s="1"/>
  <c r="CW61" i="6" s="1"/>
  <c r="CX61" i="6" s="1"/>
  <c r="CY61" i="6" s="1"/>
  <c r="CZ61" i="6" s="1"/>
  <c r="DA61" i="6" s="1"/>
  <c r="DB61" i="6" s="1"/>
  <c r="DC61" i="6" s="1"/>
  <c r="DD61" i="6" s="1"/>
  <c r="DE61" i="6" s="1"/>
  <c r="K25" i="6"/>
  <c r="L25" i="6" s="1"/>
  <c r="M25" i="6" s="1"/>
  <c r="N25" i="6" s="1"/>
  <c r="K57" i="6"/>
  <c r="K277" i="6"/>
  <c r="K235" i="6"/>
  <c r="L3" i="5"/>
  <c r="L8" i="5" s="1"/>
  <c r="G14" i="5" s="1"/>
  <c r="BS25" i="4"/>
  <c r="R3" i="4"/>
  <c r="L3" i="4"/>
  <c r="BP72" i="1"/>
  <c r="K37" i="4"/>
  <c r="L37" i="4" s="1"/>
  <c r="M37" i="4" s="1"/>
  <c r="N37" i="4" s="1"/>
  <c r="O37" i="4" s="1"/>
  <c r="P37" i="4" s="1"/>
  <c r="Q37" i="4" s="1"/>
  <c r="R37" i="4" s="1"/>
  <c r="S37" i="4" s="1"/>
  <c r="T37" i="4" s="1"/>
  <c r="U37" i="4" s="1"/>
  <c r="V37" i="4" s="1"/>
  <c r="W37" i="4" s="1"/>
  <c r="X37" i="4" s="1"/>
  <c r="Y37" i="4" s="1"/>
  <c r="Z37" i="4" s="1"/>
  <c r="AA37" i="4" s="1"/>
  <c r="AB37" i="4" s="1"/>
  <c r="AC37" i="4" s="1"/>
  <c r="AD37" i="4" s="1"/>
  <c r="AE37" i="4" s="1"/>
  <c r="AF37" i="4" s="1"/>
  <c r="AG37" i="4" s="1"/>
  <c r="AH37" i="4" s="1"/>
  <c r="AI37" i="4" s="1"/>
  <c r="AJ37" i="4" s="1"/>
  <c r="AK37" i="4" s="1"/>
  <c r="AL37" i="4" s="1"/>
  <c r="AM37" i="4" s="1"/>
  <c r="AN37" i="4" s="1"/>
  <c r="AO37" i="4" s="1"/>
  <c r="AP37" i="4" s="1"/>
  <c r="AQ37" i="4" s="1"/>
  <c r="AR37" i="4" s="1"/>
  <c r="AS37" i="4" s="1"/>
  <c r="AT37" i="4" s="1"/>
  <c r="AU37" i="4" s="1"/>
  <c r="AV37" i="4" s="1"/>
  <c r="AW37" i="4" s="1"/>
  <c r="AX37" i="4" s="1"/>
  <c r="AY37" i="4" s="1"/>
  <c r="AZ37" i="4" s="1"/>
  <c r="BA37" i="4" s="1"/>
  <c r="BB37" i="4" s="1"/>
  <c r="BC37" i="4" s="1"/>
  <c r="BD37" i="4" s="1"/>
  <c r="BE37" i="4" s="1"/>
  <c r="BF37" i="4" s="1"/>
  <c r="BG37" i="4" s="1"/>
  <c r="BH37" i="4" s="1"/>
  <c r="BI37" i="4" s="1"/>
  <c r="BJ37" i="4" s="1"/>
  <c r="BK37" i="4" s="1"/>
  <c r="BL37" i="4" s="1"/>
  <c r="BM37" i="4" s="1"/>
  <c r="BN37" i="4" s="1"/>
  <c r="BO37" i="4" s="1"/>
  <c r="BP37" i="4" s="1"/>
  <c r="BQ37" i="4" s="1"/>
  <c r="BR37" i="4" s="1"/>
  <c r="BS37" i="4" s="1"/>
  <c r="BT37" i="4" s="1"/>
  <c r="BU37" i="4" s="1"/>
  <c r="BV37" i="4" s="1"/>
  <c r="BW37" i="4" s="1"/>
  <c r="BX37" i="4" s="1"/>
  <c r="BY37" i="4" s="1"/>
  <c r="BZ37" i="4" s="1"/>
  <c r="CA37" i="4" s="1"/>
  <c r="CB37" i="4" s="1"/>
  <c r="CC37" i="4" s="1"/>
  <c r="CD37" i="4" s="1"/>
  <c r="CE37" i="4" s="1"/>
  <c r="CF37" i="4" s="1"/>
  <c r="CG37" i="4" s="1"/>
  <c r="CH37" i="4" s="1"/>
  <c r="CI37" i="4" s="1"/>
  <c r="CJ37" i="4" s="1"/>
  <c r="CK37" i="4" s="1"/>
  <c r="CL37" i="4" s="1"/>
  <c r="CM37" i="4" s="1"/>
  <c r="CN37" i="4" s="1"/>
  <c r="CO37" i="4" s="1"/>
  <c r="CP37" i="4" s="1"/>
  <c r="CQ37" i="4" s="1"/>
  <c r="CR37" i="4" s="1"/>
  <c r="CS37" i="4" s="1"/>
  <c r="CT37" i="4" s="1"/>
  <c r="CU37" i="4" s="1"/>
  <c r="CV37" i="4" s="1"/>
  <c r="CW37" i="4" s="1"/>
  <c r="CX37" i="4" s="1"/>
  <c r="CY37" i="4" s="1"/>
  <c r="CZ37" i="4" s="1"/>
  <c r="DA37" i="4" s="1"/>
  <c r="DB37" i="4" s="1"/>
  <c r="DC37" i="4" s="1"/>
  <c r="DD37" i="4" s="1"/>
  <c r="DE37" i="4" s="1"/>
  <c r="DF37" i="4" s="1"/>
  <c r="DG37" i="4" s="1"/>
  <c r="DH37" i="4" s="1"/>
  <c r="DI37" i="4" s="1"/>
  <c r="DJ37" i="4" s="1"/>
  <c r="DK37" i="4" s="1"/>
  <c r="DL37" i="4" s="1"/>
  <c r="DM37" i="4" s="1"/>
  <c r="DN37" i="4" s="1"/>
  <c r="DO37" i="4" s="1"/>
  <c r="DP37" i="4" s="1"/>
  <c r="DQ37" i="4" s="1"/>
  <c r="DR37" i="4" s="1"/>
  <c r="DS37" i="4" s="1"/>
  <c r="DT37" i="4" s="1"/>
  <c r="DU37" i="4" s="1"/>
  <c r="DV37" i="4" s="1"/>
  <c r="DW37" i="4" s="1"/>
  <c r="DX37" i="4" s="1"/>
  <c r="DY37" i="4" s="1"/>
  <c r="DZ37" i="4" s="1"/>
  <c r="EA37" i="4" s="1"/>
  <c r="EB37" i="4" s="1"/>
  <c r="EC37" i="4" s="1"/>
  <c r="ED37" i="4" s="1"/>
  <c r="EE37" i="4" s="1"/>
  <c r="EF37" i="4" s="1"/>
  <c r="EG37" i="4" s="1"/>
  <c r="EH37" i="4" s="1"/>
  <c r="EI37" i="4" s="1"/>
  <c r="EJ37" i="4" s="1"/>
  <c r="EK37" i="4" s="1"/>
  <c r="EL37" i="4" s="1"/>
  <c r="EM37" i="4" s="1"/>
  <c r="EN37" i="4" s="1"/>
  <c r="EO37" i="4" s="1"/>
  <c r="EP37" i="4" s="1"/>
  <c r="EQ37" i="4" s="1"/>
  <c r="ER37" i="4" s="1"/>
  <c r="ES37" i="4" s="1"/>
  <c r="K49" i="4"/>
  <c r="L49" i="4" s="1"/>
  <c r="M49" i="4" s="1"/>
  <c r="N49" i="4" s="1"/>
  <c r="O49" i="4" s="1"/>
  <c r="P49" i="4" s="1"/>
  <c r="Q49" i="4" s="1"/>
  <c r="R49" i="4" s="1"/>
  <c r="S49" i="4" s="1"/>
  <c r="T49" i="4" s="1"/>
  <c r="U49" i="4" s="1"/>
  <c r="V49" i="4" s="1"/>
  <c r="W49" i="4" s="1"/>
  <c r="X49" i="4" s="1"/>
  <c r="Y49" i="4" s="1"/>
  <c r="Z49" i="4" s="1"/>
  <c r="AA49" i="4" s="1"/>
  <c r="AB49" i="4" s="1"/>
  <c r="AC49" i="4" s="1"/>
  <c r="AD49" i="4" s="1"/>
  <c r="AE49" i="4" s="1"/>
  <c r="AF49" i="4" s="1"/>
  <c r="AG49" i="4" s="1"/>
  <c r="AH49" i="4" s="1"/>
  <c r="AI49" i="4" s="1"/>
  <c r="AJ49" i="4" s="1"/>
  <c r="AK49" i="4" s="1"/>
  <c r="AL49" i="4" s="1"/>
  <c r="AM49" i="4" s="1"/>
  <c r="AN49" i="4" s="1"/>
  <c r="AO49" i="4" s="1"/>
  <c r="AP49" i="4" s="1"/>
  <c r="AQ49" i="4" s="1"/>
  <c r="AR49" i="4" s="1"/>
  <c r="AS49" i="4" s="1"/>
  <c r="AT49" i="4" s="1"/>
  <c r="AU49" i="4" s="1"/>
  <c r="AV49" i="4" s="1"/>
  <c r="AW49" i="4" s="1"/>
  <c r="AX49" i="4" s="1"/>
  <c r="AY49" i="4" s="1"/>
  <c r="AZ49" i="4" s="1"/>
  <c r="BA49" i="4" s="1"/>
  <c r="BB49" i="4" s="1"/>
  <c r="BC49" i="4" s="1"/>
  <c r="BD49" i="4" s="1"/>
  <c r="BE49" i="4" s="1"/>
  <c r="BF49" i="4" s="1"/>
  <c r="BG49" i="4" s="1"/>
  <c r="BH49" i="4" s="1"/>
  <c r="BI49" i="4" s="1"/>
  <c r="BJ49" i="4" s="1"/>
  <c r="BK49" i="4" s="1"/>
  <c r="BL49" i="4" s="1"/>
  <c r="BM49" i="4" s="1"/>
  <c r="BN49" i="4" s="1"/>
  <c r="BO49" i="4" s="1"/>
  <c r="BP49" i="4" s="1"/>
  <c r="BQ49" i="4" s="1"/>
  <c r="BR49" i="4" s="1"/>
  <c r="BS49" i="4" s="1"/>
  <c r="BT49" i="4" s="1"/>
  <c r="BU49" i="4" s="1"/>
  <c r="BV49" i="4" s="1"/>
  <c r="BW49" i="4" s="1"/>
  <c r="BX49" i="4" s="1"/>
  <c r="BY49" i="4" s="1"/>
  <c r="BZ49" i="4" s="1"/>
  <c r="CA49" i="4" s="1"/>
  <c r="CB49" i="4" s="1"/>
  <c r="CC49" i="4" s="1"/>
  <c r="CD49" i="4" s="1"/>
  <c r="CE49" i="4" s="1"/>
  <c r="CF49" i="4" s="1"/>
  <c r="CG49" i="4" s="1"/>
  <c r="CH49" i="4" s="1"/>
  <c r="CI49" i="4" s="1"/>
  <c r="CJ49" i="4" s="1"/>
  <c r="CK49" i="4" s="1"/>
  <c r="CL49" i="4" s="1"/>
  <c r="CM49" i="4" s="1"/>
  <c r="CN49" i="4" s="1"/>
  <c r="CO49" i="4" s="1"/>
  <c r="CP49" i="4" s="1"/>
  <c r="CQ49" i="4" s="1"/>
  <c r="CR49" i="4" s="1"/>
  <c r="CS49" i="4" s="1"/>
  <c r="CT49" i="4" s="1"/>
  <c r="CU49" i="4" s="1"/>
  <c r="CV49" i="4" s="1"/>
  <c r="CW49" i="4" s="1"/>
  <c r="CX49" i="4" s="1"/>
  <c r="CY49" i="4" s="1"/>
  <c r="CZ49" i="4" s="1"/>
  <c r="DA49" i="4" s="1"/>
  <c r="DB49" i="4" s="1"/>
  <c r="DC49" i="4" s="1"/>
  <c r="DD49" i="4" s="1"/>
  <c r="DE49" i="4" s="1"/>
  <c r="DF49" i="4" s="1"/>
  <c r="DG49" i="4" s="1"/>
  <c r="DH49" i="4" s="1"/>
  <c r="DI49" i="4" s="1"/>
  <c r="DJ49" i="4" s="1"/>
  <c r="DK49" i="4" s="1"/>
  <c r="DL49" i="4" s="1"/>
  <c r="DM49" i="4" s="1"/>
  <c r="DN49" i="4" s="1"/>
  <c r="DO49" i="4" s="1"/>
  <c r="DP49" i="4" s="1"/>
  <c r="DQ49" i="4" s="1"/>
  <c r="DR49" i="4" s="1"/>
  <c r="DS49" i="4" s="1"/>
  <c r="DT49" i="4" s="1"/>
  <c r="DU49" i="4" s="1"/>
  <c r="DV49" i="4" s="1"/>
  <c r="DW49" i="4" s="1"/>
  <c r="DX49" i="4" s="1"/>
  <c r="DY49" i="4" s="1"/>
  <c r="DZ49" i="4" s="1"/>
  <c r="EA49" i="4" s="1"/>
  <c r="EB49" i="4" s="1"/>
  <c r="EC49" i="4" s="1"/>
  <c r="ED49" i="4" s="1"/>
  <c r="EE49" i="4" s="1"/>
  <c r="EF49" i="4" s="1"/>
  <c r="EG49" i="4" s="1"/>
  <c r="EH49" i="4" s="1"/>
  <c r="EI49" i="4" s="1"/>
  <c r="EJ49" i="4" s="1"/>
  <c r="EK49" i="4" s="1"/>
  <c r="EL49" i="4" s="1"/>
  <c r="EM49" i="4" s="1"/>
  <c r="EN49" i="4" s="1"/>
  <c r="EO49" i="4" s="1"/>
  <c r="EP49" i="4" s="1"/>
  <c r="EQ49" i="4" s="1"/>
  <c r="ER49" i="4" s="1"/>
  <c r="ES49" i="4" s="1"/>
  <c r="J70" i="1"/>
  <c r="J68" i="1"/>
  <c r="J66" i="1"/>
  <c r="J64" i="1"/>
  <c r="J62" i="1"/>
  <c r="DA5" i="6" l="1"/>
  <c r="ET49" i="4"/>
  <c r="ET37" i="4"/>
  <c r="ET21" i="4"/>
  <c r="ET59" i="4"/>
  <c r="DF152" i="6"/>
  <c r="DF285" i="6"/>
  <c r="DF150" i="6"/>
  <c r="DF138" i="6"/>
  <c r="DF55" i="6"/>
  <c r="DF213" i="6"/>
  <c r="DF360" i="6"/>
  <c r="DF27" i="6"/>
  <c r="DF193" i="6"/>
  <c r="DF283" i="6"/>
  <c r="DF15" i="6"/>
  <c r="DF120" i="6"/>
  <c r="DF160" i="6"/>
  <c r="DF225" i="6"/>
  <c r="DF301" i="6"/>
  <c r="DF243" i="6"/>
  <c r="DF9" i="6"/>
  <c r="DF239" i="6"/>
  <c r="DF116" i="6"/>
  <c r="M122" i="6"/>
  <c r="N122" i="6" s="1"/>
  <c r="O122" i="6" s="1"/>
  <c r="P122" i="6" s="1"/>
  <c r="Q122" i="6" s="1"/>
  <c r="R122" i="6" s="1"/>
  <c r="S122" i="6" s="1"/>
  <c r="T122" i="6" s="1"/>
  <c r="U122" i="6" s="1"/>
  <c r="V122" i="6" s="1"/>
  <c r="W122" i="6" s="1"/>
  <c r="X122" i="6" s="1"/>
  <c r="Y122" i="6" s="1"/>
  <c r="Z122" i="6" s="1"/>
  <c r="AA122" i="6" s="1"/>
  <c r="AB122" i="6" s="1"/>
  <c r="AC122" i="6" s="1"/>
  <c r="AD122" i="6" s="1"/>
  <c r="AE122" i="6" s="1"/>
  <c r="AF122" i="6" s="1"/>
  <c r="AG122" i="6" s="1"/>
  <c r="AH122" i="6" s="1"/>
  <c r="AI122" i="6" s="1"/>
  <c r="AJ122" i="6" s="1"/>
  <c r="AK122" i="6" s="1"/>
  <c r="AL122" i="6" s="1"/>
  <c r="AM122" i="6" s="1"/>
  <c r="AN122" i="6" s="1"/>
  <c r="AO122" i="6" s="1"/>
  <c r="AP122" i="6" s="1"/>
  <c r="AQ122" i="6" s="1"/>
  <c r="AR122" i="6" s="1"/>
  <c r="AS122" i="6" s="1"/>
  <c r="AT122" i="6" s="1"/>
  <c r="AU122" i="6" s="1"/>
  <c r="AV122" i="6" s="1"/>
  <c r="AW122" i="6" s="1"/>
  <c r="AX122" i="6" s="1"/>
  <c r="AY122" i="6" s="1"/>
  <c r="AZ122" i="6" s="1"/>
  <c r="BA122" i="6" s="1"/>
  <c r="BB122" i="6" s="1"/>
  <c r="BC122" i="6" s="1"/>
  <c r="BD122" i="6" s="1"/>
  <c r="BE122" i="6" s="1"/>
  <c r="BF122" i="6" s="1"/>
  <c r="BG122" i="6" s="1"/>
  <c r="BH122" i="6" s="1"/>
  <c r="BI122" i="6" s="1"/>
  <c r="BJ122" i="6" s="1"/>
  <c r="BK122" i="6" s="1"/>
  <c r="BL122" i="6" s="1"/>
  <c r="BM122" i="6" s="1"/>
  <c r="BN122" i="6" s="1"/>
  <c r="BO122" i="6" s="1"/>
  <c r="BP122" i="6" s="1"/>
  <c r="BQ122" i="6" s="1"/>
  <c r="BR122" i="6" s="1"/>
  <c r="BS122" i="6" s="1"/>
  <c r="BT122" i="6" s="1"/>
  <c r="BU122" i="6" s="1"/>
  <c r="BV122" i="6" s="1"/>
  <c r="BW122" i="6" s="1"/>
  <c r="BX122" i="6" s="1"/>
  <c r="BY122" i="6" s="1"/>
  <c r="BZ122" i="6" s="1"/>
  <c r="CA122" i="6" s="1"/>
  <c r="CB122" i="6" s="1"/>
  <c r="CC122" i="6" s="1"/>
  <c r="CD122" i="6" s="1"/>
  <c r="CE122" i="6" s="1"/>
  <c r="CF122" i="6" s="1"/>
  <c r="CG122" i="6" s="1"/>
  <c r="CH122" i="6" s="1"/>
  <c r="CI122" i="6" s="1"/>
  <c r="CJ122" i="6" s="1"/>
  <c r="CK122" i="6" s="1"/>
  <c r="CL122" i="6" s="1"/>
  <c r="CM122" i="6" s="1"/>
  <c r="CN122" i="6" s="1"/>
  <c r="CO122" i="6" s="1"/>
  <c r="CP122" i="6" s="1"/>
  <c r="CQ122" i="6" s="1"/>
  <c r="CR122" i="6" s="1"/>
  <c r="CS122" i="6" s="1"/>
  <c r="CT122" i="6" s="1"/>
  <c r="CU122" i="6" s="1"/>
  <c r="CV122" i="6" s="1"/>
  <c r="CW122" i="6" s="1"/>
  <c r="CX122" i="6" s="1"/>
  <c r="CY122" i="6" s="1"/>
  <c r="CZ122" i="6" s="1"/>
  <c r="DA122" i="6" s="1"/>
  <c r="DB122" i="6" s="1"/>
  <c r="DC122" i="6" s="1"/>
  <c r="DD122" i="6" s="1"/>
  <c r="DE122" i="6" s="1"/>
  <c r="N362" i="6"/>
  <c r="O362" i="6" s="1"/>
  <c r="P362" i="6" s="1"/>
  <c r="Q362" i="6" s="1"/>
  <c r="R362" i="6" s="1"/>
  <c r="S362" i="6" s="1"/>
  <c r="T362" i="6" s="1"/>
  <c r="U362" i="6" s="1"/>
  <c r="V362" i="6" s="1"/>
  <c r="W362" i="6" s="1"/>
  <c r="X362" i="6" s="1"/>
  <c r="Y362" i="6" s="1"/>
  <c r="Z362" i="6" s="1"/>
  <c r="AA362" i="6" s="1"/>
  <c r="AB362" i="6" s="1"/>
  <c r="AC362" i="6" s="1"/>
  <c r="AD362" i="6" s="1"/>
  <c r="AE362" i="6" s="1"/>
  <c r="AF362" i="6" s="1"/>
  <c r="AG362" i="6" s="1"/>
  <c r="AH362" i="6" s="1"/>
  <c r="AI362" i="6" s="1"/>
  <c r="AJ362" i="6" s="1"/>
  <c r="AK362" i="6" s="1"/>
  <c r="AL362" i="6" s="1"/>
  <c r="AM362" i="6" s="1"/>
  <c r="AN362" i="6" s="1"/>
  <c r="AO362" i="6" s="1"/>
  <c r="AP362" i="6" s="1"/>
  <c r="AQ362" i="6" s="1"/>
  <c r="AR362" i="6" s="1"/>
  <c r="AS362" i="6" s="1"/>
  <c r="AT362" i="6" s="1"/>
  <c r="AU362" i="6" s="1"/>
  <c r="AV362" i="6" s="1"/>
  <c r="AW362" i="6" s="1"/>
  <c r="AX362" i="6" s="1"/>
  <c r="AY362" i="6" s="1"/>
  <c r="AZ362" i="6" s="1"/>
  <c r="BA362" i="6" s="1"/>
  <c r="BB362" i="6" s="1"/>
  <c r="BC362" i="6" s="1"/>
  <c r="BD362" i="6" s="1"/>
  <c r="BE362" i="6" s="1"/>
  <c r="BF362" i="6" s="1"/>
  <c r="BG362" i="6" s="1"/>
  <c r="BH362" i="6" s="1"/>
  <c r="BI362" i="6" s="1"/>
  <c r="BJ362" i="6" s="1"/>
  <c r="BK362" i="6" s="1"/>
  <c r="BL362" i="6" s="1"/>
  <c r="BM362" i="6" s="1"/>
  <c r="BN362" i="6" s="1"/>
  <c r="BO362" i="6" s="1"/>
  <c r="BP362" i="6" s="1"/>
  <c r="BQ362" i="6" s="1"/>
  <c r="BR362" i="6" s="1"/>
  <c r="BS362" i="6" s="1"/>
  <c r="BT362" i="6" s="1"/>
  <c r="BU362" i="6" s="1"/>
  <c r="BV362" i="6" s="1"/>
  <c r="BW362" i="6" s="1"/>
  <c r="BX362" i="6" s="1"/>
  <c r="BY362" i="6" s="1"/>
  <c r="BZ362" i="6" s="1"/>
  <c r="CA362" i="6" s="1"/>
  <c r="CB362" i="6" s="1"/>
  <c r="CC362" i="6" s="1"/>
  <c r="CD362" i="6" s="1"/>
  <c r="CE362" i="6" s="1"/>
  <c r="CF362" i="6" s="1"/>
  <c r="CG362" i="6" s="1"/>
  <c r="CH362" i="6" s="1"/>
  <c r="CI362" i="6" s="1"/>
  <c r="CJ362" i="6" s="1"/>
  <c r="CK362" i="6" s="1"/>
  <c r="CL362" i="6" s="1"/>
  <c r="CM362" i="6" s="1"/>
  <c r="CN362" i="6" s="1"/>
  <c r="CO362" i="6" s="1"/>
  <c r="CP362" i="6" s="1"/>
  <c r="CQ362" i="6" s="1"/>
  <c r="CR362" i="6" s="1"/>
  <c r="CS362" i="6" s="1"/>
  <c r="CT362" i="6" s="1"/>
  <c r="CU362" i="6" s="1"/>
  <c r="CV362" i="6" s="1"/>
  <c r="CW362" i="6" s="1"/>
  <c r="CX362" i="6" s="1"/>
  <c r="CY362" i="6" s="1"/>
  <c r="CZ362" i="6" s="1"/>
  <c r="DA362" i="6" s="1"/>
  <c r="DB362" i="6" s="1"/>
  <c r="DC362" i="6" s="1"/>
  <c r="DD362" i="6" s="1"/>
  <c r="DE362" i="6" s="1"/>
  <c r="P287" i="6"/>
  <c r="Q287" i="6" s="1"/>
  <c r="R287" i="6" s="1"/>
  <c r="S287" i="6" s="1"/>
  <c r="T287" i="6" s="1"/>
  <c r="U287" i="6" s="1"/>
  <c r="V287" i="6" s="1"/>
  <c r="W287" i="6" s="1"/>
  <c r="X287" i="6" s="1"/>
  <c r="Y287" i="6" s="1"/>
  <c r="Z287" i="6" s="1"/>
  <c r="AA287" i="6" s="1"/>
  <c r="AB287" i="6" s="1"/>
  <c r="AC287" i="6" s="1"/>
  <c r="AD287" i="6" s="1"/>
  <c r="AE287" i="6" s="1"/>
  <c r="AF287" i="6" s="1"/>
  <c r="AG287" i="6" s="1"/>
  <c r="AH287" i="6" s="1"/>
  <c r="AI287" i="6" s="1"/>
  <c r="AJ287" i="6" s="1"/>
  <c r="AK287" i="6" s="1"/>
  <c r="AL287" i="6" s="1"/>
  <c r="AM287" i="6" s="1"/>
  <c r="AN287" i="6" s="1"/>
  <c r="AO287" i="6" s="1"/>
  <c r="AP287" i="6" s="1"/>
  <c r="AQ287" i="6" s="1"/>
  <c r="AR287" i="6" s="1"/>
  <c r="AS287" i="6" s="1"/>
  <c r="AT287" i="6" s="1"/>
  <c r="AU287" i="6" s="1"/>
  <c r="AV287" i="6" s="1"/>
  <c r="AW287" i="6" s="1"/>
  <c r="AX287" i="6" s="1"/>
  <c r="AY287" i="6" s="1"/>
  <c r="AZ287" i="6" s="1"/>
  <c r="BA287" i="6" s="1"/>
  <c r="BB287" i="6" s="1"/>
  <c r="BC287" i="6" s="1"/>
  <c r="BD287" i="6" s="1"/>
  <c r="BE287" i="6" s="1"/>
  <c r="BF287" i="6" s="1"/>
  <c r="BG287" i="6" s="1"/>
  <c r="BH287" i="6" s="1"/>
  <c r="BI287" i="6" s="1"/>
  <c r="BJ287" i="6" s="1"/>
  <c r="BK287" i="6" s="1"/>
  <c r="BL287" i="6" s="1"/>
  <c r="BM287" i="6" s="1"/>
  <c r="BN287" i="6" s="1"/>
  <c r="BO287" i="6" s="1"/>
  <c r="BP287" i="6" s="1"/>
  <c r="BQ287" i="6" s="1"/>
  <c r="BR287" i="6" s="1"/>
  <c r="BS287" i="6" s="1"/>
  <c r="BT287" i="6" s="1"/>
  <c r="BU287" i="6" s="1"/>
  <c r="BV287" i="6" s="1"/>
  <c r="BW287" i="6" s="1"/>
  <c r="BX287" i="6" s="1"/>
  <c r="BY287" i="6" s="1"/>
  <c r="BZ287" i="6" s="1"/>
  <c r="CA287" i="6" s="1"/>
  <c r="CB287" i="6" s="1"/>
  <c r="CC287" i="6" s="1"/>
  <c r="CD287" i="6" s="1"/>
  <c r="CE287" i="6" s="1"/>
  <c r="CF287" i="6" s="1"/>
  <c r="CG287" i="6" s="1"/>
  <c r="CH287" i="6" s="1"/>
  <c r="CI287" i="6" s="1"/>
  <c r="CJ287" i="6" s="1"/>
  <c r="CK287" i="6" s="1"/>
  <c r="CL287" i="6" s="1"/>
  <c r="CM287" i="6" s="1"/>
  <c r="CN287" i="6" s="1"/>
  <c r="CO287" i="6" s="1"/>
  <c r="CP287" i="6" s="1"/>
  <c r="CQ287" i="6" s="1"/>
  <c r="CR287" i="6" s="1"/>
  <c r="CS287" i="6" s="1"/>
  <c r="CT287" i="6" s="1"/>
  <c r="CU287" i="6" s="1"/>
  <c r="CV287" i="6" s="1"/>
  <c r="CW287" i="6" s="1"/>
  <c r="CX287" i="6" s="1"/>
  <c r="CY287" i="6" s="1"/>
  <c r="CZ287" i="6" s="1"/>
  <c r="DA287" i="6" s="1"/>
  <c r="DB287" i="6" s="1"/>
  <c r="DC287" i="6" s="1"/>
  <c r="DD287" i="6" s="1"/>
  <c r="DE287" i="6" s="1"/>
  <c r="F403" i="6"/>
  <c r="G403" i="6" s="1"/>
  <c r="H403" i="6" s="1"/>
  <c r="I403" i="6" s="1"/>
  <c r="J403" i="6" s="1"/>
  <c r="K403" i="6" s="1"/>
  <c r="L403" i="6" s="1"/>
  <c r="M403" i="6" s="1"/>
  <c r="N403" i="6" s="1"/>
  <c r="O403" i="6" s="1"/>
  <c r="P403" i="6" s="1"/>
  <c r="Q403" i="6" s="1"/>
  <c r="R403" i="6" s="1"/>
  <c r="S403" i="6" s="1"/>
  <c r="T403" i="6" s="1"/>
  <c r="U403" i="6" s="1"/>
  <c r="V403" i="6" s="1"/>
  <c r="W403" i="6" s="1"/>
  <c r="X403" i="6" s="1"/>
  <c r="Y403" i="6" s="1"/>
  <c r="Z403" i="6" s="1"/>
  <c r="AA403" i="6" s="1"/>
  <c r="AB403" i="6" s="1"/>
  <c r="AC403" i="6" s="1"/>
  <c r="AD403" i="6" s="1"/>
  <c r="AE403" i="6" s="1"/>
  <c r="AF403" i="6" s="1"/>
  <c r="AG403" i="6" s="1"/>
  <c r="AH403" i="6" s="1"/>
  <c r="AI403" i="6" s="1"/>
  <c r="AJ403" i="6" s="1"/>
  <c r="AK403" i="6" s="1"/>
  <c r="AL403" i="6" s="1"/>
  <c r="AM403" i="6" s="1"/>
  <c r="AN403" i="6" s="1"/>
  <c r="AO403" i="6" s="1"/>
  <c r="AP403" i="6" s="1"/>
  <c r="AQ403" i="6" s="1"/>
  <c r="AR403" i="6" s="1"/>
  <c r="AS403" i="6" s="1"/>
  <c r="AT403" i="6" s="1"/>
  <c r="AU403" i="6" s="1"/>
  <c r="AV403" i="6" s="1"/>
  <c r="AW403" i="6" s="1"/>
  <c r="AX403" i="6" s="1"/>
  <c r="AY403" i="6" s="1"/>
  <c r="AZ403" i="6" s="1"/>
  <c r="BA403" i="6" s="1"/>
  <c r="BB403" i="6" s="1"/>
  <c r="BC403" i="6" s="1"/>
  <c r="BD403" i="6" s="1"/>
  <c r="BE403" i="6" s="1"/>
  <c r="BF403" i="6" s="1"/>
  <c r="BG403" i="6" s="1"/>
  <c r="BH403" i="6" s="1"/>
  <c r="BI403" i="6" s="1"/>
  <c r="BJ403" i="6" s="1"/>
  <c r="BK403" i="6" s="1"/>
  <c r="BL403" i="6" s="1"/>
  <c r="BM403" i="6" s="1"/>
  <c r="BN403" i="6" s="1"/>
  <c r="BO403" i="6" s="1"/>
  <c r="BP403" i="6" s="1"/>
  <c r="BQ403" i="6" s="1"/>
  <c r="BR403" i="6" s="1"/>
  <c r="BS403" i="6" s="1"/>
  <c r="BT403" i="6" s="1"/>
  <c r="BU403" i="6" s="1"/>
  <c r="BV403" i="6" s="1"/>
  <c r="BW403" i="6" s="1"/>
  <c r="BX403" i="6" s="1"/>
  <c r="BY403" i="6" s="1"/>
  <c r="BZ403" i="6" s="1"/>
  <c r="CA403" i="6" s="1"/>
  <c r="CB403" i="6" s="1"/>
  <c r="CC403" i="6" s="1"/>
  <c r="CD403" i="6" s="1"/>
  <c r="CE403" i="6" s="1"/>
  <c r="CF403" i="6" s="1"/>
  <c r="CG403" i="6" s="1"/>
  <c r="CH403" i="6" s="1"/>
  <c r="CI403" i="6" s="1"/>
  <c r="CJ403" i="6" s="1"/>
  <c r="CK403" i="6" s="1"/>
  <c r="DF13" i="6"/>
  <c r="DF21" i="6"/>
  <c r="DF118" i="6"/>
  <c r="DF191" i="6"/>
  <c r="DF227" i="6"/>
  <c r="DF63" i="6"/>
  <c r="DF37" i="6"/>
  <c r="DF183" i="6"/>
  <c r="DF187" i="6"/>
  <c r="DF195" i="6"/>
  <c r="DF297" i="6"/>
  <c r="DF205" i="6"/>
  <c r="DF31" i="6"/>
  <c r="DF237" i="6"/>
  <c r="M199" i="6"/>
  <c r="N199" i="6" s="1"/>
  <c r="O199" i="6" s="1"/>
  <c r="P199" i="6" s="1"/>
  <c r="Q199" i="6" s="1"/>
  <c r="R199" i="6" s="1"/>
  <c r="S199" i="6" s="1"/>
  <c r="T199" i="6" s="1"/>
  <c r="U199" i="6" s="1"/>
  <c r="V199" i="6" s="1"/>
  <c r="W199" i="6" s="1"/>
  <c r="X199" i="6" s="1"/>
  <c r="Y199" i="6" s="1"/>
  <c r="Z199" i="6" s="1"/>
  <c r="AA199" i="6" s="1"/>
  <c r="AB199" i="6" s="1"/>
  <c r="AC199" i="6" s="1"/>
  <c r="AD199" i="6" s="1"/>
  <c r="AE199" i="6" s="1"/>
  <c r="AF199" i="6" s="1"/>
  <c r="AG199" i="6" s="1"/>
  <c r="AH199" i="6" s="1"/>
  <c r="AI199" i="6" s="1"/>
  <c r="AJ199" i="6" s="1"/>
  <c r="AK199" i="6" s="1"/>
  <c r="AL199" i="6" s="1"/>
  <c r="AM199" i="6" s="1"/>
  <c r="AN199" i="6" s="1"/>
  <c r="AO199" i="6" s="1"/>
  <c r="AP199" i="6" s="1"/>
  <c r="AQ199" i="6" s="1"/>
  <c r="AR199" i="6" s="1"/>
  <c r="AS199" i="6" s="1"/>
  <c r="AT199" i="6" s="1"/>
  <c r="AU199" i="6" s="1"/>
  <c r="AV199" i="6" s="1"/>
  <c r="AW199" i="6" s="1"/>
  <c r="AX199" i="6" s="1"/>
  <c r="AY199" i="6" s="1"/>
  <c r="AZ199" i="6" s="1"/>
  <c r="BA199" i="6" s="1"/>
  <c r="BB199" i="6" s="1"/>
  <c r="BC199" i="6" s="1"/>
  <c r="BD199" i="6" s="1"/>
  <c r="BE199" i="6" s="1"/>
  <c r="BF199" i="6" s="1"/>
  <c r="BG199" i="6" s="1"/>
  <c r="BH199" i="6" s="1"/>
  <c r="BI199" i="6" s="1"/>
  <c r="BJ199" i="6" s="1"/>
  <c r="BK199" i="6" s="1"/>
  <c r="BL199" i="6" s="1"/>
  <c r="BM199" i="6" s="1"/>
  <c r="BN199" i="6" s="1"/>
  <c r="BO199" i="6" s="1"/>
  <c r="BP199" i="6" s="1"/>
  <c r="BQ199" i="6" s="1"/>
  <c r="BR199" i="6" s="1"/>
  <c r="BS199" i="6" s="1"/>
  <c r="BT199" i="6" s="1"/>
  <c r="BU199" i="6" s="1"/>
  <c r="BV199" i="6" s="1"/>
  <c r="BW199" i="6" s="1"/>
  <c r="BX199" i="6" s="1"/>
  <c r="BY199" i="6" s="1"/>
  <c r="BZ199" i="6" s="1"/>
  <c r="CA199" i="6" s="1"/>
  <c r="CB199" i="6" s="1"/>
  <c r="CC199" i="6" s="1"/>
  <c r="CD199" i="6" s="1"/>
  <c r="CE199" i="6" s="1"/>
  <c r="CF199" i="6" s="1"/>
  <c r="CG199" i="6" s="1"/>
  <c r="CH199" i="6" s="1"/>
  <c r="CI199" i="6" s="1"/>
  <c r="CJ199" i="6" s="1"/>
  <c r="CK199" i="6" s="1"/>
  <c r="CL199" i="6" s="1"/>
  <c r="CM199" i="6" s="1"/>
  <c r="CN199" i="6" s="1"/>
  <c r="CO199" i="6" s="1"/>
  <c r="CP199" i="6" s="1"/>
  <c r="CQ199" i="6" s="1"/>
  <c r="CR199" i="6" s="1"/>
  <c r="CS199" i="6" s="1"/>
  <c r="CT199" i="6" s="1"/>
  <c r="CU199" i="6" s="1"/>
  <c r="CV199" i="6" s="1"/>
  <c r="CW199" i="6" s="1"/>
  <c r="CX199" i="6" s="1"/>
  <c r="CY199" i="6" s="1"/>
  <c r="CZ199" i="6" s="1"/>
  <c r="DA199" i="6" s="1"/>
  <c r="DB199" i="6" s="1"/>
  <c r="DC199" i="6" s="1"/>
  <c r="DD199" i="6" s="1"/>
  <c r="DE199" i="6" s="1"/>
  <c r="P132" i="6"/>
  <c r="Q132" i="6" s="1"/>
  <c r="R132" i="6" s="1"/>
  <c r="S132" i="6" s="1"/>
  <c r="T132" i="6" s="1"/>
  <c r="U132" i="6" s="1"/>
  <c r="V132" i="6" s="1"/>
  <c r="W132" i="6" s="1"/>
  <c r="X132" i="6" s="1"/>
  <c r="Y132" i="6" s="1"/>
  <c r="Z132" i="6" s="1"/>
  <c r="AA132" i="6" s="1"/>
  <c r="AB132" i="6" s="1"/>
  <c r="AC132" i="6" s="1"/>
  <c r="AD132" i="6" s="1"/>
  <c r="AE132" i="6" s="1"/>
  <c r="AF132" i="6" s="1"/>
  <c r="AG132" i="6" s="1"/>
  <c r="AH132" i="6" s="1"/>
  <c r="AI132" i="6" s="1"/>
  <c r="AJ132" i="6" s="1"/>
  <c r="AK132" i="6" s="1"/>
  <c r="AL132" i="6" s="1"/>
  <c r="AM132" i="6" s="1"/>
  <c r="AN132" i="6" s="1"/>
  <c r="AO132" i="6" s="1"/>
  <c r="AP132" i="6" s="1"/>
  <c r="AQ132" i="6" s="1"/>
  <c r="AR132" i="6" s="1"/>
  <c r="AS132" i="6" s="1"/>
  <c r="AT132" i="6" s="1"/>
  <c r="AU132" i="6" s="1"/>
  <c r="AV132" i="6" s="1"/>
  <c r="AW132" i="6" s="1"/>
  <c r="AX132" i="6" s="1"/>
  <c r="AY132" i="6" s="1"/>
  <c r="AZ132" i="6" s="1"/>
  <c r="BA132" i="6" s="1"/>
  <c r="BB132" i="6" s="1"/>
  <c r="BC132" i="6" s="1"/>
  <c r="BD132" i="6" s="1"/>
  <c r="BE132" i="6" s="1"/>
  <c r="BF132" i="6" s="1"/>
  <c r="BG132" i="6" s="1"/>
  <c r="BH132" i="6" s="1"/>
  <c r="BI132" i="6" s="1"/>
  <c r="BJ132" i="6" s="1"/>
  <c r="BK132" i="6" s="1"/>
  <c r="BL132" i="6" s="1"/>
  <c r="BM132" i="6" s="1"/>
  <c r="BN132" i="6" s="1"/>
  <c r="BO132" i="6" s="1"/>
  <c r="BP132" i="6" s="1"/>
  <c r="BQ132" i="6" s="1"/>
  <c r="BR132" i="6" s="1"/>
  <c r="BS132" i="6" s="1"/>
  <c r="BT132" i="6" s="1"/>
  <c r="BU132" i="6" s="1"/>
  <c r="BV132" i="6" s="1"/>
  <c r="BW132" i="6" s="1"/>
  <c r="BX132" i="6" s="1"/>
  <c r="BY132" i="6" s="1"/>
  <c r="BZ132" i="6" s="1"/>
  <c r="CA132" i="6" s="1"/>
  <c r="CB132" i="6" s="1"/>
  <c r="CC132" i="6" s="1"/>
  <c r="CD132" i="6" s="1"/>
  <c r="CE132" i="6" s="1"/>
  <c r="CF132" i="6" s="1"/>
  <c r="CG132" i="6" s="1"/>
  <c r="CH132" i="6" s="1"/>
  <c r="CI132" i="6" s="1"/>
  <c r="CJ132" i="6" s="1"/>
  <c r="CK132" i="6" s="1"/>
  <c r="CL132" i="6" s="1"/>
  <c r="CM132" i="6" s="1"/>
  <c r="CN132" i="6" s="1"/>
  <c r="CO132" i="6" s="1"/>
  <c r="CP132" i="6" s="1"/>
  <c r="CQ132" i="6" s="1"/>
  <c r="CR132" i="6" s="1"/>
  <c r="CS132" i="6" s="1"/>
  <c r="CT132" i="6" s="1"/>
  <c r="CU132" i="6" s="1"/>
  <c r="CV132" i="6" s="1"/>
  <c r="CW132" i="6" s="1"/>
  <c r="CX132" i="6" s="1"/>
  <c r="CY132" i="6" s="1"/>
  <c r="CZ132" i="6" s="1"/>
  <c r="DA132" i="6" s="1"/>
  <c r="DB132" i="6" s="1"/>
  <c r="DC132" i="6" s="1"/>
  <c r="DD132" i="6" s="1"/>
  <c r="DE132" i="6" s="1"/>
  <c r="P299" i="6"/>
  <c r="Q299" i="6" s="1"/>
  <c r="R299" i="6" s="1"/>
  <c r="S299" i="6" s="1"/>
  <c r="T299" i="6" s="1"/>
  <c r="U299" i="6" s="1"/>
  <c r="V299" i="6" s="1"/>
  <c r="W299" i="6" s="1"/>
  <c r="X299" i="6" s="1"/>
  <c r="Y299" i="6" s="1"/>
  <c r="Z299" i="6" s="1"/>
  <c r="AA299" i="6" s="1"/>
  <c r="AB299" i="6" s="1"/>
  <c r="AC299" i="6" s="1"/>
  <c r="AD299" i="6" s="1"/>
  <c r="AE299" i="6" s="1"/>
  <c r="AF299" i="6" s="1"/>
  <c r="AG299" i="6" s="1"/>
  <c r="AH299" i="6" s="1"/>
  <c r="AI299" i="6" s="1"/>
  <c r="AJ299" i="6" s="1"/>
  <c r="AK299" i="6" s="1"/>
  <c r="AL299" i="6" s="1"/>
  <c r="AM299" i="6" s="1"/>
  <c r="AN299" i="6" s="1"/>
  <c r="AO299" i="6" s="1"/>
  <c r="AP299" i="6" s="1"/>
  <c r="AQ299" i="6" s="1"/>
  <c r="AR299" i="6" s="1"/>
  <c r="AS299" i="6" s="1"/>
  <c r="AT299" i="6" s="1"/>
  <c r="AU299" i="6" s="1"/>
  <c r="AV299" i="6" s="1"/>
  <c r="AW299" i="6" s="1"/>
  <c r="AX299" i="6" s="1"/>
  <c r="AY299" i="6" s="1"/>
  <c r="AZ299" i="6" s="1"/>
  <c r="BA299" i="6" s="1"/>
  <c r="BB299" i="6" s="1"/>
  <c r="BC299" i="6" s="1"/>
  <c r="BD299" i="6" s="1"/>
  <c r="BE299" i="6" s="1"/>
  <c r="BF299" i="6" s="1"/>
  <c r="BG299" i="6" s="1"/>
  <c r="BH299" i="6" s="1"/>
  <c r="BI299" i="6" s="1"/>
  <c r="BJ299" i="6" s="1"/>
  <c r="BK299" i="6" s="1"/>
  <c r="BL299" i="6" s="1"/>
  <c r="BM299" i="6" s="1"/>
  <c r="BN299" i="6" s="1"/>
  <c r="BO299" i="6" s="1"/>
  <c r="BP299" i="6" s="1"/>
  <c r="BQ299" i="6" s="1"/>
  <c r="BR299" i="6" s="1"/>
  <c r="BS299" i="6" s="1"/>
  <c r="BT299" i="6" s="1"/>
  <c r="BU299" i="6" s="1"/>
  <c r="BV299" i="6" s="1"/>
  <c r="BW299" i="6" s="1"/>
  <c r="BX299" i="6" s="1"/>
  <c r="BY299" i="6" s="1"/>
  <c r="BZ299" i="6" s="1"/>
  <c r="CA299" i="6" s="1"/>
  <c r="CB299" i="6" s="1"/>
  <c r="CC299" i="6" s="1"/>
  <c r="CD299" i="6" s="1"/>
  <c r="CE299" i="6" s="1"/>
  <c r="CF299" i="6" s="1"/>
  <c r="CG299" i="6" s="1"/>
  <c r="CH299" i="6" s="1"/>
  <c r="CI299" i="6" s="1"/>
  <c r="CJ299" i="6" s="1"/>
  <c r="CK299" i="6" s="1"/>
  <c r="CL299" i="6" s="1"/>
  <c r="CM299" i="6" s="1"/>
  <c r="CN299" i="6" s="1"/>
  <c r="CO299" i="6" s="1"/>
  <c r="CP299" i="6" s="1"/>
  <c r="CQ299" i="6" s="1"/>
  <c r="CR299" i="6" s="1"/>
  <c r="CS299" i="6" s="1"/>
  <c r="CT299" i="6" s="1"/>
  <c r="CU299" i="6" s="1"/>
  <c r="CV299" i="6" s="1"/>
  <c r="CW299" i="6" s="1"/>
  <c r="CX299" i="6" s="1"/>
  <c r="CY299" i="6" s="1"/>
  <c r="CZ299" i="6" s="1"/>
  <c r="DA299" i="6" s="1"/>
  <c r="DB299" i="6" s="1"/>
  <c r="DC299" i="6" s="1"/>
  <c r="DD299" i="6" s="1"/>
  <c r="DE299" i="6" s="1"/>
  <c r="P223" i="6"/>
  <c r="Q223" i="6" s="1"/>
  <c r="R223" i="6" s="1"/>
  <c r="S223" i="6" s="1"/>
  <c r="T223" i="6" s="1"/>
  <c r="U223" i="6" s="1"/>
  <c r="V223" i="6" s="1"/>
  <c r="W223" i="6" s="1"/>
  <c r="X223" i="6" s="1"/>
  <c r="Y223" i="6" s="1"/>
  <c r="Z223" i="6" s="1"/>
  <c r="AA223" i="6" s="1"/>
  <c r="AB223" i="6" s="1"/>
  <c r="AC223" i="6" s="1"/>
  <c r="AD223" i="6" s="1"/>
  <c r="AE223" i="6" s="1"/>
  <c r="AF223" i="6" s="1"/>
  <c r="AG223" i="6" s="1"/>
  <c r="AH223" i="6" s="1"/>
  <c r="AI223" i="6" s="1"/>
  <c r="AJ223" i="6" s="1"/>
  <c r="AK223" i="6" s="1"/>
  <c r="AL223" i="6" s="1"/>
  <c r="AM223" i="6" s="1"/>
  <c r="AN223" i="6" s="1"/>
  <c r="AO223" i="6" s="1"/>
  <c r="AP223" i="6" s="1"/>
  <c r="AQ223" i="6" s="1"/>
  <c r="AR223" i="6" s="1"/>
  <c r="AS223" i="6" s="1"/>
  <c r="AT223" i="6" s="1"/>
  <c r="AU223" i="6" s="1"/>
  <c r="AV223" i="6" s="1"/>
  <c r="AW223" i="6" s="1"/>
  <c r="AX223" i="6" s="1"/>
  <c r="AY223" i="6" s="1"/>
  <c r="AZ223" i="6" s="1"/>
  <c r="BA223" i="6" s="1"/>
  <c r="BB223" i="6" s="1"/>
  <c r="BC223" i="6" s="1"/>
  <c r="BD223" i="6" s="1"/>
  <c r="BE223" i="6" s="1"/>
  <c r="BF223" i="6" s="1"/>
  <c r="BG223" i="6" s="1"/>
  <c r="BH223" i="6" s="1"/>
  <c r="BI223" i="6" s="1"/>
  <c r="BJ223" i="6" s="1"/>
  <c r="BK223" i="6" s="1"/>
  <c r="BL223" i="6" s="1"/>
  <c r="BM223" i="6" s="1"/>
  <c r="BN223" i="6" s="1"/>
  <c r="BO223" i="6" s="1"/>
  <c r="BP223" i="6" s="1"/>
  <c r="BQ223" i="6" s="1"/>
  <c r="BR223" i="6" s="1"/>
  <c r="BS223" i="6" s="1"/>
  <c r="BT223" i="6" s="1"/>
  <c r="BU223" i="6" s="1"/>
  <c r="BV223" i="6" s="1"/>
  <c r="BW223" i="6" s="1"/>
  <c r="BX223" i="6" s="1"/>
  <c r="BY223" i="6" s="1"/>
  <c r="BZ223" i="6" s="1"/>
  <c r="CA223" i="6" s="1"/>
  <c r="CB223" i="6" s="1"/>
  <c r="CC223" i="6" s="1"/>
  <c r="CD223" i="6" s="1"/>
  <c r="CE223" i="6" s="1"/>
  <c r="CF223" i="6" s="1"/>
  <c r="CG223" i="6" s="1"/>
  <c r="CH223" i="6" s="1"/>
  <c r="CI223" i="6" s="1"/>
  <c r="CJ223" i="6" s="1"/>
  <c r="CK223" i="6" s="1"/>
  <c r="CL223" i="6" s="1"/>
  <c r="CM223" i="6" s="1"/>
  <c r="CN223" i="6" s="1"/>
  <c r="CO223" i="6" s="1"/>
  <c r="CP223" i="6" s="1"/>
  <c r="CQ223" i="6" s="1"/>
  <c r="CR223" i="6" s="1"/>
  <c r="CS223" i="6" s="1"/>
  <c r="CT223" i="6" s="1"/>
  <c r="CU223" i="6" s="1"/>
  <c r="CV223" i="6" s="1"/>
  <c r="CW223" i="6" s="1"/>
  <c r="CX223" i="6" s="1"/>
  <c r="CY223" i="6" s="1"/>
  <c r="CZ223" i="6" s="1"/>
  <c r="DA223" i="6" s="1"/>
  <c r="DB223" i="6" s="1"/>
  <c r="DC223" i="6" s="1"/>
  <c r="DD223" i="6" s="1"/>
  <c r="DE223" i="6" s="1"/>
  <c r="P102" i="6"/>
  <c r="Q102" i="6" s="1"/>
  <c r="R102" i="6" s="1"/>
  <c r="S102" i="6" s="1"/>
  <c r="T102" i="6" s="1"/>
  <c r="U102" i="6" s="1"/>
  <c r="V102" i="6" s="1"/>
  <c r="W102" i="6" s="1"/>
  <c r="X102" i="6" s="1"/>
  <c r="Y102" i="6" s="1"/>
  <c r="Z102" i="6" s="1"/>
  <c r="AA102" i="6" s="1"/>
  <c r="AB102" i="6" s="1"/>
  <c r="AC102" i="6" s="1"/>
  <c r="AD102" i="6" s="1"/>
  <c r="AE102" i="6" s="1"/>
  <c r="AF102" i="6" s="1"/>
  <c r="AG102" i="6" s="1"/>
  <c r="AH102" i="6" s="1"/>
  <c r="AI102" i="6" s="1"/>
  <c r="AJ102" i="6" s="1"/>
  <c r="AK102" i="6" s="1"/>
  <c r="AL102" i="6" s="1"/>
  <c r="AM102" i="6" s="1"/>
  <c r="AN102" i="6" s="1"/>
  <c r="AO102" i="6" s="1"/>
  <c r="AP102" i="6" s="1"/>
  <c r="AQ102" i="6" s="1"/>
  <c r="AR102" i="6" s="1"/>
  <c r="AS102" i="6" s="1"/>
  <c r="AT102" i="6" s="1"/>
  <c r="AU102" i="6" s="1"/>
  <c r="AV102" i="6" s="1"/>
  <c r="AW102" i="6" s="1"/>
  <c r="AX102" i="6" s="1"/>
  <c r="AY102" i="6" s="1"/>
  <c r="AZ102" i="6" s="1"/>
  <c r="BA102" i="6" s="1"/>
  <c r="BB102" i="6" s="1"/>
  <c r="BC102" i="6" s="1"/>
  <c r="BD102" i="6" s="1"/>
  <c r="BE102" i="6" s="1"/>
  <c r="BF102" i="6" s="1"/>
  <c r="BG102" i="6" s="1"/>
  <c r="BH102" i="6" s="1"/>
  <c r="BI102" i="6" s="1"/>
  <c r="BJ102" i="6" s="1"/>
  <c r="BK102" i="6" s="1"/>
  <c r="BL102" i="6" s="1"/>
  <c r="BM102" i="6" s="1"/>
  <c r="BN102" i="6" s="1"/>
  <c r="BO102" i="6" s="1"/>
  <c r="BP102" i="6" s="1"/>
  <c r="BQ102" i="6" s="1"/>
  <c r="BR102" i="6" s="1"/>
  <c r="BS102" i="6" s="1"/>
  <c r="BT102" i="6" s="1"/>
  <c r="BU102" i="6" s="1"/>
  <c r="BV102" i="6" s="1"/>
  <c r="BW102" i="6" s="1"/>
  <c r="BX102" i="6" s="1"/>
  <c r="BY102" i="6" s="1"/>
  <c r="BZ102" i="6" s="1"/>
  <c r="CA102" i="6" s="1"/>
  <c r="CB102" i="6" s="1"/>
  <c r="CC102" i="6" s="1"/>
  <c r="CD102" i="6" s="1"/>
  <c r="CE102" i="6" s="1"/>
  <c r="CF102" i="6" s="1"/>
  <c r="CG102" i="6" s="1"/>
  <c r="CH102" i="6" s="1"/>
  <c r="CI102" i="6" s="1"/>
  <c r="CJ102" i="6" s="1"/>
  <c r="CK102" i="6" s="1"/>
  <c r="CL102" i="6" s="1"/>
  <c r="CM102" i="6" s="1"/>
  <c r="CN102" i="6" s="1"/>
  <c r="CO102" i="6" s="1"/>
  <c r="CP102" i="6" s="1"/>
  <c r="CQ102" i="6" s="1"/>
  <c r="CR102" i="6" s="1"/>
  <c r="CS102" i="6" s="1"/>
  <c r="CT102" i="6" s="1"/>
  <c r="CU102" i="6" s="1"/>
  <c r="CV102" i="6" s="1"/>
  <c r="CW102" i="6" s="1"/>
  <c r="CX102" i="6" s="1"/>
  <c r="CY102" i="6" s="1"/>
  <c r="CZ102" i="6" s="1"/>
  <c r="DA102" i="6" s="1"/>
  <c r="DB102" i="6" s="1"/>
  <c r="DC102" i="6" s="1"/>
  <c r="DD102" i="6" s="1"/>
  <c r="DE102" i="6" s="1"/>
  <c r="P233" i="6"/>
  <c r="Q233" i="6" s="1"/>
  <c r="R233" i="6" s="1"/>
  <c r="S233" i="6" s="1"/>
  <c r="T233" i="6" s="1"/>
  <c r="U233" i="6" s="1"/>
  <c r="V233" i="6" s="1"/>
  <c r="W233" i="6" s="1"/>
  <c r="X233" i="6" s="1"/>
  <c r="Y233" i="6" s="1"/>
  <c r="Z233" i="6" s="1"/>
  <c r="AA233" i="6" s="1"/>
  <c r="AB233" i="6" s="1"/>
  <c r="AC233" i="6" s="1"/>
  <c r="AD233" i="6" s="1"/>
  <c r="AE233" i="6" s="1"/>
  <c r="AF233" i="6" s="1"/>
  <c r="AG233" i="6" s="1"/>
  <c r="AH233" i="6" s="1"/>
  <c r="AI233" i="6" s="1"/>
  <c r="AJ233" i="6" s="1"/>
  <c r="AK233" i="6" s="1"/>
  <c r="AL233" i="6" s="1"/>
  <c r="AM233" i="6" s="1"/>
  <c r="AN233" i="6" s="1"/>
  <c r="AO233" i="6" s="1"/>
  <c r="AP233" i="6" s="1"/>
  <c r="AQ233" i="6" s="1"/>
  <c r="AR233" i="6" s="1"/>
  <c r="AS233" i="6" s="1"/>
  <c r="AT233" i="6" s="1"/>
  <c r="AU233" i="6" s="1"/>
  <c r="AV233" i="6" s="1"/>
  <c r="AW233" i="6" s="1"/>
  <c r="AX233" i="6" s="1"/>
  <c r="AY233" i="6" s="1"/>
  <c r="AZ233" i="6" s="1"/>
  <c r="BA233" i="6" s="1"/>
  <c r="BB233" i="6" s="1"/>
  <c r="BC233" i="6" s="1"/>
  <c r="BD233" i="6" s="1"/>
  <c r="BE233" i="6" s="1"/>
  <c r="BF233" i="6" s="1"/>
  <c r="BG233" i="6" s="1"/>
  <c r="BH233" i="6" s="1"/>
  <c r="BI233" i="6" s="1"/>
  <c r="BJ233" i="6" s="1"/>
  <c r="BK233" i="6" s="1"/>
  <c r="BL233" i="6" s="1"/>
  <c r="BM233" i="6" s="1"/>
  <c r="BN233" i="6" s="1"/>
  <c r="BO233" i="6" s="1"/>
  <c r="BP233" i="6" s="1"/>
  <c r="BQ233" i="6" s="1"/>
  <c r="BR233" i="6" s="1"/>
  <c r="BS233" i="6" s="1"/>
  <c r="BT233" i="6" s="1"/>
  <c r="BU233" i="6" s="1"/>
  <c r="BV233" i="6" s="1"/>
  <c r="BW233" i="6" s="1"/>
  <c r="BX233" i="6" s="1"/>
  <c r="BY233" i="6" s="1"/>
  <c r="BZ233" i="6" s="1"/>
  <c r="CA233" i="6" s="1"/>
  <c r="CB233" i="6" s="1"/>
  <c r="CC233" i="6" s="1"/>
  <c r="CD233" i="6" s="1"/>
  <c r="CE233" i="6" s="1"/>
  <c r="CF233" i="6" s="1"/>
  <c r="CG233" i="6" s="1"/>
  <c r="CH233" i="6" s="1"/>
  <c r="CI233" i="6" s="1"/>
  <c r="CJ233" i="6" s="1"/>
  <c r="CK233" i="6" s="1"/>
  <c r="CL233" i="6" s="1"/>
  <c r="CM233" i="6" s="1"/>
  <c r="CN233" i="6" s="1"/>
  <c r="CO233" i="6" s="1"/>
  <c r="CP233" i="6" s="1"/>
  <c r="CQ233" i="6" s="1"/>
  <c r="CR233" i="6" s="1"/>
  <c r="CS233" i="6" s="1"/>
  <c r="CT233" i="6" s="1"/>
  <c r="CU233" i="6" s="1"/>
  <c r="CV233" i="6" s="1"/>
  <c r="CW233" i="6" s="1"/>
  <c r="CX233" i="6" s="1"/>
  <c r="CY233" i="6" s="1"/>
  <c r="CZ233" i="6" s="1"/>
  <c r="DA233" i="6" s="1"/>
  <c r="DB233" i="6" s="1"/>
  <c r="DC233" i="6" s="1"/>
  <c r="DD233" i="6" s="1"/>
  <c r="DE233" i="6" s="1"/>
  <c r="P39" i="6"/>
  <c r="Q39" i="6" s="1"/>
  <c r="R39" i="6" s="1"/>
  <c r="S39" i="6" s="1"/>
  <c r="T39" i="6" s="1"/>
  <c r="U39" i="6" s="1"/>
  <c r="V39" i="6" s="1"/>
  <c r="W39" i="6" s="1"/>
  <c r="X39" i="6" s="1"/>
  <c r="Y39" i="6" s="1"/>
  <c r="Z39" i="6" s="1"/>
  <c r="AA39" i="6" s="1"/>
  <c r="AB39" i="6" s="1"/>
  <c r="AC39" i="6" s="1"/>
  <c r="AD39" i="6" s="1"/>
  <c r="AE39" i="6" s="1"/>
  <c r="AF39" i="6" s="1"/>
  <c r="AG39" i="6" s="1"/>
  <c r="AH39" i="6" s="1"/>
  <c r="AI39" i="6" s="1"/>
  <c r="AJ39" i="6" s="1"/>
  <c r="AK39" i="6" s="1"/>
  <c r="AL39" i="6" s="1"/>
  <c r="AM39" i="6" s="1"/>
  <c r="AN39" i="6" s="1"/>
  <c r="AO39" i="6" s="1"/>
  <c r="AP39" i="6" s="1"/>
  <c r="AQ39" i="6" s="1"/>
  <c r="AR39" i="6" s="1"/>
  <c r="AS39" i="6" s="1"/>
  <c r="AT39" i="6" s="1"/>
  <c r="AU39" i="6" s="1"/>
  <c r="AV39" i="6" s="1"/>
  <c r="AW39" i="6" s="1"/>
  <c r="AX39" i="6" s="1"/>
  <c r="AY39" i="6" s="1"/>
  <c r="AZ39" i="6" s="1"/>
  <c r="BA39" i="6" s="1"/>
  <c r="BB39" i="6" s="1"/>
  <c r="BC39" i="6" s="1"/>
  <c r="BD39" i="6" s="1"/>
  <c r="BE39" i="6" s="1"/>
  <c r="BF39" i="6" s="1"/>
  <c r="BG39" i="6" s="1"/>
  <c r="BH39" i="6" s="1"/>
  <c r="BI39" i="6" s="1"/>
  <c r="BJ39" i="6" s="1"/>
  <c r="BK39" i="6" s="1"/>
  <c r="BL39" i="6" s="1"/>
  <c r="BM39" i="6" s="1"/>
  <c r="BN39" i="6" s="1"/>
  <c r="BO39" i="6" s="1"/>
  <c r="BP39" i="6" s="1"/>
  <c r="BQ39" i="6" s="1"/>
  <c r="BR39" i="6" s="1"/>
  <c r="BS39" i="6" s="1"/>
  <c r="BT39" i="6" s="1"/>
  <c r="BU39" i="6" s="1"/>
  <c r="BV39" i="6" s="1"/>
  <c r="BW39" i="6" s="1"/>
  <c r="BX39" i="6" s="1"/>
  <c r="BY39" i="6" s="1"/>
  <c r="BZ39" i="6" s="1"/>
  <c r="CA39" i="6" s="1"/>
  <c r="CB39" i="6" s="1"/>
  <c r="CC39" i="6" s="1"/>
  <c r="CD39" i="6" s="1"/>
  <c r="CE39" i="6" s="1"/>
  <c r="CF39" i="6" s="1"/>
  <c r="CG39" i="6" s="1"/>
  <c r="CH39" i="6" s="1"/>
  <c r="CI39" i="6" s="1"/>
  <c r="CJ39" i="6" s="1"/>
  <c r="CK39" i="6" s="1"/>
  <c r="CL39" i="6" s="1"/>
  <c r="CM39" i="6" s="1"/>
  <c r="CN39" i="6" s="1"/>
  <c r="CO39" i="6" s="1"/>
  <c r="CP39" i="6" s="1"/>
  <c r="CQ39" i="6" s="1"/>
  <c r="CR39" i="6" s="1"/>
  <c r="CS39" i="6" s="1"/>
  <c r="CT39" i="6" s="1"/>
  <c r="CU39" i="6" s="1"/>
  <c r="CV39" i="6" s="1"/>
  <c r="CW39" i="6" s="1"/>
  <c r="CX39" i="6" s="1"/>
  <c r="CY39" i="6" s="1"/>
  <c r="CZ39" i="6" s="1"/>
  <c r="DA39" i="6" s="1"/>
  <c r="DB39" i="6" s="1"/>
  <c r="DC39" i="6" s="1"/>
  <c r="DD39" i="6" s="1"/>
  <c r="DE39" i="6" s="1"/>
  <c r="DF241" i="6"/>
  <c r="DF49" i="6"/>
  <c r="DF65" i="6"/>
  <c r="DF134" i="6"/>
  <c r="M110" i="6"/>
  <c r="N110" i="6" s="1"/>
  <c r="O110" i="6" s="1"/>
  <c r="P110" i="6" s="1"/>
  <c r="Q110" i="6" s="1"/>
  <c r="R110" i="6" s="1"/>
  <c r="S110" i="6" s="1"/>
  <c r="T110" i="6" s="1"/>
  <c r="U110" i="6" s="1"/>
  <c r="V110" i="6" s="1"/>
  <c r="W110" i="6" s="1"/>
  <c r="X110" i="6" s="1"/>
  <c r="Y110" i="6" s="1"/>
  <c r="Z110" i="6" s="1"/>
  <c r="AA110" i="6" s="1"/>
  <c r="AB110" i="6" s="1"/>
  <c r="AC110" i="6" s="1"/>
  <c r="AD110" i="6" s="1"/>
  <c r="AE110" i="6" s="1"/>
  <c r="AF110" i="6" s="1"/>
  <c r="AG110" i="6" s="1"/>
  <c r="AH110" i="6" s="1"/>
  <c r="AI110" i="6" s="1"/>
  <c r="AJ110" i="6" s="1"/>
  <c r="AK110" i="6" s="1"/>
  <c r="AL110" i="6" s="1"/>
  <c r="AM110" i="6" s="1"/>
  <c r="AN110" i="6" s="1"/>
  <c r="AO110" i="6" s="1"/>
  <c r="AP110" i="6" s="1"/>
  <c r="AQ110" i="6" s="1"/>
  <c r="AR110" i="6" s="1"/>
  <c r="AS110" i="6" s="1"/>
  <c r="AT110" i="6" s="1"/>
  <c r="AU110" i="6" s="1"/>
  <c r="AV110" i="6" s="1"/>
  <c r="AW110" i="6" s="1"/>
  <c r="AX110" i="6" s="1"/>
  <c r="AY110" i="6" s="1"/>
  <c r="AZ110" i="6" s="1"/>
  <c r="BA110" i="6" s="1"/>
  <c r="BB110" i="6" s="1"/>
  <c r="BC110" i="6" s="1"/>
  <c r="BD110" i="6" s="1"/>
  <c r="BE110" i="6" s="1"/>
  <c r="BF110" i="6" s="1"/>
  <c r="BG110" i="6" s="1"/>
  <c r="BH110" i="6" s="1"/>
  <c r="BI110" i="6" s="1"/>
  <c r="BJ110" i="6" s="1"/>
  <c r="BK110" i="6" s="1"/>
  <c r="BL110" i="6" s="1"/>
  <c r="BM110" i="6" s="1"/>
  <c r="BN110" i="6" s="1"/>
  <c r="BO110" i="6" s="1"/>
  <c r="BP110" i="6" s="1"/>
  <c r="BQ110" i="6" s="1"/>
  <c r="BR110" i="6" s="1"/>
  <c r="BS110" i="6" s="1"/>
  <c r="BT110" i="6" s="1"/>
  <c r="BU110" i="6" s="1"/>
  <c r="BV110" i="6" s="1"/>
  <c r="BW110" i="6" s="1"/>
  <c r="BX110" i="6" s="1"/>
  <c r="BY110" i="6" s="1"/>
  <c r="BZ110" i="6" s="1"/>
  <c r="CA110" i="6" s="1"/>
  <c r="CB110" i="6" s="1"/>
  <c r="CC110" i="6" s="1"/>
  <c r="CD110" i="6" s="1"/>
  <c r="CE110" i="6" s="1"/>
  <c r="CF110" i="6" s="1"/>
  <c r="CG110" i="6" s="1"/>
  <c r="CH110" i="6" s="1"/>
  <c r="CI110" i="6" s="1"/>
  <c r="CJ110" i="6" s="1"/>
  <c r="CK110" i="6" s="1"/>
  <c r="CL110" i="6" s="1"/>
  <c r="CM110" i="6" s="1"/>
  <c r="CN110" i="6" s="1"/>
  <c r="CO110" i="6" s="1"/>
  <c r="CP110" i="6" s="1"/>
  <c r="CQ110" i="6" s="1"/>
  <c r="CR110" i="6" s="1"/>
  <c r="CS110" i="6" s="1"/>
  <c r="CT110" i="6" s="1"/>
  <c r="CU110" i="6" s="1"/>
  <c r="CV110" i="6" s="1"/>
  <c r="CW110" i="6" s="1"/>
  <c r="CX110" i="6" s="1"/>
  <c r="CY110" i="6" s="1"/>
  <c r="CZ110" i="6" s="1"/>
  <c r="DA110" i="6" s="1"/>
  <c r="DB110" i="6" s="1"/>
  <c r="DC110" i="6" s="1"/>
  <c r="DD110" i="6" s="1"/>
  <c r="DE110" i="6" s="1"/>
  <c r="M215" i="6"/>
  <c r="N215" i="6" s="1"/>
  <c r="O215" i="6" s="1"/>
  <c r="P215" i="6" s="1"/>
  <c r="Q215" i="6" s="1"/>
  <c r="R215" i="6" s="1"/>
  <c r="S215" i="6" s="1"/>
  <c r="T215" i="6" s="1"/>
  <c r="U215" i="6" s="1"/>
  <c r="V215" i="6" s="1"/>
  <c r="W215" i="6" s="1"/>
  <c r="X215" i="6" s="1"/>
  <c r="Y215" i="6" s="1"/>
  <c r="Z215" i="6" s="1"/>
  <c r="AA215" i="6" s="1"/>
  <c r="AB215" i="6" s="1"/>
  <c r="AC215" i="6" s="1"/>
  <c r="AD215" i="6" s="1"/>
  <c r="AE215" i="6" s="1"/>
  <c r="AF215" i="6" s="1"/>
  <c r="AG215" i="6" s="1"/>
  <c r="AH215" i="6" s="1"/>
  <c r="AI215" i="6" s="1"/>
  <c r="AJ215" i="6" s="1"/>
  <c r="AK215" i="6" s="1"/>
  <c r="AL215" i="6" s="1"/>
  <c r="AM215" i="6" s="1"/>
  <c r="AN215" i="6" s="1"/>
  <c r="AO215" i="6" s="1"/>
  <c r="AP215" i="6" s="1"/>
  <c r="AQ215" i="6" s="1"/>
  <c r="AR215" i="6" s="1"/>
  <c r="AS215" i="6" s="1"/>
  <c r="AT215" i="6" s="1"/>
  <c r="AU215" i="6" s="1"/>
  <c r="AV215" i="6" s="1"/>
  <c r="AW215" i="6" s="1"/>
  <c r="AX215" i="6" s="1"/>
  <c r="AY215" i="6" s="1"/>
  <c r="AZ215" i="6" s="1"/>
  <c r="BA215" i="6" s="1"/>
  <c r="BB215" i="6" s="1"/>
  <c r="BC215" i="6" s="1"/>
  <c r="BD215" i="6" s="1"/>
  <c r="BE215" i="6" s="1"/>
  <c r="BF215" i="6" s="1"/>
  <c r="BG215" i="6" s="1"/>
  <c r="BH215" i="6" s="1"/>
  <c r="BI215" i="6" s="1"/>
  <c r="BJ215" i="6" s="1"/>
  <c r="BK215" i="6" s="1"/>
  <c r="BL215" i="6" s="1"/>
  <c r="BM215" i="6" s="1"/>
  <c r="BN215" i="6" s="1"/>
  <c r="BO215" i="6" s="1"/>
  <c r="BP215" i="6" s="1"/>
  <c r="BQ215" i="6" s="1"/>
  <c r="BR215" i="6" s="1"/>
  <c r="BS215" i="6" s="1"/>
  <c r="BT215" i="6" s="1"/>
  <c r="BU215" i="6" s="1"/>
  <c r="BV215" i="6" s="1"/>
  <c r="BW215" i="6" s="1"/>
  <c r="BX215" i="6" s="1"/>
  <c r="BY215" i="6" s="1"/>
  <c r="BZ215" i="6" s="1"/>
  <c r="CA215" i="6" s="1"/>
  <c r="CB215" i="6" s="1"/>
  <c r="CC215" i="6" s="1"/>
  <c r="CD215" i="6" s="1"/>
  <c r="CE215" i="6" s="1"/>
  <c r="CF215" i="6" s="1"/>
  <c r="CG215" i="6" s="1"/>
  <c r="CH215" i="6" s="1"/>
  <c r="CI215" i="6" s="1"/>
  <c r="CJ215" i="6" s="1"/>
  <c r="CK215" i="6" s="1"/>
  <c r="CL215" i="6" s="1"/>
  <c r="CM215" i="6" s="1"/>
  <c r="CN215" i="6" s="1"/>
  <c r="CO215" i="6" s="1"/>
  <c r="CP215" i="6" s="1"/>
  <c r="CQ215" i="6" s="1"/>
  <c r="CR215" i="6" s="1"/>
  <c r="CS215" i="6" s="1"/>
  <c r="CT215" i="6" s="1"/>
  <c r="CU215" i="6" s="1"/>
  <c r="CV215" i="6" s="1"/>
  <c r="CW215" i="6" s="1"/>
  <c r="CX215" i="6" s="1"/>
  <c r="CY215" i="6" s="1"/>
  <c r="CZ215" i="6" s="1"/>
  <c r="DA215" i="6" s="1"/>
  <c r="DB215" i="6" s="1"/>
  <c r="DC215" i="6" s="1"/>
  <c r="DD215" i="6" s="1"/>
  <c r="DE215" i="6" s="1"/>
  <c r="M354" i="6"/>
  <c r="N354" i="6" s="1"/>
  <c r="O354" i="6" s="1"/>
  <c r="P354" i="6" s="1"/>
  <c r="Q354" i="6" s="1"/>
  <c r="R354" i="6" s="1"/>
  <c r="S354" i="6" s="1"/>
  <c r="T354" i="6" s="1"/>
  <c r="U354" i="6" s="1"/>
  <c r="V354" i="6" s="1"/>
  <c r="W354" i="6" s="1"/>
  <c r="X354" i="6" s="1"/>
  <c r="Y354" i="6" s="1"/>
  <c r="Z354" i="6" s="1"/>
  <c r="AA354" i="6" s="1"/>
  <c r="AB354" i="6" s="1"/>
  <c r="AC354" i="6" s="1"/>
  <c r="AD354" i="6" s="1"/>
  <c r="AE354" i="6" s="1"/>
  <c r="AF354" i="6" s="1"/>
  <c r="AG354" i="6" s="1"/>
  <c r="AH354" i="6" s="1"/>
  <c r="AI354" i="6" s="1"/>
  <c r="AJ354" i="6" s="1"/>
  <c r="AK354" i="6" s="1"/>
  <c r="AL354" i="6" s="1"/>
  <c r="AM354" i="6" s="1"/>
  <c r="AN354" i="6" s="1"/>
  <c r="AO354" i="6" s="1"/>
  <c r="AP354" i="6" s="1"/>
  <c r="AQ354" i="6" s="1"/>
  <c r="AR354" i="6" s="1"/>
  <c r="AS354" i="6" s="1"/>
  <c r="AT354" i="6" s="1"/>
  <c r="AU354" i="6" s="1"/>
  <c r="AV354" i="6" s="1"/>
  <c r="AW354" i="6" s="1"/>
  <c r="AX354" i="6" s="1"/>
  <c r="AY354" i="6" s="1"/>
  <c r="AZ354" i="6" s="1"/>
  <c r="BA354" i="6" s="1"/>
  <c r="BB354" i="6" s="1"/>
  <c r="BC354" i="6" s="1"/>
  <c r="BD354" i="6" s="1"/>
  <c r="BE354" i="6" s="1"/>
  <c r="BF354" i="6" s="1"/>
  <c r="BG354" i="6" s="1"/>
  <c r="BH354" i="6" s="1"/>
  <c r="BI354" i="6" s="1"/>
  <c r="BJ354" i="6" s="1"/>
  <c r="BK354" i="6" s="1"/>
  <c r="BL354" i="6" s="1"/>
  <c r="BM354" i="6" s="1"/>
  <c r="BN354" i="6" s="1"/>
  <c r="BO354" i="6" s="1"/>
  <c r="BP354" i="6" s="1"/>
  <c r="BQ354" i="6" s="1"/>
  <c r="BR354" i="6" s="1"/>
  <c r="BS354" i="6" s="1"/>
  <c r="BT354" i="6" s="1"/>
  <c r="BU354" i="6" s="1"/>
  <c r="BV354" i="6" s="1"/>
  <c r="BW354" i="6" s="1"/>
  <c r="BX354" i="6" s="1"/>
  <c r="BY354" i="6" s="1"/>
  <c r="BZ354" i="6" s="1"/>
  <c r="CA354" i="6" s="1"/>
  <c r="CB354" i="6" s="1"/>
  <c r="CC354" i="6" s="1"/>
  <c r="CD354" i="6" s="1"/>
  <c r="CE354" i="6" s="1"/>
  <c r="CF354" i="6" s="1"/>
  <c r="CG354" i="6" s="1"/>
  <c r="CH354" i="6" s="1"/>
  <c r="CI354" i="6" s="1"/>
  <c r="CJ354" i="6" s="1"/>
  <c r="CK354" i="6" s="1"/>
  <c r="CL354" i="6" s="1"/>
  <c r="CM354" i="6" s="1"/>
  <c r="CN354" i="6" s="1"/>
  <c r="CO354" i="6" s="1"/>
  <c r="CP354" i="6" s="1"/>
  <c r="CQ354" i="6" s="1"/>
  <c r="CR354" i="6" s="1"/>
  <c r="CS354" i="6" s="1"/>
  <c r="CT354" i="6" s="1"/>
  <c r="CU354" i="6" s="1"/>
  <c r="CV354" i="6" s="1"/>
  <c r="CW354" i="6" s="1"/>
  <c r="CX354" i="6" s="1"/>
  <c r="CY354" i="6" s="1"/>
  <c r="CZ354" i="6" s="1"/>
  <c r="DA354" i="6" s="1"/>
  <c r="DB354" i="6" s="1"/>
  <c r="DC354" i="6" s="1"/>
  <c r="DD354" i="6" s="1"/>
  <c r="DE354" i="6" s="1"/>
  <c r="DF354" i="6" s="1"/>
  <c r="P158" i="6"/>
  <c r="Q158" i="6" s="1"/>
  <c r="R158" i="6" s="1"/>
  <c r="S158" i="6" s="1"/>
  <c r="T158" i="6" s="1"/>
  <c r="U158" i="6" s="1"/>
  <c r="V158" i="6" s="1"/>
  <c r="W158" i="6" s="1"/>
  <c r="X158" i="6" s="1"/>
  <c r="Y158" i="6" s="1"/>
  <c r="Z158" i="6" s="1"/>
  <c r="AA158" i="6" s="1"/>
  <c r="AB158" i="6" s="1"/>
  <c r="AC158" i="6" s="1"/>
  <c r="AD158" i="6" s="1"/>
  <c r="AE158" i="6" s="1"/>
  <c r="AF158" i="6" s="1"/>
  <c r="AG158" i="6" s="1"/>
  <c r="AH158" i="6" s="1"/>
  <c r="AI158" i="6" s="1"/>
  <c r="AJ158" i="6" s="1"/>
  <c r="AK158" i="6" s="1"/>
  <c r="AL158" i="6" s="1"/>
  <c r="AM158" i="6" s="1"/>
  <c r="AN158" i="6" s="1"/>
  <c r="AO158" i="6" s="1"/>
  <c r="AP158" i="6" s="1"/>
  <c r="AQ158" i="6" s="1"/>
  <c r="AR158" i="6" s="1"/>
  <c r="AS158" i="6" s="1"/>
  <c r="AT158" i="6" s="1"/>
  <c r="AU158" i="6" s="1"/>
  <c r="AV158" i="6" s="1"/>
  <c r="AW158" i="6" s="1"/>
  <c r="AX158" i="6" s="1"/>
  <c r="AY158" i="6" s="1"/>
  <c r="AZ158" i="6" s="1"/>
  <c r="BA158" i="6" s="1"/>
  <c r="BB158" i="6" s="1"/>
  <c r="BC158" i="6" s="1"/>
  <c r="BD158" i="6" s="1"/>
  <c r="BE158" i="6" s="1"/>
  <c r="BF158" i="6" s="1"/>
  <c r="BG158" i="6" s="1"/>
  <c r="BH158" i="6" s="1"/>
  <c r="BI158" i="6" s="1"/>
  <c r="BJ158" i="6" s="1"/>
  <c r="BK158" i="6" s="1"/>
  <c r="BL158" i="6" s="1"/>
  <c r="BM158" i="6" s="1"/>
  <c r="BN158" i="6" s="1"/>
  <c r="BO158" i="6" s="1"/>
  <c r="BP158" i="6" s="1"/>
  <c r="BQ158" i="6" s="1"/>
  <c r="BR158" i="6" s="1"/>
  <c r="BS158" i="6" s="1"/>
  <c r="BT158" i="6" s="1"/>
  <c r="BU158" i="6" s="1"/>
  <c r="BV158" i="6" s="1"/>
  <c r="BW158" i="6" s="1"/>
  <c r="BX158" i="6" s="1"/>
  <c r="BY158" i="6" s="1"/>
  <c r="BZ158" i="6" s="1"/>
  <c r="CA158" i="6" s="1"/>
  <c r="CB158" i="6" s="1"/>
  <c r="CC158" i="6" s="1"/>
  <c r="CD158" i="6" s="1"/>
  <c r="CE158" i="6" s="1"/>
  <c r="CF158" i="6" s="1"/>
  <c r="CG158" i="6" s="1"/>
  <c r="CH158" i="6" s="1"/>
  <c r="CI158" i="6" s="1"/>
  <c r="CJ158" i="6" s="1"/>
  <c r="CK158" i="6" s="1"/>
  <c r="CL158" i="6" s="1"/>
  <c r="CM158" i="6" s="1"/>
  <c r="CN158" i="6" s="1"/>
  <c r="CO158" i="6" s="1"/>
  <c r="CP158" i="6" s="1"/>
  <c r="CQ158" i="6" s="1"/>
  <c r="CR158" i="6" s="1"/>
  <c r="CS158" i="6" s="1"/>
  <c r="CT158" i="6" s="1"/>
  <c r="CU158" i="6" s="1"/>
  <c r="CV158" i="6" s="1"/>
  <c r="CW158" i="6" s="1"/>
  <c r="CX158" i="6" s="1"/>
  <c r="CY158" i="6" s="1"/>
  <c r="CZ158" i="6" s="1"/>
  <c r="DA158" i="6" s="1"/>
  <c r="DB158" i="6" s="1"/>
  <c r="DC158" i="6" s="1"/>
  <c r="DD158" i="6" s="1"/>
  <c r="DE158" i="6" s="1"/>
  <c r="P219" i="6"/>
  <c r="Q219" i="6" s="1"/>
  <c r="R219" i="6" s="1"/>
  <c r="S219" i="6" s="1"/>
  <c r="T219" i="6" s="1"/>
  <c r="U219" i="6" s="1"/>
  <c r="V219" i="6" s="1"/>
  <c r="W219" i="6" s="1"/>
  <c r="X219" i="6" s="1"/>
  <c r="Y219" i="6" s="1"/>
  <c r="Z219" i="6" s="1"/>
  <c r="AA219" i="6" s="1"/>
  <c r="AB219" i="6" s="1"/>
  <c r="AC219" i="6" s="1"/>
  <c r="AD219" i="6" s="1"/>
  <c r="AE219" i="6" s="1"/>
  <c r="AF219" i="6" s="1"/>
  <c r="AG219" i="6" s="1"/>
  <c r="AH219" i="6" s="1"/>
  <c r="AI219" i="6" s="1"/>
  <c r="AJ219" i="6" s="1"/>
  <c r="AK219" i="6" s="1"/>
  <c r="AL219" i="6" s="1"/>
  <c r="AM219" i="6" s="1"/>
  <c r="AN219" i="6" s="1"/>
  <c r="AO219" i="6" s="1"/>
  <c r="AP219" i="6" s="1"/>
  <c r="AQ219" i="6" s="1"/>
  <c r="AR219" i="6" s="1"/>
  <c r="AS219" i="6" s="1"/>
  <c r="AT219" i="6" s="1"/>
  <c r="AU219" i="6" s="1"/>
  <c r="AV219" i="6" s="1"/>
  <c r="AW219" i="6" s="1"/>
  <c r="AX219" i="6" s="1"/>
  <c r="AY219" i="6" s="1"/>
  <c r="AZ219" i="6" s="1"/>
  <c r="BA219" i="6" s="1"/>
  <c r="BB219" i="6" s="1"/>
  <c r="BC219" i="6" s="1"/>
  <c r="BD219" i="6" s="1"/>
  <c r="BE219" i="6" s="1"/>
  <c r="BF219" i="6" s="1"/>
  <c r="BG219" i="6" s="1"/>
  <c r="BH219" i="6" s="1"/>
  <c r="BI219" i="6" s="1"/>
  <c r="BJ219" i="6" s="1"/>
  <c r="BK219" i="6" s="1"/>
  <c r="BL219" i="6" s="1"/>
  <c r="BM219" i="6" s="1"/>
  <c r="BN219" i="6" s="1"/>
  <c r="BO219" i="6" s="1"/>
  <c r="BP219" i="6" s="1"/>
  <c r="BQ219" i="6" s="1"/>
  <c r="BR219" i="6" s="1"/>
  <c r="BS219" i="6" s="1"/>
  <c r="BT219" i="6" s="1"/>
  <c r="BU219" i="6" s="1"/>
  <c r="BV219" i="6" s="1"/>
  <c r="BW219" i="6" s="1"/>
  <c r="BX219" i="6" s="1"/>
  <c r="BY219" i="6" s="1"/>
  <c r="BZ219" i="6" s="1"/>
  <c r="CA219" i="6" s="1"/>
  <c r="CB219" i="6" s="1"/>
  <c r="CC219" i="6" s="1"/>
  <c r="CD219" i="6" s="1"/>
  <c r="CE219" i="6" s="1"/>
  <c r="CF219" i="6" s="1"/>
  <c r="CG219" i="6" s="1"/>
  <c r="CH219" i="6" s="1"/>
  <c r="CI219" i="6" s="1"/>
  <c r="CJ219" i="6" s="1"/>
  <c r="CK219" i="6" s="1"/>
  <c r="CL219" i="6" s="1"/>
  <c r="CM219" i="6" s="1"/>
  <c r="CN219" i="6" s="1"/>
  <c r="CO219" i="6" s="1"/>
  <c r="CP219" i="6" s="1"/>
  <c r="CQ219" i="6" s="1"/>
  <c r="CR219" i="6" s="1"/>
  <c r="CS219" i="6" s="1"/>
  <c r="CT219" i="6" s="1"/>
  <c r="CU219" i="6" s="1"/>
  <c r="CV219" i="6" s="1"/>
  <c r="CW219" i="6" s="1"/>
  <c r="CX219" i="6" s="1"/>
  <c r="CY219" i="6" s="1"/>
  <c r="CZ219" i="6" s="1"/>
  <c r="DA219" i="6" s="1"/>
  <c r="DB219" i="6" s="1"/>
  <c r="DC219" i="6" s="1"/>
  <c r="DD219" i="6" s="1"/>
  <c r="DE219" i="6" s="1"/>
  <c r="P7" i="6"/>
  <c r="Q7" i="6" s="1"/>
  <c r="R7" i="6" s="1"/>
  <c r="S7" i="6" s="1"/>
  <c r="T7" i="6" s="1"/>
  <c r="U7" i="6" s="1"/>
  <c r="V7" i="6" s="1"/>
  <c r="W7" i="6" s="1"/>
  <c r="X7" i="6" s="1"/>
  <c r="Y7" i="6" s="1"/>
  <c r="Z7" i="6" s="1"/>
  <c r="AA7" i="6" s="1"/>
  <c r="AB7" i="6" s="1"/>
  <c r="AC7" i="6" s="1"/>
  <c r="AD7" i="6" s="1"/>
  <c r="AE7" i="6" s="1"/>
  <c r="AF7" i="6" s="1"/>
  <c r="AG7" i="6" s="1"/>
  <c r="AH7" i="6" s="1"/>
  <c r="AI7" i="6" s="1"/>
  <c r="AJ7" i="6" s="1"/>
  <c r="AK7" i="6" s="1"/>
  <c r="AL7" i="6" s="1"/>
  <c r="AM7" i="6" s="1"/>
  <c r="AN7" i="6" s="1"/>
  <c r="AO7" i="6" s="1"/>
  <c r="AP7" i="6" s="1"/>
  <c r="AQ7" i="6" s="1"/>
  <c r="AR7" i="6" s="1"/>
  <c r="AS7" i="6" s="1"/>
  <c r="AT7" i="6" s="1"/>
  <c r="AU7" i="6" s="1"/>
  <c r="AV7" i="6" s="1"/>
  <c r="AW7" i="6" s="1"/>
  <c r="AX7" i="6" s="1"/>
  <c r="AY7" i="6" s="1"/>
  <c r="AZ7" i="6" s="1"/>
  <c r="BA7" i="6" s="1"/>
  <c r="BB7" i="6" s="1"/>
  <c r="BC7" i="6" s="1"/>
  <c r="BD7" i="6" s="1"/>
  <c r="BE7" i="6" s="1"/>
  <c r="BF7" i="6" s="1"/>
  <c r="BG7" i="6" s="1"/>
  <c r="BH7" i="6" s="1"/>
  <c r="BI7" i="6" s="1"/>
  <c r="BJ7" i="6" s="1"/>
  <c r="BK7" i="6" s="1"/>
  <c r="BL7" i="6" s="1"/>
  <c r="BM7" i="6" s="1"/>
  <c r="BN7" i="6" s="1"/>
  <c r="BO7" i="6" s="1"/>
  <c r="BP7" i="6" s="1"/>
  <c r="BQ7" i="6" s="1"/>
  <c r="BR7" i="6" s="1"/>
  <c r="BS7" i="6" s="1"/>
  <c r="BT7" i="6" s="1"/>
  <c r="BU7" i="6" s="1"/>
  <c r="BV7" i="6" s="1"/>
  <c r="BW7" i="6" s="1"/>
  <c r="BX7" i="6" s="1"/>
  <c r="BY7" i="6" s="1"/>
  <c r="BZ7" i="6" s="1"/>
  <c r="CA7" i="6" s="1"/>
  <c r="CB7" i="6" s="1"/>
  <c r="CC7" i="6" s="1"/>
  <c r="CD7" i="6" s="1"/>
  <c r="CE7" i="6" s="1"/>
  <c r="CF7" i="6" s="1"/>
  <c r="CG7" i="6" s="1"/>
  <c r="CH7" i="6" s="1"/>
  <c r="CI7" i="6" s="1"/>
  <c r="CJ7" i="6" s="1"/>
  <c r="CK7" i="6" s="1"/>
  <c r="CL7" i="6" s="1"/>
  <c r="CM7" i="6" s="1"/>
  <c r="CN7" i="6" s="1"/>
  <c r="CO7" i="6" s="1"/>
  <c r="CP7" i="6" s="1"/>
  <c r="CQ7" i="6" s="1"/>
  <c r="CR7" i="6" s="1"/>
  <c r="CS7" i="6" s="1"/>
  <c r="CT7" i="6" s="1"/>
  <c r="CU7" i="6" s="1"/>
  <c r="CV7" i="6" s="1"/>
  <c r="CW7" i="6" s="1"/>
  <c r="CX7" i="6" s="1"/>
  <c r="CY7" i="6" s="1"/>
  <c r="CZ7" i="6" s="1"/>
  <c r="DA7" i="6" s="1"/>
  <c r="DB7" i="6" s="1"/>
  <c r="DC7" i="6" s="1"/>
  <c r="DD7" i="6" s="1"/>
  <c r="DE7" i="6" s="1"/>
  <c r="P43" i="6"/>
  <c r="Q43" i="6" s="1"/>
  <c r="R43" i="6" s="1"/>
  <c r="S43" i="6" s="1"/>
  <c r="T43" i="6" s="1"/>
  <c r="U43" i="6" s="1"/>
  <c r="V43" i="6" s="1"/>
  <c r="W43" i="6" s="1"/>
  <c r="X43" i="6" s="1"/>
  <c r="Y43" i="6" s="1"/>
  <c r="Z43" i="6" s="1"/>
  <c r="AA43" i="6" s="1"/>
  <c r="AB43" i="6" s="1"/>
  <c r="AC43" i="6" s="1"/>
  <c r="AD43" i="6" s="1"/>
  <c r="AE43" i="6" s="1"/>
  <c r="AF43" i="6" s="1"/>
  <c r="AG43" i="6" s="1"/>
  <c r="AH43" i="6" s="1"/>
  <c r="AI43" i="6" s="1"/>
  <c r="AJ43" i="6" s="1"/>
  <c r="AK43" i="6" s="1"/>
  <c r="AL43" i="6" s="1"/>
  <c r="AM43" i="6" s="1"/>
  <c r="AN43" i="6" s="1"/>
  <c r="AO43" i="6" s="1"/>
  <c r="AP43" i="6" s="1"/>
  <c r="AQ43" i="6" s="1"/>
  <c r="AR43" i="6" s="1"/>
  <c r="AS43" i="6" s="1"/>
  <c r="AT43" i="6" s="1"/>
  <c r="AU43" i="6" s="1"/>
  <c r="AV43" i="6" s="1"/>
  <c r="AW43" i="6" s="1"/>
  <c r="AX43" i="6" s="1"/>
  <c r="AY43" i="6" s="1"/>
  <c r="AZ43" i="6" s="1"/>
  <c r="BA43" i="6" s="1"/>
  <c r="BB43" i="6" s="1"/>
  <c r="BC43" i="6" s="1"/>
  <c r="BD43" i="6" s="1"/>
  <c r="BE43" i="6" s="1"/>
  <c r="BF43" i="6" s="1"/>
  <c r="BG43" i="6" s="1"/>
  <c r="BH43" i="6" s="1"/>
  <c r="BI43" i="6" s="1"/>
  <c r="BJ43" i="6" s="1"/>
  <c r="BK43" i="6" s="1"/>
  <c r="BL43" i="6" s="1"/>
  <c r="BM43" i="6" s="1"/>
  <c r="BN43" i="6" s="1"/>
  <c r="BO43" i="6" s="1"/>
  <c r="BP43" i="6" s="1"/>
  <c r="BQ43" i="6" s="1"/>
  <c r="BR43" i="6" s="1"/>
  <c r="BS43" i="6" s="1"/>
  <c r="BT43" i="6" s="1"/>
  <c r="BU43" i="6" s="1"/>
  <c r="BV43" i="6" s="1"/>
  <c r="BW43" i="6" s="1"/>
  <c r="BX43" i="6" s="1"/>
  <c r="BY43" i="6" s="1"/>
  <c r="BZ43" i="6" s="1"/>
  <c r="CA43" i="6" s="1"/>
  <c r="CB43" i="6" s="1"/>
  <c r="CC43" i="6" s="1"/>
  <c r="CD43" i="6" s="1"/>
  <c r="CE43" i="6" s="1"/>
  <c r="CF43" i="6" s="1"/>
  <c r="CG43" i="6" s="1"/>
  <c r="CH43" i="6" s="1"/>
  <c r="CI43" i="6" s="1"/>
  <c r="CJ43" i="6" s="1"/>
  <c r="CK43" i="6" s="1"/>
  <c r="CL43" i="6" s="1"/>
  <c r="CM43" i="6" s="1"/>
  <c r="CN43" i="6" s="1"/>
  <c r="CO43" i="6" s="1"/>
  <c r="CP43" i="6" s="1"/>
  <c r="CQ43" i="6" s="1"/>
  <c r="CR43" i="6" s="1"/>
  <c r="CS43" i="6" s="1"/>
  <c r="CT43" i="6" s="1"/>
  <c r="CU43" i="6" s="1"/>
  <c r="CV43" i="6" s="1"/>
  <c r="CW43" i="6" s="1"/>
  <c r="CX43" i="6" s="1"/>
  <c r="CY43" i="6" s="1"/>
  <c r="CZ43" i="6" s="1"/>
  <c r="DA43" i="6" s="1"/>
  <c r="DB43" i="6" s="1"/>
  <c r="DC43" i="6" s="1"/>
  <c r="DD43" i="6" s="1"/>
  <c r="DE43" i="6" s="1"/>
  <c r="M209" i="6"/>
  <c r="N209" i="6" s="1"/>
  <c r="O209" i="6" s="1"/>
  <c r="P209" i="6" s="1"/>
  <c r="Q209" i="6" s="1"/>
  <c r="R209" i="6" s="1"/>
  <c r="S209" i="6" s="1"/>
  <c r="T209" i="6" s="1"/>
  <c r="U209" i="6" s="1"/>
  <c r="V209" i="6" s="1"/>
  <c r="W209" i="6" s="1"/>
  <c r="X209" i="6" s="1"/>
  <c r="Y209" i="6" s="1"/>
  <c r="Z209" i="6" s="1"/>
  <c r="AA209" i="6" s="1"/>
  <c r="AB209" i="6" s="1"/>
  <c r="AC209" i="6" s="1"/>
  <c r="AD209" i="6" s="1"/>
  <c r="AE209" i="6" s="1"/>
  <c r="AF209" i="6" s="1"/>
  <c r="AG209" i="6" s="1"/>
  <c r="AH209" i="6" s="1"/>
  <c r="AI209" i="6" s="1"/>
  <c r="AJ209" i="6" s="1"/>
  <c r="AK209" i="6" s="1"/>
  <c r="AL209" i="6" s="1"/>
  <c r="AM209" i="6" s="1"/>
  <c r="AN209" i="6" s="1"/>
  <c r="AO209" i="6" s="1"/>
  <c r="AP209" i="6" s="1"/>
  <c r="AQ209" i="6" s="1"/>
  <c r="AR209" i="6" s="1"/>
  <c r="AS209" i="6" s="1"/>
  <c r="AT209" i="6" s="1"/>
  <c r="AU209" i="6" s="1"/>
  <c r="AV209" i="6" s="1"/>
  <c r="AW209" i="6" s="1"/>
  <c r="AX209" i="6" s="1"/>
  <c r="AY209" i="6" s="1"/>
  <c r="AZ209" i="6" s="1"/>
  <c r="BA209" i="6" s="1"/>
  <c r="BB209" i="6" s="1"/>
  <c r="BC209" i="6" s="1"/>
  <c r="BD209" i="6" s="1"/>
  <c r="BE209" i="6" s="1"/>
  <c r="BF209" i="6" s="1"/>
  <c r="BG209" i="6" s="1"/>
  <c r="BH209" i="6" s="1"/>
  <c r="BI209" i="6" s="1"/>
  <c r="BJ209" i="6" s="1"/>
  <c r="BK209" i="6" s="1"/>
  <c r="BL209" i="6" s="1"/>
  <c r="BM209" i="6" s="1"/>
  <c r="BN209" i="6" s="1"/>
  <c r="BO209" i="6" s="1"/>
  <c r="BP209" i="6" s="1"/>
  <c r="BQ209" i="6" s="1"/>
  <c r="BR209" i="6" s="1"/>
  <c r="BS209" i="6" s="1"/>
  <c r="BT209" i="6" s="1"/>
  <c r="BU209" i="6" s="1"/>
  <c r="BV209" i="6" s="1"/>
  <c r="BW209" i="6" s="1"/>
  <c r="BX209" i="6" s="1"/>
  <c r="BY209" i="6" s="1"/>
  <c r="BZ209" i="6" s="1"/>
  <c r="CA209" i="6" s="1"/>
  <c r="CB209" i="6" s="1"/>
  <c r="CC209" i="6" s="1"/>
  <c r="CD209" i="6" s="1"/>
  <c r="CE209" i="6" s="1"/>
  <c r="CF209" i="6" s="1"/>
  <c r="CG209" i="6" s="1"/>
  <c r="CH209" i="6" s="1"/>
  <c r="CI209" i="6" s="1"/>
  <c r="CJ209" i="6" s="1"/>
  <c r="CK209" i="6" s="1"/>
  <c r="CL209" i="6" s="1"/>
  <c r="CM209" i="6" s="1"/>
  <c r="CN209" i="6" s="1"/>
  <c r="CO209" i="6" s="1"/>
  <c r="CP209" i="6" s="1"/>
  <c r="CQ209" i="6" s="1"/>
  <c r="CR209" i="6" s="1"/>
  <c r="CS209" i="6" s="1"/>
  <c r="CT209" i="6" s="1"/>
  <c r="CU209" i="6" s="1"/>
  <c r="CV209" i="6" s="1"/>
  <c r="CW209" i="6" s="1"/>
  <c r="CX209" i="6" s="1"/>
  <c r="CY209" i="6" s="1"/>
  <c r="CZ209" i="6" s="1"/>
  <c r="DA209" i="6" s="1"/>
  <c r="DB209" i="6" s="1"/>
  <c r="DC209" i="6" s="1"/>
  <c r="DD209" i="6" s="1"/>
  <c r="DE209" i="6" s="1"/>
  <c r="P47" i="6"/>
  <c r="Q47" i="6" s="1"/>
  <c r="R47" i="6" s="1"/>
  <c r="S47" i="6" s="1"/>
  <c r="T47" i="6" s="1"/>
  <c r="U47" i="6" s="1"/>
  <c r="V47" i="6" s="1"/>
  <c r="W47" i="6" s="1"/>
  <c r="X47" i="6" s="1"/>
  <c r="Y47" i="6" s="1"/>
  <c r="Z47" i="6" s="1"/>
  <c r="AA47" i="6" s="1"/>
  <c r="AB47" i="6" s="1"/>
  <c r="AC47" i="6" s="1"/>
  <c r="AD47" i="6" s="1"/>
  <c r="AE47" i="6" s="1"/>
  <c r="AF47" i="6" s="1"/>
  <c r="AG47" i="6" s="1"/>
  <c r="AH47" i="6" s="1"/>
  <c r="AI47" i="6" s="1"/>
  <c r="AJ47" i="6" s="1"/>
  <c r="AK47" i="6" s="1"/>
  <c r="AL47" i="6" s="1"/>
  <c r="AM47" i="6" s="1"/>
  <c r="AN47" i="6" s="1"/>
  <c r="AO47" i="6" s="1"/>
  <c r="AP47" i="6" s="1"/>
  <c r="AQ47" i="6" s="1"/>
  <c r="AR47" i="6" s="1"/>
  <c r="AS47" i="6" s="1"/>
  <c r="AT47" i="6" s="1"/>
  <c r="AU47" i="6" s="1"/>
  <c r="AV47" i="6" s="1"/>
  <c r="AW47" i="6" s="1"/>
  <c r="AX47" i="6" s="1"/>
  <c r="AY47" i="6" s="1"/>
  <c r="AZ47" i="6" s="1"/>
  <c r="BA47" i="6" s="1"/>
  <c r="BB47" i="6" s="1"/>
  <c r="BC47" i="6" s="1"/>
  <c r="BD47" i="6" s="1"/>
  <c r="BE47" i="6" s="1"/>
  <c r="BF47" i="6" s="1"/>
  <c r="BG47" i="6" s="1"/>
  <c r="BH47" i="6" s="1"/>
  <c r="BI47" i="6" s="1"/>
  <c r="BJ47" i="6" s="1"/>
  <c r="BK47" i="6" s="1"/>
  <c r="BL47" i="6" s="1"/>
  <c r="BM47" i="6" s="1"/>
  <c r="BN47" i="6" s="1"/>
  <c r="BO47" i="6" s="1"/>
  <c r="BP47" i="6" s="1"/>
  <c r="BQ47" i="6" s="1"/>
  <c r="BR47" i="6" s="1"/>
  <c r="BS47" i="6" s="1"/>
  <c r="BT47" i="6" s="1"/>
  <c r="BU47" i="6" s="1"/>
  <c r="BV47" i="6" s="1"/>
  <c r="BW47" i="6" s="1"/>
  <c r="BX47" i="6" s="1"/>
  <c r="BY47" i="6" s="1"/>
  <c r="BZ47" i="6" s="1"/>
  <c r="CA47" i="6" s="1"/>
  <c r="CB47" i="6" s="1"/>
  <c r="CC47" i="6" s="1"/>
  <c r="CD47" i="6" s="1"/>
  <c r="CE47" i="6" s="1"/>
  <c r="CF47" i="6" s="1"/>
  <c r="CG47" i="6" s="1"/>
  <c r="CH47" i="6" s="1"/>
  <c r="CI47" i="6" s="1"/>
  <c r="CJ47" i="6" s="1"/>
  <c r="CK47" i="6" s="1"/>
  <c r="CL47" i="6" s="1"/>
  <c r="CM47" i="6" s="1"/>
  <c r="CN47" i="6" s="1"/>
  <c r="CO47" i="6" s="1"/>
  <c r="CP47" i="6" s="1"/>
  <c r="CQ47" i="6" s="1"/>
  <c r="CR47" i="6" s="1"/>
  <c r="CS47" i="6" s="1"/>
  <c r="CT47" i="6" s="1"/>
  <c r="CU47" i="6" s="1"/>
  <c r="CV47" i="6" s="1"/>
  <c r="CW47" i="6" s="1"/>
  <c r="CX47" i="6" s="1"/>
  <c r="CY47" i="6" s="1"/>
  <c r="CZ47" i="6" s="1"/>
  <c r="DA47" i="6" s="1"/>
  <c r="DB47" i="6" s="1"/>
  <c r="DC47" i="6" s="1"/>
  <c r="DD47" i="6" s="1"/>
  <c r="DE47" i="6" s="1"/>
  <c r="M114" i="6"/>
  <c r="N114" i="6" s="1"/>
  <c r="O114" i="6" s="1"/>
  <c r="P114" i="6" s="1"/>
  <c r="Q114" i="6" s="1"/>
  <c r="R114" i="6" s="1"/>
  <c r="S114" i="6" s="1"/>
  <c r="T114" i="6" s="1"/>
  <c r="U114" i="6" s="1"/>
  <c r="V114" i="6" s="1"/>
  <c r="W114" i="6" s="1"/>
  <c r="X114" i="6" s="1"/>
  <c r="Y114" i="6" s="1"/>
  <c r="Z114" i="6" s="1"/>
  <c r="AA114" i="6" s="1"/>
  <c r="AB114" i="6" s="1"/>
  <c r="AC114" i="6" s="1"/>
  <c r="AD114" i="6" s="1"/>
  <c r="AE114" i="6" s="1"/>
  <c r="AF114" i="6" s="1"/>
  <c r="AG114" i="6" s="1"/>
  <c r="AH114" i="6" s="1"/>
  <c r="AI114" i="6" s="1"/>
  <c r="AJ114" i="6" s="1"/>
  <c r="AK114" i="6" s="1"/>
  <c r="AL114" i="6" s="1"/>
  <c r="AM114" i="6" s="1"/>
  <c r="AN114" i="6" s="1"/>
  <c r="AO114" i="6" s="1"/>
  <c r="AP114" i="6" s="1"/>
  <c r="AQ114" i="6" s="1"/>
  <c r="AR114" i="6" s="1"/>
  <c r="AS114" i="6" s="1"/>
  <c r="AT114" i="6" s="1"/>
  <c r="AU114" i="6" s="1"/>
  <c r="AV114" i="6" s="1"/>
  <c r="AW114" i="6" s="1"/>
  <c r="AX114" i="6" s="1"/>
  <c r="AY114" i="6" s="1"/>
  <c r="AZ114" i="6" s="1"/>
  <c r="BA114" i="6" s="1"/>
  <c r="BB114" i="6" s="1"/>
  <c r="BC114" i="6" s="1"/>
  <c r="BD114" i="6" s="1"/>
  <c r="BE114" i="6" s="1"/>
  <c r="BF114" i="6" s="1"/>
  <c r="BG114" i="6" s="1"/>
  <c r="BH114" i="6" s="1"/>
  <c r="BI114" i="6" s="1"/>
  <c r="BJ114" i="6" s="1"/>
  <c r="BK114" i="6" s="1"/>
  <c r="BL114" i="6" s="1"/>
  <c r="BM114" i="6" s="1"/>
  <c r="BN114" i="6" s="1"/>
  <c r="BO114" i="6" s="1"/>
  <c r="BP114" i="6" s="1"/>
  <c r="BQ114" i="6" s="1"/>
  <c r="BR114" i="6" s="1"/>
  <c r="BS114" i="6" s="1"/>
  <c r="BT114" i="6" s="1"/>
  <c r="BU114" i="6" s="1"/>
  <c r="BV114" i="6" s="1"/>
  <c r="BW114" i="6" s="1"/>
  <c r="BX114" i="6" s="1"/>
  <c r="BY114" i="6" s="1"/>
  <c r="BZ114" i="6" s="1"/>
  <c r="CA114" i="6" s="1"/>
  <c r="CB114" i="6" s="1"/>
  <c r="CC114" i="6" s="1"/>
  <c r="CD114" i="6" s="1"/>
  <c r="CE114" i="6" s="1"/>
  <c r="CF114" i="6" s="1"/>
  <c r="CG114" i="6" s="1"/>
  <c r="CH114" i="6" s="1"/>
  <c r="CI114" i="6" s="1"/>
  <c r="CJ114" i="6" s="1"/>
  <c r="CK114" i="6" s="1"/>
  <c r="CL114" i="6" s="1"/>
  <c r="CM114" i="6" s="1"/>
  <c r="CN114" i="6" s="1"/>
  <c r="CO114" i="6" s="1"/>
  <c r="CP114" i="6" s="1"/>
  <c r="CQ114" i="6" s="1"/>
  <c r="CR114" i="6" s="1"/>
  <c r="CS114" i="6" s="1"/>
  <c r="CT114" i="6" s="1"/>
  <c r="CU114" i="6" s="1"/>
  <c r="CV114" i="6" s="1"/>
  <c r="CW114" i="6" s="1"/>
  <c r="CX114" i="6" s="1"/>
  <c r="CY114" i="6" s="1"/>
  <c r="CZ114" i="6" s="1"/>
  <c r="DA114" i="6" s="1"/>
  <c r="DB114" i="6" s="1"/>
  <c r="DC114" i="6" s="1"/>
  <c r="DD114" i="6" s="1"/>
  <c r="DE114" i="6" s="1"/>
  <c r="M203" i="6"/>
  <c r="N203" i="6" s="1"/>
  <c r="O203" i="6" s="1"/>
  <c r="P203" i="6" s="1"/>
  <c r="Q203" i="6" s="1"/>
  <c r="R203" i="6" s="1"/>
  <c r="S203" i="6" s="1"/>
  <c r="T203" i="6" s="1"/>
  <c r="U203" i="6" s="1"/>
  <c r="V203" i="6" s="1"/>
  <c r="W203" i="6" s="1"/>
  <c r="X203" i="6" s="1"/>
  <c r="Y203" i="6" s="1"/>
  <c r="Z203" i="6" s="1"/>
  <c r="AA203" i="6" s="1"/>
  <c r="AB203" i="6" s="1"/>
  <c r="AC203" i="6" s="1"/>
  <c r="AD203" i="6" s="1"/>
  <c r="AE203" i="6" s="1"/>
  <c r="AF203" i="6" s="1"/>
  <c r="AG203" i="6" s="1"/>
  <c r="AH203" i="6" s="1"/>
  <c r="AI203" i="6" s="1"/>
  <c r="AJ203" i="6" s="1"/>
  <c r="AK203" i="6" s="1"/>
  <c r="AL203" i="6" s="1"/>
  <c r="AM203" i="6" s="1"/>
  <c r="AN203" i="6" s="1"/>
  <c r="AO203" i="6" s="1"/>
  <c r="AP203" i="6" s="1"/>
  <c r="AQ203" i="6" s="1"/>
  <c r="AR203" i="6" s="1"/>
  <c r="AS203" i="6" s="1"/>
  <c r="AT203" i="6" s="1"/>
  <c r="AU203" i="6" s="1"/>
  <c r="AV203" i="6" s="1"/>
  <c r="AW203" i="6" s="1"/>
  <c r="AX203" i="6" s="1"/>
  <c r="AY203" i="6" s="1"/>
  <c r="AZ203" i="6" s="1"/>
  <c r="BA203" i="6" s="1"/>
  <c r="BB203" i="6" s="1"/>
  <c r="BC203" i="6" s="1"/>
  <c r="BD203" i="6" s="1"/>
  <c r="BE203" i="6" s="1"/>
  <c r="BF203" i="6" s="1"/>
  <c r="BG203" i="6" s="1"/>
  <c r="BH203" i="6" s="1"/>
  <c r="BI203" i="6" s="1"/>
  <c r="BJ203" i="6" s="1"/>
  <c r="BK203" i="6" s="1"/>
  <c r="BL203" i="6" s="1"/>
  <c r="BM203" i="6" s="1"/>
  <c r="BN203" i="6" s="1"/>
  <c r="BO203" i="6" s="1"/>
  <c r="BP203" i="6" s="1"/>
  <c r="BQ203" i="6" s="1"/>
  <c r="BR203" i="6" s="1"/>
  <c r="BS203" i="6" s="1"/>
  <c r="BT203" i="6" s="1"/>
  <c r="BU203" i="6" s="1"/>
  <c r="BV203" i="6" s="1"/>
  <c r="BW203" i="6" s="1"/>
  <c r="BX203" i="6" s="1"/>
  <c r="BY203" i="6" s="1"/>
  <c r="BZ203" i="6" s="1"/>
  <c r="CA203" i="6" s="1"/>
  <c r="CB203" i="6" s="1"/>
  <c r="CC203" i="6" s="1"/>
  <c r="CD203" i="6" s="1"/>
  <c r="CE203" i="6" s="1"/>
  <c r="CF203" i="6" s="1"/>
  <c r="CG203" i="6" s="1"/>
  <c r="CH203" i="6" s="1"/>
  <c r="CI203" i="6" s="1"/>
  <c r="CJ203" i="6" s="1"/>
  <c r="CK203" i="6" s="1"/>
  <c r="CL203" i="6" s="1"/>
  <c r="CM203" i="6" s="1"/>
  <c r="CN203" i="6" s="1"/>
  <c r="CO203" i="6" s="1"/>
  <c r="CP203" i="6" s="1"/>
  <c r="CQ203" i="6" s="1"/>
  <c r="CR203" i="6" s="1"/>
  <c r="CS203" i="6" s="1"/>
  <c r="CT203" i="6" s="1"/>
  <c r="CU203" i="6" s="1"/>
  <c r="CV203" i="6" s="1"/>
  <c r="CW203" i="6" s="1"/>
  <c r="CX203" i="6" s="1"/>
  <c r="CY203" i="6" s="1"/>
  <c r="CZ203" i="6" s="1"/>
  <c r="DA203" i="6" s="1"/>
  <c r="DB203" i="6" s="1"/>
  <c r="DC203" i="6" s="1"/>
  <c r="DD203" i="6" s="1"/>
  <c r="DE203" i="6" s="1"/>
  <c r="P128" i="6"/>
  <c r="Q128" i="6" s="1"/>
  <c r="R128" i="6" s="1"/>
  <c r="S128" i="6" s="1"/>
  <c r="T128" i="6" s="1"/>
  <c r="U128" i="6" s="1"/>
  <c r="V128" i="6" s="1"/>
  <c r="W128" i="6" s="1"/>
  <c r="X128" i="6" s="1"/>
  <c r="Y128" i="6" s="1"/>
  <c r="Z128" i="6" s="1"/>
  <c r="AA128" i="6" s="1"/>
  <c r="AB128" i="6" s="1"/>
  <c r="AC128" i="6" s="1"/>
  <c r="AD128" i="6" s="1"/>
  <c r="AE128" i="6" s="1"/>
  <c r="AF128" i="6" s="1"/>
  <c r="AG128" i="6" s="1"/>
  <c r="AH128" i="6" s="1"/>
  <c r="AI128" i="6" s="1"/>
  <c r="AJ128" i="6" s="1"/>
  <c r="AK128" i="6" s="1"/>
  <c r="AL128" i="6" s="1"/>
  <c r="AM128" i="6" s="1"/>
  <c r="AN128" i="6" s="1"/>
  <c r="AO128" i="6" s="1"/>
  <c r="AP128" i="6" s="1"/>
  <c r="AQ128" i="6" s="1"/>
  <c r="AR128" i="6" s="1"/>
  <c r="AS128" i="6" s="1"/>
  <c r="AT128" i="6" s="1"/>
  <c r="AU128" i="6" s="1"/>
  <c r="AV128" i="6" s="1"/>
  <c r="AW128" i="6" s="1"/>
  <c r="AX128" i="6" s="1"/>
  <c r="AY128" i="6" s="1"/>
  <c r="AZ128" i="6" s="1"/>
  <c r="BA128" i="6" s="1"/>
  <c r="BB128" i="6" s="1"/>
  <c r="BC128" i="6" s="1"/>
  <c r="BD128" i="6" s="1"/>
  <c r="BE128" i="6" s="1"/>
  <c r="BF128" i="6" s="1"/>
  <c r="BG128" i="6" s="1"/>
  <c r="BH128" i="6" s="1"/>
  <c r="BI128" i="6" s="1"/>
  <c r="BJ128" i="6" s="1"/>
  <c r="BK128" i="6" s="1"/>
  <c r="BL128" i="6" s="1"/>
  <c r="BM128" i="6" s="1"/>
  <c r="BN128" i="6" s="1"/>
  <c r="BO128" i="6" s="1"/>
  <c r="BP128" i="6" s="1"/>
  <c r="BQ128" i="6" s="1"/>
  <c r="BR128" i="6" s="1"/>
  <c r="BS128" i="6" s="1"/>
  <c r="BT128" i="6" s="1"/>
  <c r="BU128" i="6" s="1"/>
  <c r="BV128" i="6" s="1"/>
  <c r="BW128" i="6" s="1"/>
  <c r="BX128" i="6" s="1"/>
  <c r="BY128" i="6" s="1"/>
  <c r="BZ128" i="6" s="1"/>
  <c r="CA128" i="6" s="1"/>
  <c r="CB128" i="6" s="1"/>
  <c r="CC128" i="6" s="1"/>
  <c r="CD128" i="6" s="1"/>
  <c r="CE128" i="6" s="1"/>
  <c r="CF128" i="6" s="1"/>
  <c r="CG128" i="6" s="1"/>
  <c r="CH128" i="6" s="1"/>
  <c r="CI128" i="6" s="1"/>
  <c r="CJ128" i="6" s="1"/>
  <c r="CK128" i="6" s="1"/>
  <c r="CL128" i="6" s="1"/>
  <c r="CM128" i="6" s="1"/>
  <c r="CN128" i="6" s="1"/>
  <c r="CO128" i="6" s="1"/>
  <c r="CP128" i="6" s="1"/>
  <c r="CQ128" i="6" s="1"/>
  <c r="CR128" i="6" s="1"/>
  <c r="CS128" i="6" s="1"/>
  <c r="CT128" i="6" s="1"/>
  <c r="CU128" i="6" s="1"/>
  <c r="CV128" i="6" s="1"/>
  <c r="CW128" i="6" s="1"/>
  <c r="CX128" i="6" s="1"/>
  <c r="CY128" i="6" s="1"/>
  <c r="CZ128" i="6" s="1"/>
  <c r="DA128" i="6" s="1"/>
  <c r="DB128" i="6" s="1"/>
  <c r="DC128" i="6" s="1"/>
  <c r="DD128" i="6" s="1"/>
  <c r="DE128" i="6" s="1"/>
  <c r="M136" i="6"/>
  <c r="N136" i="6" s="1"/>
  <c r="O136" i="6" s="1"/>
  <c r="P136" i="6" s="1"/>
  <c r="Q136" i="6" s="1"/>
  <c r="R136" i="6" s="1"/>
  <c r="S136" i="6" s="1"/>
  <c r="T136" i="6" s="1"/>
  <c r="U136" i="6" s="1"/>
  <c r="V136" i="6" s="1"/>
  <c r="W136" i="6" s="1"/>
  <c r="X136" i="6" s="1"/>
  <c r="Y136" i="6" s="1"/>
  <c r="Z136" i="6" s="1"/>
  <c r="AA136" i="6" s="1"/>
  <c r="AB136" i="6" s="1"/>
  <c r="AC136" i="6" s="1"/>
  <c r="AD136" i="6" s="1"/>
  <c r="AE136" i="6" s="1"/>
  <c r="AF136" i="6" s="1"/>
  <c r="AG136" i="6" s="1"/>
  <c r="AH136" i="6" s="1"/>
  <c r="AI136" i="6" s="1"/>
  <c r="AJ136" i="6" s="1"/>
  <c r="AK136" i="6" s="1"/>
  <c r="AL136" i="6" s="1"/>
  <c r="AM136" i="6" s="1"/>
  <c r="AN136" i="6" s="1"/>
  <c r="AO136" i="6" s="1"/>
  <c r="AP136" i="6" s="1"/>
  <c r="AQ136" i="6" s="1"/>
  <c r="AR136" i="6" s="1"/>
  <c r="AS136" i="6" s="1"/>
  <c r="AT136" i="6" s="1"/>
  <c r="AU136" i="6" s="1"/>
  <c r="AV136" i="6" s="1"/>
  <c r="AW136" i="6" s="1"/>
  <c r="AX136" i="6" s="1"/>
  <c r="AY136" i="6" s="1"/>
  <c r="AZ136" i="6" s="1"/>
  <c r="BA136" i="6" s="1"/>
  <c r="BB136" i="6" s="1"/>
  <c r="BC136" i="6" s="1"/>
  <c r="BD136" i="6" s="1"/>
  <c r="BE136" i="6" s="1"/>
  <c r="BF136" i="6" s="1"/>
  <c r="BG136" i="6" s="1"/>
  <c r="BH136" i="6" s="1"/>
  <c r="BI136" i="6" s="1"/>
  <c r="BJ136" i="6" s="1"/>
  <c r="BK136" i="6" s="1"/>
  <c r="BL136" i="6" s="1"/>
  <c r="BM136" i="6" s="1"/>
  <c r="BN136" i="6" s="1"/>
  <c r="BO136" i="6" s="1"/>
  <c r="BP136" i="6" s="1"/>
  <c r="BQ136" i="6" s="1"/>
  <c r="BR136" i="6" s="1"/>
  <c r="BS136" i="6" s="1"/>
  <c r="BT136" i="6" s="1"/>
  <c r="BU136" i="6" s="1"/>
  <c r="BV136" i="6" s="1"/>
  <c r="BW136" i="6" s="1"/>
  <c r="BX136" i="6" s="1"/>
  <c r="BY136" i="6" s="1"/>
  <c r="BZ136" i="6" s="1"/>
  <c r="CA136" i="6" s="1"/>
  <c r="CB136" i="6" s="1"/>
  <c r="CC136" i="6" s="1"/>
  <c r="CD136" i="6" s="1"/>
  <c r="CE136" i="6" s="1"/>
  <c r="CF136" i="6" s="1"/>
  <c r="CG136" i="6" s="1"/>
  <c r="CH136" i="6" s="1"/>
  <c r="CI136" i="6" s="1"/>
  <c r="CJ136" i="6" s="1"/>
  <c r="CK136" i="6" s="1"/>
  <c r="CL136" i="6" s="1"/>
  <c r="CM136" i="6" s="1"/>
  <c r="CN136" i="6" s="1"/>
  <c r="CO136" i="6" s="1"/>
  <c r="CP136" i="6" s="1"/>
  <c r="CQ136" i="6" s="1"/>
  <c r="CR136" i="6" s="1"/>
  <c r="CS136" i="6" s="1"/>
  <c r="CT136" i="6" s="1"/>
  <c r="CU136" i="6" s="1"/>
  <c r="CV136" i="6" s="1"/>
  <c r="CW136" i="6" s="1"/>
  <c r="CX136" i="6" s="1"/>
  <c r="CY136" i="6" s="1"/>
  <c r="CZ136" i="6" s="1"/>
  <c r="DA136" i="6" s="1"/>
  <c r="DB136" i="6" s="1"/>
  <c r="DC136" i="6" s="1"/>
  <c r="DD136" i="6" s="1"/>
  <c r="DE136" i="6" s="1"/>
  <c r="P295" i="6"/>
  <c r="Q295" i="6" s="1"/>
  <c r="R295" i="6" s="1"/>
  <c r="S295" i="6" s="1"/>
  <c r="T295" i="6" s="1"/>
  <c r="U295" i="6" s="1"/>
  <c r="V295" i="6" s="1"/>
  <c r="W295" i="6" s="1"/>
  <c r="X295" i="6" s="1"/>
  <c r="Y295" i="6" s="1"/>
  <c r="Z295" i="6" s="1"/>
  <c r="AA295" i="6" s="1"/>
  <c r="AB295" i="6" s="1"/>
  <c r="AC295" i="6" s="1"/>
  <c r="AD295" i="6" s="1"/>
  <c r="AE295" i="6" s="1"/>
  <c r="AF295" i="6" s="1"/>
  <c r="AG295" i="6" s="1"/>
  <c r="AH295" i="6" s="1"/>
  <c r="AI295" i="6" s="1"/>
  <c r="AJ295" i="6" s="1"/>
  <c r="AK295" i="6" s="1"/>
  <c r="AL295" i="6" s="1"/>
  <c r="AM295" i="6" s="1"/>
  <c r="AN295" i="6" s="1"/>
  <c r="AO295" i="6" s="1"/>
  <c r="AP295" i="6" s="1"/>
  <c r="AQ295" i="6" s="1"/>
  <c r="AR295" i="6" s="1"/>
  <c r="AS295" i="6" s="1"/>
  <c r="AT295" i="6" s="1"/>
  <c r="AU295" i="6" s="1"/>
  <c r="AV295" i="6" s="1"/>
  <c r="AW295" i="6" s="1"/>
  <c r="AX295" i="6" s="1"/>
  <c r="AY295" i="6" s="1"/>
  <c r="AZ295" i="6" s="1"/>
  <c r="BA295" i="6" s="1"/>
  <c r="BB295" i="6" s="1"/>
  <c r="BC295" i="6" s="1"/>
  <c r="BD295" i="6" s="1"/>
  <c r="BE295" i="6" s="1"/>
  <c r="BF295" i="6" s="1"/>
  <c r="BG295" i="6" s="1"/>
  <c r="BH295" i="6" s="1"/>
  <c r="BI295" i="6" s="1"/>
  <c r="BJ295" i="6" s="1"/>
  <c r="BK295" i="6" s="1"/>
  <c r="BL295" i="6" s="1"/>
  <c r="BM295" i="6" s="1"/>
  <c r="BN295" i="6" s="1"/>
  <c r="BO295" i="6" s="1"/>
  <c r="BP295" i="6" s="1"/>
  <c r="BQ295" i="6" s="1"/>
  <c r="BR295" i="6" s="1"/>
  <c r="BS295" i="6" s="1"/>
  <c r="BT295" i="6" s="1"/>
  <c r="BU295" i="6" s="1"/>
  <c r="BV295" i="6" s="1"/>
  <c r="BW295" i="6" s="1"/>
  <c r="BX295" i="6" s="1"/>
  <c r="BY295" i="6" s="1"/>
  <c r="BZ295" i="6" s="1"/>
  <c r="CA295" i="6" s="1"/>
  <c r="CB295" i="6" s="1"/>
  <c r="CC295" i="6" s="1"/>
  <c r="CD295" i="6" s="1"/>
  <c r="CE295" i="6" s="1"/>
  <c r="CF295" i="6" s="1"/>
  <c r="CG295" i="6" s="1"/>
  <c r="CH295" i="6" s="1"/>
  <c r="CI295" i="6" s="1"/>
  <c r="CJ295" i="6" s="1"/>
  <c r="CK295" i="6" s="1"/>
  <c r="CL295" i="6" s="1"/>
  <c r="CM295" i="6" s="1"/>
  <c r="CN295" i="6" s="1"/>
  <c r="CO295" i="6" s="1"/>
  <c r="CP295" i="6" s="1"/>
  <c r="CQ295" i="6" s="1"/>
  <c r="CR295" i="6" s="1"/>
  <c r="CS295" i="6" s="1"/>
  <c r="CT295" i="6" s="1"/>
  <c r="CU295" i="6" s="1"/>
  <c r="CV295" i="6" s="1"/>
  <c r="CW295" i="6" s="1"/>
  <c r="CX295" i="6" s="1"/>
  <c r="CY295" i="6" s="1"/>
  <c r="CZ295" i="6" s="1"/>
  <c r="DA295" i="6" s="1"/>
  <c r="DB295" i="6" s="1"/>
  <c r="DC295" i="6" s="1"/>
  <c r="DD295" i="6" s="1"/>
  <c r="DE295" i="6" s="1"/>
  <c r="P275" i="6"/>
  <c r="Q275" i="6" s="1"/>
  <c r="R275" i="6" s="1"/>
  <c r="S275" i="6" s="1"/>
  <c r="T275" i="6" s="1"/>
  <c r="U275" i="6" s="1"/>
  <c r="V275" i="6" s="1"/>
  <c r="W275" i="6" s="1"/>
  <c r="X275" i="6" s="1"/>
  <c r="Y275" i="6" s="1"/>
  <c r="Z275" i="6" s="1"/>
  <c r="AA275" i="6" s="1"/>
  <c r="AB275" i="6" s="1"/>
  <c r="AC275" i="6" s="1"/>
  <c r="AD275" i="6" s="1"/>
  <c r="AE275" i="6" s="1"/>
  <c r="AF275" i="6" s="1"/>
  <c r="AG275" i="6" s="1"/>
  <c r="AH275" i="6" s="1"/>
  <c r="AI275" i="6" s="1"/>
  <c r="AJ275" i="6" s="1"/>
  <c r="AK275" i="6" s="1"/>
  <c r="AL275" i="6" s="1"/>
  <c r="AM275" i="6" s="1"/>
  <c r="AN275" i="6" s="1"/>
  <c r="AO275" i="6" s="1"/>
  <c r="AP275" i="6" s="1"/>
  <c r="AQ275" i="6" s="1"/>
  <c r="AR275" i="6" s="1"/>
  <c r="AS275" i="6" s="1"/>
  <c r="AT275" i="6" s="1"/>
  <c r="AU275" i="6" s="1"/>
  <c r="AV275" i="6" s="1"/>
  <c r="AW275" i="6" s="1"/>
  <c r="AX275" i="6" s="1"/>
  <c r="AY275" i="6" s="1"/>
  <c r="AZ275" i="6" s="1"/>
  <c r="BA275" i="6" s="1"/>
  <c r="BB275" i="6" s="1"/>
  <c r="BC275" i="6" s="1"/>
  <c r="BD275" i="6" s="1"/>
  <c r="BE275" i="6" s="1"/>
  <c r="BF275" i="6" s="1"/>
  <c r="BG275" i="6" s="1"/>
  <c r="BH275" i="6" s="1"/>
  <c r="BI275" i="6" s="1"/>
  <c r="BJ275" i="6" s="1"/>
  <c r="BK275" i="6" s="1"/>
  <c r="BL275" i="6" s="1"/>
  <c r="BM275" i="6" s="1"/>
  <c r="BN275" i="6" s="1"/>
  <c r="BO275" i="6" s="1"/>
  <c r="BP275" i="6" s="1"/>
  <c r="BQ275" i="6" s="1"/>
  <c r="BR275" i="6" s="1"/>
  <c r="BS275" i="6" s="1"/>
  <c r="BT275" i="6" s="1"/>
  <c r="BU275" i="6" s="1"/>
  <c r="BV275" i="6" s="1"/>
  <c r="BW275" i="6" s="1"/>
  <c r="BX275" i="6" s="1"/>
  <c r="BY275" i="6" s="1"/>
  <c r="BZ275" i="6" s="1"/>
  <c r="CA275" i="6" s="1"/>
  <c r="CB275" i="6" s="1"/>
  <c r="CC275" i="6" s="1"/>
  <c r="CD275" i="6" s="1"/>
  <c r="CE275" i="6" s="1"/>
  <c r="CF275" i="6" s="1"/>
  <c r="CG275" i="6" s="1"/>
  <c r="CH275" i="6" s="1"/>
  <c r="CI275" i="6" s="1"/>
  <c r="CJ275" i="6" s="1"/>
  <c r="CK275" i="6" s="1"/>
  <c r="CL275" i="6" s="1"/>
  <c r="CM275" i="6" s="1"/>
  <c r="CN275" i="6" s="1"/>
  <c r="CO275" i="6" s="1"/>
  <c r="CP275" i="6" s="1"/>
  <c r="CQ275" i="6" s="1"/>
  <c r="CR275" i="6" s="1"/>
  <c r="CS275" i="6" s="1"/>
  <c r="CT275" i="6" s="1"/>
  <c r="CU275" i="6" s="1"/>
  <c r="CV275" i="6" s="1"/>
  <c r="CW275" i="6" s="1"/>
  <c r="CX275" i="6" s="1"/>
  <c r="CY275" i="6" s="1"/>
  <c r="CZ275" i="6" s="1"/>
  <c r="DA275" i="6" s="1"/>
  <c r="DB275" i="6" s="1"/>
  <c r="DC275" i="6" s="1"/>
  <c r="DD275" i="6" s="1"/>
  <c r="DE275" i="6" s="1"/>
  <c r="DF11" i="6"/>
  <c r="DF19" i="6"/>
  <c r="DF104" i="6"/>
  <c r="DF124" i="6"/>
  <c r="DF156" i="6"/>
  <c r="DF197" i="6"/>
  <c r="DF221" i="6"/>
  <c r="DF229" i="6"/>
  <c r="DF273" i="6"/>
  <c r="DF41" i="6"/>
  <c r="DF53" i="6"/>
  <c r="DF126" i="6"/>
  <c r="DF142" i="6"/>
  <c r="C34" i="8"/>
  <c r="F88" i="4"/>
  <c r="G88" i="4" s="1"/>
  <c r="H88" i="4" s="1"/>
  <c r="I88" i="4" s="1"/>
  <c r="J88" i="4" s="1"/>
  <c r="K88" i="4" s="1"/>
  <c r="L88" i="4" s="1"/>
  <c r="M88" i="4" s="1"/>
  <c r="N88" i="4" s="1"/>
  <c r="O88" i="4" s="1"/>
  <c r="P88" i="4" s="1"/>
  <c r="Q88" i="4" s="1"/>
  <c r="R88" i="4" s="1"/>
  <c r="S88" i="4" s="1"/>
  <c r="T88" i="4" s="1"/>
  <c r="U88" i="4" s="1"/>
  <c r="V88" i="4" s="1"/>
  <c r="W88" i="4" s="1"/>
  <c r="X88" i="4" s="1"/>
  <c r="Y88" i="4" s="1"/>
  <c r="Z88" i="4" s="1"/>
  <c r="AA88" i="4" s="1"/>
  <c r="AB88" i="4" s="1"/>
  <c r="AC88" i="4" s="1"/>
  <c r="AD88" i="4" s="1"/>
  <c r="AE88" i="4" s="1"/>
  <c r="AF88" i="4" s="1"/>
  <c r="AG88" i="4" s="1"/>
  <c r="AH88" i="4" s="1"/>
  <c r="AI88" i="4" s="1"/>
  <c r="AJ88" i="4" s="1"/>
  <c r="AK88" i="4" s="1"/>
  <c r="AL88" i="4" s="1"/>
  <c r="AM88" i="4" s="1"/>
  <c r="AN88" i="4" s="1"/>
  <c r="AO88" i="4" s="1"/>
  <c r="AP88" i="4" s="1"/>
  <c r="AQ88" i="4" s="1"/>
  <c r="AR88" i="4" s="1"/>
  <c r="AS88" i="4" s="1"/>
  <c r="AT88" i="4" s="1"/>
  <c r="AU88" i="4" s="1"/>
  <c r="AV88" i="4" s="1"/>
  <c r="AW88" i="4" s="1"/>
  <c r="AX88" i="4" s="1"/>
  <c r="AY88" i="4" s="1"/>
  <c r="AZ88" i="4" s="1"/>
  <c r="BA88" i="4" s="1"/>
  <c r="BB88" i="4" s="1"/>
  <c r="BC88" i="4" s="1"/>
  <c r="BD88" i="4" s="1"/>
  <c r="BE88" i="4" s="1"/>
  <c r="BF88" i="4" s="1"/>
  <c r="BG88" i="4" s="1"/>
  <c r="BH88" i="4" s="1"/>
  <c r="BI88" i="4" s="1"/>
  <c r="BJ88" i="4" s="1"/>
  <c r="BK88" i="4" s="1"/>
  <c r="BL88" i="4" s="1"/>
  <c r="BM88" i="4" s="1"/>
  <c r="BN88" i="4" s="1"/>
  <c r="BO88" i="4" s="1"/>
  <c r="BP88" i="4" s="1"/>
  <c r="BQ88" i="4" s="1"/>
  <c r="BR88" i="4" s="1"/>
  <c r="BS88" i="4" s="1"/>
  <c r="BT88" i="4" s="1"/>
  <c r="BU88" i="4" s="1"/>
  <c r="BV88" i="4" s="1"/>
  <c r="BW88" i="4" s="1"/>
  <c r="BX88" i="4" s="1"/>
  <c r="BY88" i="4" s="1"/>
  <c r="BZ88" i="4" s="1"/>
  <c r="CA88" i="4" s="1"/>
  <c r="CB88" i="4" s="1"/>
  <c r="CC88" i="4" s="1"/>
  <c r="CD88" i="4" s="1"/>
  <c r="CE88" i="4" s="1"/>
  <c r="CF88" i="4" s="1"/>
  <c r="CG88" i="4" s="1"/>
  <c r="CH88" i="4" s="1"/>
  <c r="CI88" i="4" s="1"/>
  <c r="CJ88" i="4" s="1"/>
  <c r="CK88" i="4" s="1"/>
  <c r="CL88" i="4" s="1"/>
  <c r="CM88" i="4" s="1"/>
  <c r="CN88" i="4" s="1"/>
  <c r="CO88" i="4" s="1"/>
  <c r="CP88" i="4" s="1"/>
  <c r="CQ88" i="4" s="1"/>
  <c r="CR88" i="4" s="1"/>
  <c r="CS88" i="4" s="1"/>
  <c r="CT88" i="4" s="1"/>
  <c r="CU88" i="4" s="1"/>
  <c r="CV88" i="4" s="1"/>
  <c r="CW88" i="4" s="1"/>
  <c r="CX88" i="4" s="1"/>
  <c r="CY88" i="4" s="1"/>
  <c r="CZ88" i="4" s="1"/>
  <c r="DA88" i="4" s="1"/>
  <c r="DB88" i="4" s="1"/>
  <c r="DC88" i="4" s="1"/>
  <c r="DD88" i="4" s="1"/>
  <c r="DE88" i="4" s="1"/>
  <c r="DF88" i="4" s="1"/>
  <c r="DG88" i="4" s="1"/>
  <c r="DH88" i="4" s="1"/>
  <c r="DI88" i="4" s="1"/>
  <c r="DJ88" i="4" s="1"/>
  <c r="DK88" i="4" s="1"/>
  <c r="DL88" i="4" s="1"/>
  <c r="DM88" i="4" s="1"/>
  <c r="DN88" i="4" s="1"/>
  <c r="DO88" i="4" s="1"/>
  <c r="DP88" i="4" s="1"/>
  <c r="DQ88" i="4" s="1"/>
  <c r="DR88" i="4" s="1"/>
  <c r="DS88" i="4" s="1"/>
  <c r="DT88" i="4" s="1"/>
  <c r="DU88" i="4" s="1"/>
  <c r="DV88" i="4" s="1"/>
  <c r="DW88" i="4" s="1"/>
  <c r="DX88" i="4" s="1"/>
  <c r="DY88" i="4" s="1"/>
  <c r="DZ88" i="4" s="1"/>
  <c r="EA88" i="4" s="1"/>
  <c r="EB88" i="4" s="1"/>
  <c r="EC88" i="4" s="1"/>
  <c r="ED88" i="4" s="1"/>
  <c r="EE88" i="4" s="1"/>
  <c r="EF88" i="4" s="1"/>
  <c r="EG88" i="4" s="1"/>
  <c r="EH88" i="4" s="1"/>
  <c r="EI88" i="4" s="1"/>
  <c r="EJ88" i="4" s="1"/>
  <c r="EK88" i="4" s="1"/>
  <c r="EL88" i="4" s="1"/>
  <c r="DF281" i="6"/>
  <c r="DF293" i="6"/>
  <c r="DF346" i="6"/>
  <c r="DF17" i="6"/>
  <c r="DF98" i="6"/>
  <c r="DF146" i="6"/>
  <c r="DF154" i="6"/>
  <c r="DF207" i="6"/>
  <c r="DF231" i="6"/>
  <c r="DF269" i="6"/>
  <c r="DF51" i="6"/>
  <c r="DF96" i="6"/>
  <c r="DF279" i="6"/>
  <c r="DF303" i="6"/>
  <c r="DF35" i="6"/>
  <c r="DF350" i="6"/>
  <c r="DF185" i="6"/>
  <c r="DF189" i="6"/>
  <c r="DF61" i="6"/>
  <c r="DF130" i="6"/>
  <c r="DF201" i="6"/>
  <c r="DF59" i="6"/>
  <c r="DF67" i="6"/>
  <c r="DF140" i="6"/>
  <c r="DF148" i="6"/>
  <c r="DF211" i="6"/>
  <c r="DF33" i="6"/>
  <c r="DF100" i="6"/>
  <c r="DF217" i="6"/>
  <c r="O291" i="6"/>
  <c r="O112" i="6"/>
  <c r="O69" i="6"/>
  <c r="P69" i="6" s="1"/>
  <c r="Q69" i="6" s="1"/>
  <c r="R69" i="6" s="1"/>
  <c r="S69" i="6" s="1"/>
  <c r="T69" i="6" s="1"/>
  <c r="U69" i="6" s="1"/>
  <c r="V69" i="6" s="1"/>
  <c r="W69" i="6" s="1"/>
  <c r="X69" i="6" s="1"/>
  <c r="Y69" i="6" s="1"/>
  <c r="Z69" i="6" s="1"/>
  <c r="AA69" i="6" s="1"/>
  <c r="AB69" i="6" s="1"/>
  <c r="AC69" i="6" s="1"/>
  <c r="AD69" i="6" s="1"/>
  <c r="AE69" i="6" s="1"/>
  <c r="AF69" i="6" s="1"/>
  <c r="AG69" i="6" s="1"/>
  <c r="AH69" i="6" s="1"/>
  <c r="AI69" i="6" s="1"/>
  <c r="AJ69" i="6" s="1"/>
  <c r="AK69" i="6" s="1"/>
  <c r="AL69" i="6" s="1"/>
  <c r="AM69" i="6" s="1"/>
  <c r="AN69" i="6" s="1"/>
  <c r="AO69" i="6" s="1"/>
  <c r="AP69" i="6" s="1"/>
  <c r="AQ69" i="6" s="1"/>
  <c r="AR69" i="6" s="1"/>
  <c r="AS69" i="6" s="1"/>
  <c r="AT69" i="6" s="1"/>
  <c r="AU69" i="6" s="1"/>
  <c r="AV69" i="6" s="1"/>
  <c r="AW69" i="6" s="1"/>
  <c r="AX69" i="6" s="1"/>
  <c r="AY69" i="6" s="1"/>
  <c r="AZ69" i="6" s="1"/>
  <c r="BA69" i="6" s="1"/>
  <c r="BB69" i="6" s="1"/>
  <c r="BC69" i="6" s="1"/>
  <c r="BD69" i="6" s="1"/>
  <c r="BE69" i="6" s="1"/>
  <c r="BF69" i="6" s="1"/>
  <c r="BG69" i="6" s="1"/>
  <c r="BH69" i="6" s="1"/>
  <c r="BI69" i="6" s="1"/>
  <c r="BJ69" i="6" s="1"/>
  <c r="BK69" i="6" s="1"/>
  <c r="BL69" i="6" s="1"/>
  <c r="BM69" i="6" s="1"/>
  <c r="BN69" i="6" s="1"/>
  <c r="BO69" i="6" s="1"/>
  <c r="BP69" i="6" s="1"/>
  <c r="BQ69" i="6" s="1"/>
  <c r="BR69" i="6" s="1"/>
  <c r="BS69" i="6" s="1"/>
  <c r="BT69" i="6" s="1"/>
  <c r="BU69" i="6" s="1"/>
  <c r="BV69" i="6" s="1"/>
  <c r="BW69" i="6" s="1"/>
  <c r="BX69" i="6" s="1"/>
  <c r="BY69" i="6" s="1"/>
  <c r="BZ69" i="6" s="1"/>
  <c r="CA69" i="6" s="1"/>
  <c r="CB69" i="6" s="1"/>
  <c r="CC69" i="6" s="1"/>
  <c r="CD69" i="6" s="1"/>
  <c r="CE69" i="6" s="1"/>
  <c r="CF69" i="6" s="1"/>
  <c r="CG69" i="6" s="1"/>
  <c r="CH69" i="6" s="1"/>
  <c r="CI69" i="6" s="1"/>
  <c r="CJ69" i="6" s="1"/>
  <c r="CK69" i="6" s="1"/>
  <c r="CL69" i="6" s="1"/>
  <c r="CM69" i="6" s="1"/>
  <c r="CN69" i="6" s="1"/>
  <c r="CO69" i="6" s="1"/>
  <c r="CP69" i="6" s="1"/>
  <c r="CQ69" i="6" s="1"/>
  <c r="CR69" i="6" s="1"/>
  <c r="CS69" i="6" s="1"/>
  <c r="CT69" i="6" s="1"/>
  <c r="CU69" i="6" s="1"/>
  <c r="CV69" i="6" s="1"/>
  <c r="CW69" i="6" s="1"/>
  <c r="CX69" i="6" s="1"/>
  <c r="CY69" i="6" s="1"/>
  <c r="CZ69" i="6" s="1"/>
  <c r="DA69" i="6" s="1"/>
  <c r="DB69" i="6" s="1"/>
  <c r="DC69" i="6" s="1"/>
  <c r="DD69" i="6" s="1"/>
  <c r="DE69" i="6" s="1"/>
  <c r="DF69" i="6" s="1"/>
  <c r="O249" i="6"/>
  <c r="P249" i="6" s="1"/>
  <c r="Q249" i="6" s="1"/>
  <c r="R249" i="6" s="1"/>
  <c r="S249" i="6" s="1"/>
  <c r="T249" i="6" s="1"/>
  <c r="U249" i="6" s="1"/>
  <c r="V249" i="6" s="1"/>
  <c r="W249" i="6" s="1"/>
  <c r="X249" i="6" s="1"/>
  <c r="Y249" i="6" s="1"/>
  <c r="Z249" i="6" s="1"/>
  <c r="AA249" i="6" s="1"/>
  <c r="AB249" i="6" s="1"/>
  <c r="AC249" i="6" s="1"/>
  <c r="AD249" i="6" s="1"/>
  <c r="AE249" i="6" s="1"/>
  <c r="AF249" i="6" s="1"/>
  <c r="AG249" i="6" s="1"/>
  <c r="AH249" i="6" s="1"/>
  <c r="AI249" i="6" s="1"/>
  <c r="AJ249" i="6" s="1"/>
  <c r="AK249" i="6" s="1"/>
  <c r="AL249" i="6" s="1"/>
  <c r="AM249" i="6" s="1"/>
  <c r="AN249" i="6" s="1"/>
  <c r="AO249" i="6" s="1"/>
  <c r="AP249" i="6" s="1"/>
  <c r="AQ249" i="6" s="1"/>
  <c r="AR249" i="6" s="1"/>
  <c r="AS249" i="6" s="1"/>
  <c r="AT249" i="6" s="1"/>
  <c r="AU249" i="6" s="1"/>
  <c r="AV249" i="6" s="1"/>
  <c r="AW249" i="6" s="1"/>
  <c r="AX249" i="6" s="1"/>
  <c r="AY249" i="6" s="1"/>
  <c r="AZ249" i="6" s="1"/>
  <c r="BA249" i="6" s="1"/>
  <c r="BB249" i="6" s="1"/>
  <c r="BC249" i="6" s="1"/>
  <c r="BD249" i="6" s="1"/>
  <c r="BE249" i="6" s="1"/>
  <c r="BF249" i="6" s="1"/>
  <c r="BG249" i="6" s="1"/>
  <c r="BH249" i="6" s="1"/>
  <c r="BI249" i="6" s="1"/>
  <c r="BJ249" i="6" s="1"/>
  <c r="BK249" i="6" s="1"/>
  <c r="BL249" i="6" s="1"/>
  <c r="BM249" i="6" s="1"/>
  <c r="BN249" i="6" s="1"/>
  <c r="BO249" i="6" s="1"/>
  <c r="BP249" i="6" s="1"/>
  <c r="BQ249" i="6" s="1"/>
  <c r="BR249" i="6" s="1"/>
  <c r="BS249" i="6" s="1"/>
  <c r="BT249" i="6" s="1"/>
  <c r="BU249" i="6" s="1"/>
  <c r="BV249" i="6" s="1"/>
  <c r="BW249" i="6" s="1"/>
  <c r="BX249" i="6" s="1"/>
  <c r="BY249" i="6" s="1"/>
  <c r="BZ249" i="6" s="1"/>
  <c r="CA249" i="6" s="1"/>
  <c r="CB249" i="6" s="1"/>
  <c r="CC249" i="6" s="1"/>
  <c r="CD249" i="6" s="1"/>
  <c r="CE249" i="6" s="1"/>
  <c r="CF249" i="6" s="1"/>
  <c r="CG249" i="6" s="1"/>
  <c r="CH249" i="6" s="1"/>
  <c r="CI249" i="6" s="1"/>
  <c r="CJ249" i="6" s="1"/>
  <c r="CK249" i="6" s="1"/>
  <c r="CL249" i="6" s="1"/>
  <c r="CM249" i="6" s="1"/>
  <c r="CN249" i="6" s="1"/>
  <c r="CO249" i="6" s="1"/>
  <c r="CP249" i="6" s="1"/>
  <c r="CQ249" i="6" s="1"/>
  <c r="CR249" i="6" s="1"/>
  <c r="CS249" i="6" s="1"/>
  <c r="CT249" i="6" s="1"/>
  <c r="CU249" i="6" s="1"/>
  <c r="CV249" i="6" s="1"/>
  <c r="CW249" i="6" s="1"/>
  <c r="CX249" i="6" s="1"/>
  <c r="CY249" i="6" s="1"/>
  <c r="CZ249" i="6" s="1"/>
  <c r="DA249" i="6" s="1"/>
  <c r="DB249" i="6" s="1"/>
  <c r="DC249" i="6" s="1"/>
  <c r="DD249" i="6" s="1"/>
  <c r="DE249" i="6" s="1"/>
  <c r="DF249" i="6" s="1"/>
  <c r="O106" i="6"/>
  <c r="O25" i="6"/>
  <c r="P25" i="6" s="1"/>
  <c r="Q25" i="6" s="1"/>
  <c r="R25" i="6" s="1"/>
  <c r="S25" i="6" s="1"/>
  <c r="T25" i="6" s="1"/>
  <c r="U25" i="6" s="1"/>
  <c r="V25" i="6" s="1"/>
  <c r="W25" i="6" s="1"/>
  <c r="X25" i="6" s="1"/>
  <c r="Y25" i="6" s="1"/>
  <c r="Z25" i="6" s="1"/>
  <c r="AA25" i="6" s="1"/>
  <c r="AB25" i="6" s="1"/>
  <c r="AC25" i="6" s="1"/>
  <c r="AD25" i="6" s="1"/>
  <c r="AE25" i="6" s="1"/>
  <c r="AF25" i="6" s="1"/>
  <c r="AG25" i="6" s="1"/>
  <c r="AH25" i="6" s="1"/>
  <c r="AI25" i="6" s="1"/>
  <c r="AJ25" i="6" s="1"/>
  <c r="AK25" i="6" s="1"/>
  <c r="AL25" i="6" s="1"/>
  <c r="AM25" i="6" s="1"/>
  <c r="AN25" i="6" s="1"/>
  <c r="AO25" i="6" s="1"/>
  <c r="AP25" i="6" s="1"/>
  <c r="AQ25" i="6" s="1"/>
  <c r="AR25" i="6" s="1"/>
  <c r="AS25" i="6" s="1"/>
  <c r="AT25" i="6" s="1"/>
  <c r="AU25" i="6" s="1"/>
  <c r="AV25" i="6" s="1"/>
  <c r="AW25" i="6" s="1"/>
  <c r="AX25" i="6" s="1"/>
  <c r="AY25" i="6" s="1"/>
  <c r="AZ25" i="6" s="1"/>
  <c r="BA25" i="6" s="1"/>
  <c r="BB25" i="6" s="1"/>
  <c r="BC25" i="6" s="1"/>
  <c r="BD25" i="6" s="1"/>
  <c r="BE25" i="6" s="1"/>
  <c r="BF25" i="6" s="1"/>
  <c r="BG25" i="6" s="1"/>
  <c r="BH25" i="6" s="1"/>
  <c r="BI25" i="6" s="1"/>
  <c r="BJ25" i="6" s="1"/>
  <c r="BK25" i="6" s="1"/>
  <c r="BL25" i="6" s="1"/>
  <c r="BM25" i="6" s="1"/>
  <c r="BN25" i="6" s="1"/>
  <c r="BO25" i="6" s="1"/>
  <c r="BP25" i="6" s="1"/>
  <c r="BQ25" i="6" s="1"/>
  <c r="BR25" i="6" s="1"/>
  <c r="BS25" i="6" s="1"/>
  <c r="BT25" i="6" s="1"/>
  <c r="BU25" i="6" s="1"/>
  <c r="BV25" i="6" s="1"/>
  <c r="BW25" i="6" s="1"/>
  <c r="BX25" i="6" s="1"/>
  <c r="BY25" i="6" s="1"/>
  <c r="BZ25" i="6" s="1"/>
  <c r="CA25" i="6" s="1"/>
  <c r="CB25" i="6" s="1"/>
  <c r="CC25" i="6" s="1"/>
  <c r="CD25" i="6" s="1"/>
  <c r="CE25" i="6" s="1"/>
  <c r="CF25" i="6" s="1"/>
  <c r="CG25" i="6" s="1"/>
  <c r="CH25" i="6" s="1"/>
  <c r="CI25" i="6" s="1"/>
  <c r="CJ25" i="6" s="1"/>
  <c r="CK25" i="6" s="1"/>
  <c r="CL25" i="6" s="1"/>
  <c r="CM25" i="6" s="1"/>
  <c r="CN25" i="6" s="1"/>
  <c r="CO25" i="6" s="1"/>
  <c r="CP25" i="6" s="1"/>
  <c r="CQ25" i="6" s="1"/>
  <c r="CR25" i="6" s="1"/>
  <c r="CS25" i="6" s="1"/>
  <c r="CT25" i="6" s="1"/>
  <c r="CU25" i="6" s="1"/>
  <c r="CV25" i="6" s="1"/>
  <c r="CW25" i="6" s="1"/>
  <c r="CX25" i="6" s="1"/>
  <c r="CY25" i="6" s="1"/>
  <c r="CZ25" i="6" s="1"/>
  <c r="DA25" i="6" s="1"/>
  <c r="DB25" i="6" s="1"/>
  <c r="DC25" i="6" s="1"/>
  <c r="DD25" i="6" s="1"/>
  <c r="DE25" i="6" s="1"/>
  <c r="O94" i="6"/>
  <c r="P94" i="6" s="1"/>
  <c r="Q94" i="6" s="1"/>
  <c r="R94" i="6" s="1"/>
  <c r="S94" i="6" s="1"/>
  <c r="T94" i="6" s="1"/>
  <c r="U94" i="6" s="1"/>
  <c r="V94" i="6" s="1"/>
  <c r="W94" i="6" s="1"/>
  <c r="X94" i="6" s="1"/>
  <c r="Y94" i="6" s="1"/>
  <c r="Z94" i="6" s="1"/>
  <c r="AA94" i="6" s="1"/>
  <c r="AB94" i="6" s="1"/>
  <c r="AC94" i="6" s="1"/>
  <c r="AD94" i="6" s="1"/>
  <c r="AE94" i="6" s="1"/>
  <c r="AF94" i="6" s="1"/>
  <c r="AG94" i="6" s="1"/>
  <c r="AH94" i="6" s="1"/>
  <c r="AI94" i="6" s="1"/>
  <c r="AJ94" i="6" s="1"/>
  <c r="AK94" i="6" s="1"/>
  <c r="AL94" i="6" s="1"/>
  <c r="AM94" i="6" s="1"/>
  <c r="AN94" i="6" s="1"/>
  <c r="AO94" i="6" s="1"/>
  <c r="AP94" i="6" s="1"/>
  <c r="AQ94" i="6" s="1"/>
  <c r="AR94" i="6" s="1"/>
  <c r="AS94" i="6" s="1"/>
  <c r="AT94" i="6" s="1"/>
  <c r="AU94" i="6" s="1"/>
  <c r="AV94" i="6" s="1"/>
  <c r="AW94" i="6" s="1"/>
  <c r="AX94" i="6" s="1"/>
  <c r="AY94" i="6" s="1"/>
  <c r="AZ94" i="6" s="1"/>
  <c r="BA94" i="6" s="1"/>
  <c r="BB94" i="6" s="1"/>
  <c r="BC94" i="6" s="1"/>
  <c r="BD94" i="6" s="1"/>
  <c r="BE94" i="6" s="1"/>
  <c r="BF94" i="6" s="1"/>
  <c r="BG94" i="6" s="1"/>
  <c r="BH94" i="6" s="1"/>
  <c r="BI94" i="6" s="1"/>
  <c r="BJ94" i="6" s="1"/>
  <c r="BK94" i="6" s="1"/>
  <c r="BL94" i="6" s="1"/>
  <c r="BM94" i="6" s="1"/>
  <c r="BN94" i="6" s="1"/>
  <c r="BO94" i="6" s="1"/>
  <c r="BP94" i="6" s="1"/>
  <c r="BQ94" i="6" s="1"/>
  <c r="BR94" i="6" s="1"/>
  <c r="BS94" i="6" s="1"/>
  <c r="BT94" i="6" s="1"/>
  <c r="BU94" i="6" s="1"/>
  <c r="BV94" i="6" s="1"/>
  <c r="BW94" i="6" s="1"/>
  <c r="BX94" i="6" s="1"/>
  <c r="BY94" i="6" s="1"/>
  <c r="BZ94" i="6" s="1"/>
  <c r="CA94" i="6" s="1"/>
  <c r="CB94" i="6" s="1"/>
  <c r="CC94" i="6" s="1"/>
  <c r="CD94" i="6" s="1"/>
  <c r="CE94" i="6" s="1"/>
  <c r="CF94" i="6" s="1"/>
  <c r="CG94" i="6" s="1"/>
  <c r="CH94" i="6" s="1"/>
  <c r="CI94" i="6" s="1"/>
  <c r="CJ94" i="6" s="1"/>
  <c r="CK94" i="6" s="1"/>
  <c r="CL94" i="6" s="1"/>
  <c r="CM94" i="6" s="1"/>
  <c r="CN94" i="6" s="1"/>
  <c r="CO94" i="6" s="1"/>
  <c r="CP94" i="6" s="1"/>
  <c r="CQ94" i="6" s="1"/>
  <c r="CR94" i="6" s="1"/>
  <c r="CS94" i="6" s="1"/>
  <c r="CT94" i="6" s="1"/>
  <c r="CU94" i="6" s="1"/>
  <c r="CV94" i="6" s="1"/>
  <c r="CW94" i="6" s="1"/>
  <c r="CX94" i="6" s="1"/>
  <c r="CY94" i="6" s="1"/>
  <c r="CZ94" i="6" s="1"/>
  <c r="DA94" i="6" s="1"/>
  <c r="DB94" i="6" s="1"/>
  <c r="DC94" i="6" s="1"/>
  <c r="DD94" i="6" s="1"/>
  <c r="DE94" i="6" s="1"/>
  <c r="DF94" i="6" s="1"/>
  <c r="O108" i="6"/>
  <c r="P108" i="6" s="1"/>
  <c r="Q108" i="6" s="1"/>
  <c r="R108" i="6" s="1"/>
  <c r="S108" i="6" s="1"/>
  <c r="T108" i="6" s="1"/>
  <c r="U108" i="6" s="1"/>
  <c r="V108" i="6" s="1"/>
  <c r="W108" i="6" s="1"/>
  <c r="X108" i="6" s="1"/>
  <c r="Y108" i="6" s="1"/>
  <c r="Z108" i="6" s="1"/>
  <c r="AA108" i="6" s="1"/>
  <c r="AB108" i="6" s="1"/>
  <c r="AC108" i="6" s="1"/>
  <c r="AD108" i="6" s="1"/>
  <c r="AE108" i="6" s="1"/>
  <c r="AF108" i="6" s="1"/>
  <c r="AG108" i="6" s="1"/>
  <c r="AH108" i="6" s="1"/>
  <c r="AI108" i="6" s="1"/>
  <c r="AJ108" i="6" s="1"/>
  <c r="AK108" i="6" s="1"/>
  <c r="AL108" i="6" s="1"/>
  <c r="AM108" i="6" s="1"/>
  <c r="AN108" i="6" s="1"/>
  <c r="AO108" i="6" s="1"/>
  <c r="AP108" i="6" s="1"/>
  <c r="AQ108" i="6" s="1"/>
  <c r="AR108" i="6" s="1"/>
  <c r="AS108" i="6" s="1"/>
  <c r="AT108" i="6" s="1"/>
  <c r="AU108" i="6" s="1"/>
  <c r="AV108" i="6" s="1"/>
  <c r="AW108" i="6" s="1"/>
  <c r="AX108" i="6" s="1"/>
  <c r="AY108" i="6" s="1"/>
  <c r="AZ108" i="6" s="1"/>
  <c r="BA108" i="6" s="1"/>
  <c r="BB108" i="6" s="1"/>
  <c r="BC108" i="6" s="1"/>
  <c r="BD108" i="6" s="1"/>
  <c r="BE108" i="6" s="1"/>
  <c r="BF108" i="6" s="1"/>
  <c r="BG108" i="6" s="1"/>
  <c r="BH108" i="6" s="1"/>
  <c r="BI108" i="6" s="1"/>
  <c r="BJ108" i="6" s="1"/>
  <c r="BK108" i="6" s="1"/>
  <c r="BL108" i="6" s="1"/>
  <c r="BM108" i="6" s="1"/>
  <c r="BN108" i="6" s="1"/>
  <c r="BO108" i="6" s="1"/>
  <c r="BP108" i="6" s="1"/>
  <c r="BQ108" i="6" s="1"/>
  <c r="BR108" i="6" s="1"/>
  <c r="BS108" i="6" s="1"/>
  <c r="BT108" i="6" s="1"/>
  <c r="BU108" i="6" s="1"/>
  <c r="BV108" i="6" s="1"/>
  <c r="BW108" i="6" s="1"/>
  <c r="BX108" i="6" s="1"/>
  <c r="BY108" i="6" s="1"/>
  <c r="BZ108" i="6" s="1"/>
  <c r="CA108" i="6" s="1"/>
  <c r="CB108" i="6" s="1"/>
  <c r="CC108" i="6" s="1"/>
  <c r="CD108" i="6" s="1"/>
  <c r="CE108" i="6" s="1"/>
  <c r="CF108" i="6" s="1"/>
  <c r="CG108" i="6" s="1"/>
  <c r="CH108" i="6" s="1"/>
  <c r="CI108" i="6" s="1"/>
  <c r="CJ108" i="6" s="1"/>
  <c r="CK108" i="6" s="1"/>
  <c r="CL108" i="6" s="1"/>
  <c r="CM108" i="6" s="1"/>
  <c r="CN108" i="6" s="1"/>
  <c r="CO108" i="6" s="1"/>
  <c r="CP108" i="6" s="1"/>
  <c r="CQ108" i="6" s="1"/>
  <c r="CR108" i="6" s="1"/>
  <c r="CS108" i="6" s="1"/>
  <c r="CT108" i="6" s="1"/>
  <c r="CU108" i="6" s="1"/>
  <c r="CV108" i="6" s="1"/>
  <c r="CW108" i="6" s="1"/>
  <c r="CX108" i="6" s="1"/>
  <c r="CY108" i="6" s="1"/>
  <c r="CZ108" i="6" s="1"/>
  <c r="DA108" i="6" s="1"/>
  <c r="DB108" i="6" s="1"/>
  <c r="DC108" i="6" s="1"/>
  <c r="DD108" i="6" s="1"/>
  <c r="DE108" i="6" s="1"/>
  <c r="DF108" i="6" s="1"/>
  <c r="O247" i="6"/>
  <c r="P247" i="6" s="1"/>
  <c r="Q247" i="6" s="1"/>
  <c r="R247" i="6" s="1"/>
  <c r="S247" i="6" s="1"/>
  <c r="T247" i="6" s="1"/>
  <c r="U247" i="6" s="1"/>
  <c r="V247" i="6" s="1"/>
  <c r="W247" i="6" s="1"/>
  <c r="X247" i="6" s="1"/>
  <c r="Y247" i="6" s="1"/>
  <c r="Z247" i="6" s="1"/>
  <c r="AA247" i="6" s="1"/>
  <c r="AB247" i="6" s="1"/>
  <c r="AC247" i="6" s="1"/>
  <c r="AD247" i="6" s="1"/>
  <c r="AE247" i="6" s="1"/>
  <c r="AF247" i="6" s="1"/>
  <c r="AG247" i="6" s="1"/>
  <c r="AH247" i="6" s="1"/>
  <c r="AI247" i="6" s="1"/>
  <c r="AJ247" i="6" s="1"/>
  <c r="AK247" i="6" s="1"/>
  <c r="AL247" i="6" s="1"/>
  <c r="AM247" i="6" s="1"/>
  <c r="AN247" i="6" s="1"/>
  <c r="AO247" i="6" s="1"/>
  <c r="AP247" i="6" s="1"/>
  <c r="AQ247" i="6" s="1"/>
  <c r="AR247" i="6" s="1"/>
  <c r="AS247" i="6" s="1"/>
  <c r="AT247" i="6" s="1"/>
  <c r="AU247" i="6" s="1"/>
  <c r="AV247" i="6" s="1"/>
  <c r="AW247" i="6" s="1"/>
  <c r="AX247" i="6" s="1"/>
  <c r="AY247" i="6" s="1"/>
  <c r="AZ247" i="6" s="1"/>
  <c r="BA247" i="6" s="1"/>
  <c r="BB247" i="6" s="1"/>
  <c r="BC247" i="6" s="1"/>
  <c r="BD247" i="6" s="1"/>
  <c r="BE247" i="6" s="1"/>
  <c r="BF247" i="6" s="1"/>
  <c r="BG247" i="6" s="1"/>
  <c r="BH247" i="6" s="1"/>
  <c r="BI247" i="6" s="1"/>
  <c r="BJ247" i="6" s="1"/>
  <c r="BK247" i="6" s="1"/>
  <c r="BL247" i="6" s="1"/>
  <c r="BM247" i="6" s="1"/>
  <c r="BN247" i="6" s="1"/>
  <c r="BO247" i="6" s="1"/>
  <c r="BP247" i="6" s="1"/>
  <c r="BQ247" i="6" s="1"/>
  <c r="BR247" i="6" s="1"/>
  <c r="BS247" i="6" s="1"/>
  <c r="BT247" i="6" s="1"/>
  <c r="BU247" i="6" s="1"/>
  <c r="BV247" i="6" s="1"/>
  <c r="BW247" i="6" s="1"/>
  <c r="BX247" i="6" s="1"/>
  <c r="BY247" i="6" s="1"/>
  <c r="BZ247" i="6" s="1"/>
  <c r="CA247" i="6" s="1"/>
  <c r="CB247" i="6" s="1"/>
  <c r="CC247" i="6" s="1"/>
  <c r="CD247" i="6" s="1"/>
  <c r="CE247" i="6" s="1"/>
  <c r="CF247" i="6" s="1"/>
  <c r="CG247" i="6" s="1"/>
  <c r="CH247" i="6" s="1"/>
  <c r="CI247" i="6" s="1"/>
  <c r="CJ247" i="6" s="1"/>
  <c r="CK247" i="6" s="1"/>
  <c r="CL247" i="6" s="1"/>
  <c r="CM247" i="6" s="1"/>
  <c r="CN247" i="6" s="1"/>
  <c r="CO247" i="6" s="1"/>
  <c r="CP247" i="6" s="1"/>
  <c r="CQ247" i="6" s="1"/>
  <c r="CR247" i="6" s="1"/>
  <c r="CS247" i="6" s="1"/>
  <c r="CT247" i="6" s="1"/>
  <c r="CU247" i="6" s="1"/>
  <c r="CV247" i="6" s="1"/>
  <c r="CW247" i="6" s="1"/>
  <c r="CX247" i="6" s="1"/>
  <c r="CY247" i="6" s="1"/>
  <c r="CZ247" i="6" s="1"/>
  <c r="DA247" i="6" s="1"/>
  <c r="DB247" i="6" s="1"/>
  <c r="DC247" i="6" s="1"/>
  <c r="DD247" i="6" s="1"/>
  <c r="DE247" i="6" s="1"/>
  <c r="DF247" i="6" s="1"/>
  <c r="O263" i="6"/>
  <c r="P263" i="6" s="1"/>
  <c r="Q263" i="6" s="1"/>
  <c r="R263" i="6" s="1"/>
  <c r="S263" i="6" s="1"/>
  <c r="T263" i="6" s="1"/>
  <c r="U263" i="6" s="1"/>
  <c r="V263" i="6" s="1"/>
  <c r="W263" i="6" s="1"/>
  <c r="X263" i="6" s="1"/>
  <c r="Y263" i="6" s="1"/>
  <c r="Z263" i="6" s="1"/>
  <c r="AA263" i="6" s="1"/>
  <c r="AB263" i="6" s="1"/>
  <c r="AC263" i="6" s="1"/>
  <c r="AD263" i="6" s="1"/>
  <c r="AE263" i="6" s="1"/>
  <c r="AF263" i="6" s="1"/>
  <c r="AG263" i="6" s="1"/>
  <c r="AH263" i="6" s="1"/>
  <c r="AI263" i="6" s="1"/>
  <c r="AJ263" i="6" s="1"/>
  <c r="AK263" i="6" s="1"/>
  <c r="AL263" i="6" s="1"/>
  <c r="AM263" i="6" s="1"/>
  <c r="AN263" i="6" s="1"/>
  <c r="AO263" i="6" s="1"/>
  <c r="AP263" i="6" s="1"/>
  <c r="AQ263" i="6" s="1"/>
  <c r="AR263" i="6" s="1"/>
  <c r="AS263" i="6" s="1"/>
  <c r="AT263" i="6" s="1"/>
  <c r="AU263" i="6" s="1"/>
  <c r="AV263" i="6" s="1"/>
  <c r="AW263" i="6" s="1"/>
  <c r="AX263" i="6" s="1"/>
  <c r="AY263" i="6" s="1"/>
  <c r="AZ263" i="6" s="1"/>
  <c r="BA263" i="6" s="1"/>
  <c r="BB263" i="6" s="1"/>
  <c r="BC263" i="6" s="1"/>
  <c r="BD263" i="6" s="1"/>
  <c r="BE263" i="6" s="1"/>
  <c r="BF263" i="6" s="1"/>
  <c r="BG263" i="6" s="1"/>
  <c r="BH263" i="6" s="1"/>
  <c r="BI263" i="6" s="1"/>
  <c r="BJ263" i="6" s="1"/>
  <c r="BK263" i="6" s="1"/>
  <c r="BL263" i="6" s="1"/>
  <c r="BM263" i="6" s="1"/>
  <c r="BN263" i="6" s="1"/>
  <c r="BO263" i="6" s="1"/>
  <c r="BP263" i="6" s="1"/>
  <c r="BQ263" i="6" s="1"/>
  <c r="BR263" i="6" s="1"/>
  <c r="BS263" i="6" s="1"/>
  <c r="BT263" i="6" s="1"/>
  <c r="BU263" i="6" s="1"/>
  <c r="BV263" i="6" s="1"/>
  <c r="BW263" i="6" s="1"/>
  <c r="BX263" i="6" s="1"/>
  <c r="BY263" i="6" s="1"/>
  <c r="BZ263" i="6" s="1"/>
  <c r="CA263" i="6" s="1"/>
  <c r="CB263" i="6" s="1"/>
  <c r="CC263" i="6" s="1"/>
  <c r="CD263" i="6" s="1"/>
  <c r="CE263" i="6" s="1"/>
  <c r="CF263" i="6" s="1"/>
  <c r="CG263" i="6" s="1"/>
  <c r="CH263" i="6" s="1"/>
  <c r="CI263" i="6" s="1"/>
  <c r="CJ263" i="6" s="1"/>
  <c r="CK263" i="6" s="1"/>
  <c r="CL263" i="6" s="1"/>
  <c r="CM263" i="6" s="1"/>
  <c r="CN263" i="6" s="1"/>
  <c r="CO263" i="6" s="1"/>
  <c r="CP263" i="6" s="1"/>
  <c r="CQ263" i="6" s="1"/>
  <c r="CR263" i="6" s="1"/>
  <c r="CS263" i="6" s="1"/>
  <c r="CT263" i="6" s="1"/>
  <c r="CU263" i="6" s="1"/>
  <c r="CV263" i="6" s="1"/>
  <c r="CW263" i="6" s="1"/>
  <c r="CX263" i="6" s="1"/>
  <c r="CY263" i="6" s="1"/>
  <c r="CZ263" i="6" s="1"/>
  <c r="DA263" i="6" s="1"/>
  <c r="DB263" i="6" s="1"/>
  <c r="DC263" i="6" s="1"/>
  <c r="DD263" i="6" s="1"/>
  <c r="DE263" i="6" s="1"/>
  <c r="O289" i="6"/>
  <c r="P289" i="6" s="1"/>
  <c r="Q289" i="6" s="1"/>
  <c r="R289" i="6" s="1"/>
  <c r="S289" i="6" s="1"/>
  <c r="T289" i="6" s="1"/>
  <c r="U289" i="6" s="1"/>
  <c r="V289" i="6" s="1"/>
  <c r="W289" i="6" s="1"/>
  <c r="X289" i="6" s="1"/>
  <c r="Y289" i="6" s="1"/>
  <c r="Z289" i="6" s="1"/>
  <c r="AA289" i="6" s="1"/>
  <c r="AB289" i="6" s="1"/>
  <c r="AC289" i="6" s="1"/>
  <c r="AD289" i="6" s="1"/>
  <c r="AE289" i="6" s="1"/>
  <c r="AF289" i="6" s="1"/>
  <c r="AG289" i="6" s="1"/>
  <c r="AH289" i="6" s="1"/>
  <c r="AI289" i="6" s="1"/>
  <c r="AJ289" i="6" s="1"/>
  <c r="AK289" i="6" s="1"/>
  <c r="AL289" i="6" s="1"/>
  <c r="AM289" i="6" s="1"/>
  <c r="AN289" i="6" s="1"/>
  <c r="AO289" i="6" s="1"/>
  <c r="AP289" i="6" s="1"/>
  <c r="AQ289" i="6" s="1"/>
  <c r="AR289" i="6" s="1"/>
  <c r="AS289" i="6" s="1"/>
  <c r="AT289" i="6" s="1"/>
  <c r="AU289" i="6" s="1"/>
  <c r="AV289" i="6" s="1"/>
  <c r="AW289" i="6" s="1"/>
  <c r="AX289" i="6" s="1"/>
  <c r="AY289" i="6" s="1"/>
  <c r="AZ289" i="6" s="1"/>
  <c r="BA289" i="6" s="1"/>
  <c r="BB289" i="6" s="1"/>
  <c r="BC289" i="6" s="1"/>
  <c r="BD289" i="6" s="1"/>
  <c r="BE289" i="6" s="1"/>
  <c r="BF289" i="6" s="1"/>
  <c r="BG289" i="6" s="1"/>
  <c r="BH289" i="6" s="1"/>
  <c r="BI289" i="6" s="1"/>
  <c r="BJ289" i="6" s="1"/>
  <c r="BK289" i="6" s="1"/>
  <c r="BL289" i="6" s="1"/>
  <c r="BM289" i="6" s="1"/>
  <c r="BN289" i="6" s="1"/>
  <c r="BO289" i="6" s="1"/>
  <c r="BP289" i="6" s="1"/>
  <c r="BQ289" i="6" s="1"/>
  <c r="BR289" i="6" s="1"/>
  <c r="BS289" i="6" s="1"/>
  <c r="BT289" i="6" s="1"/>
  <c r="BU289" i="6" s="1"/>
  <c r="BV289" i="6" s="1"/>
  <c r="BW289" i="6" s="1"/>
  <c r="BX289" i="6" s="1"/>
  <c r="BY289" i="6" s="1"/>
  <c r="BZ289" i="6" s="1"/>
  <c r="CA289" i="6" s="1"/>
  <c r="CB289" i="6" s="1"/>
  <c r="CC289" i="6" s="1"/>
  <c r="CD289" i="6" s="1"/>
  <c r="CE289" i="6" s="1"/>
  <c r="CF289" i="6" s="1"/>
  <c r="CG289" i="6" s="1"/>
  <c r="CH289" i="6" s="1"/>
  <c r="CI289" i="6" s="1"/>
  <c r="CJ289" i="6" s="1"/>
  <c r="CK289" i="6" s="1"/>
  <c r="CL289" i="6" s="1"/>
  <c r="CM289" i="6" s="1"/>
  <c r="CN289" i="6" s="1"/>
  <c r="CO289" i="6" s="1"/>
  <c r="CP289" i="6" s="1"/>
  <c r="CQ289" i="6" s="1"/>
  <c r="CR289" i="6" s="1"/>
  <c r="CS289" i="6" s="1"/>
  <c r="CT289" i="6" s="1"/>
  <c r="CU289" i="6" s="1"/>
  <c r="CV289" i="6" s="1"/>
  <c r="CW289" i="6" s="1"/>
  <c r="CX289" i="6" s="1"/>
  <c r="CY289" i="6" s="1"/>
  <c r="CZ289" i="6" s="1"/>
  <c r="DA289" i="6" s="1"/>
  <c r="DB289" i="6" s="1"/>
  <c r="DC289" i="6" s="1"/>
  <c r="DD289" i="6" s="1"/>
  <c r="DE289" i="6" s="1"/>
  <c r="DF289" i="6" s="1"/>
  <c r="O245" i="6"/>
  <c r="P245" i="6" s="1"/>
  <c r="Q245" i="6" s="1"/>
  <c r="R245" i="6" s="1"/>
  <c r="S245" i="6" s="1"/>
  <c r="T245" i="6" s="1"/>
  <c r="U245" i="6" s="1"/>
  <c r="V245" i="6" s="1"/>
  <c r="W245" i="6" s="1"/>
  <c r="X245" i="6" s="1"/>
  <c r="Y245" i="6" s="1"/>
  <c r="Z245" i="6" s="1"/>
  <c r="AA245" i="6" s="1"/>
  <c r="AB245" i="6" s="1"/>
  <c r="AC245" i="6" s="1"/>
  <c r="AD245" i="6" s="1"/>
  <c r="AE245" i="6" s="1"/>
  <c r="AF245" i="6" s="1"/>
  <c r="AG245" i="6" s="1"/>
  <c r="AH245" i="6" s="1"/>
  <c r="AI245" i="6" s="1"/>
  <c r="AJ245" i="6" s="1"/>
  <c r="AK245" i="6" s="1"/>
  <c r="AL245" i="6" s="1"/>
  <c r="AM245" i="6" s="1"/>
  <c r="AN245" i="6" s="1"/>
  <c r="AO245" i="6" s="1"/>
  <c r="AP245" i="6" s="1"/>
  <c r="AQ245" i="6" s="1"/>
  <c r="AR245" i="6" s="1"/>
  <c r="AS245" i="6" s="1"/>
  <c r="AT245" i="6" s="1"/>
  <c r="AU245" i="6" s="1"/>
  <c r="AV245" i="6" s="1"/>
  <c r="AW245" i="6" s="1"/>
  <c r="AX245" i="6" s="1"/>
  <c r="AY245" i="6" s="1"/>
  <c r="AZ245" i="6" s="1"/>
  <c r="BA245" i="6" s="1"/>
  <c r="BB245" i="6" s="1"/>
  <c r="BC245" i="6" s="1"/>
  <c r="BD245" i="6" s="1"/>
  <c r="BE245" i="6" s="1"/>
  <c r="BF245" i="6" s="1"/>
  <c r="BG245" i="6" s="1"/>
  <c r="BH245" i="6" s="1"/>
  <c r="BI245" i="6" s="1"/>
  <c r="BJ245" i="6" s="1"/>
  <c r="BK245" i="6" s="1"/>
  <c r="BL245" i="6" s="1"/>
  <c r="BM245" i="6" s="1"/>
  <c r="BN245" i="6" s="1"/>
  <c r="BO245" i="6" s="1"/>
  <c r="BP245" i="6" s="1"/>
  <c r="BQ245" i="6" s="1"/>
  <c r="BR245" i="6" s="1"/>
  <c r="BS245" i="6" s="1"/>
  <c r="BT245" i="6" s="1"/>
  <c r="BU245" i="6" s="1"/>
  <c r="BV245" i="6" s="1"/>
  <c r="BW245" i="6" s="1"/>
  <c r="BX245" i="6" s="1"/>
  <c r="BY245" i="6" s="1"/>
  <c r="BZ245" i="6" s="1"/>
  <c r="CA245" i="6" s="1"/>
  <c r="CB245" i="6" s="1"/>
  <c r="CC245" i="6" s="1"/>
  <c r="CD245" i="6" s="1"/>
  <c r="CE245" i="6" s="1"/>
  <c r="CF245" i="6" s="1"/>
  <c r="CG245" i="6" s="1"/>
  <c r="CH245" i="6" s="1"/>
  <c r="CI245" i="6" s="1"/>
  <c r="CJ245" i="6" s="1"/>
  <c r="CK245" i="6" s="1"/>
  <c r="CL245" i="6" s="1"/>
  <c r="CM245" i="6" s="1"/>
  <c r="CN245" i="6" s="1"/>
  <c r="CO245" i="6" s="1"/>
  <c r="CP245" i="6" s="1"/>
  <c r="CQ245" i="6" s="1"/>
  <c r="CR245" i="6" s="1"/>
  <c r="CS245" i="6" s="1"/>
  <c r="CT245" i="6" s="1"/>
  <c r="CU245" i="6" s="1"/>
  <c r="CV245" i="6" s="1"/>
  <c r="CW245" i="6" s="1"/>
  <c r="CX245" i="6" s="1"/>
  <c r="CY245" i="6" s="1"/>
  <c r="CZ245" i="6" s="1"/>
  <c r="DA245" i="6" s="1"/>
  <c r="DB245" i="6" s="1"/>
  <c r="DC245" i="6" s="1"/>
  <c r="DD245" i="6" s="1"/>
  <c r="DE245" i="6" s="1"/>
  <c r="DF245" i="6" s="1"/>
  <c r="K82" i="4"/>
  <c r="F87" i="4" s="1"/>
  <c r="Q82" i="4"/>
  <c r="L87" i="4" s="1"/>
  <c r="P82" i="4"/>
  <c r="K87" i="4" s="1"/>
  <c r="U71" i="4"/>
  <c r="V71" i="4" s="1"/>
  <c r="W71" i="4" s="1"/>
  <c r="T71" i="4"/>
  <c r="K397" i="6"/>
  <c r="F402" i="6" s="1"/>
  <c r="M3" i="6"/>
  <c r="L277" i="6"/>
  <c r="M277" i="6" s="1"/>
  <c r="N277" i="6" s="1"/>
  <c r="L235" i="6"/>
  <c r="L57" i="6"/>
  <c r="M3" i="5"/>
  <c r="BT25" i="4"/>
  <c r="M3" i="4"/>
  <c r="L82" i="4"/>
  <c r="G87" i="4" s="1"/>
  <c r="S3" i="4"/>
  <c r="R82" i="4"/>
  <c r="M87" i="4" s="1"/>
  <c r="BQ72" i="1"/>
  <c r="K62" i="1"/>
  <c r="L62" i="1" s="1"/>
  <c r="M62" i="1" s="1"/>
  <c r="N62" i="1" s="1"/>
  <c r="O62" i="1" s="1"/>
  <c r="P62" i="1" s="1"/>
  <c r="Q62" i="1" s="1"/>
  <c r="R62" i="1" s="1"/>
  <c r="S62" i="1" s="1"/>
  <c r="T62" i="1" s="1"/>
  <c r="U62" i="1" s="1"/>
  <c r="V62" i="1" s="1"/>
  <c r="W62" i="1" s="1"/>
  <c r="X62" i="1" s="1"/>
  <c r="Y62" i="1" s="1"/>
  <c r="Z62" i="1" s="1"/>
  <c r="AA62" i="1" s="1"/>
  <c r="AB62" i="1" s="1"/>
  <c r="AC62" i="1" s="1"/>
  <c r="AD62" i="1" s="1"/>
  <c r="AE62" i="1" s="1"/>
  <c r="AF62" i="1" s="1"/>
  <c r="K66" i="1"/>
  <c r="L66" i="1" s="1"/>
  <c r="M66" i="1" s="1"/>
  <c r="N66" i="1" s="1"/>
  <c r="O66" i="1" s="1"/>
  <c r="P66" i="1" s="1"/>
  <c r="Q66" i="1" s="1"/>
  <c r="R66" i="1" s="1"/>
  <c r="S66" i="1" s="1"/>
  <c r="T66" i="1" s="1"/>
  <c r="U66" i="1" s="1"/>
  <c r="V66" i="1" s="1"/>
  <c r="W66" i="1" s="1"/>
  <c r="X66" i="1" s="1"/>
  <c r="Y66" i="1" s="1"/>
  <c r="Z66" i="1" s="1"/>
  <c r="AA66" i="1" s="1"/>
  <c r="AB66" i="1" s="1"/>
  <c r="AC66" i="1" s="1"/>
  <c r="AD66" i="1" s="1"/>
  <c r="AE66" i="1" s="1"/>
  <c r="AF66" i="1" s="1"/>
  <c r="AG66" i="1" s="1"/>
  <c r="AH66" i="1" s="1"/>
  <c r="AI66" i="1" s="1"/>
  <c r="AJ66" i="1" s="1"/>
  <c r="AK66" i="1" s="1"/>
  <c r="AL66" i="1" s="1"/>
  <c r="AM66" i="1" s="1"/>
  <c r="AN66" i="1" s="1"/>
  <c r="AO66" i="1" s="1"/>
  <c r="AP66" i="1" s="1"/>
  <c r="AQ66" i="1" s="1"/>
  <c r="AR66" i="1" s="1"/>
  <c r="AS66" i="1" s="1"/>
  <c r="AT66" i="1" s="1"/>
  <c r="AU66" i="1" s="1"/>
  <c r="AV66" i="1" s="1"/>
  <c r="AW66" i="1" s="1"/>
  <c r="AX66" i="1" s="1"/>
  <c r="AY66" i="1" s="1"/>
  <c r="AZ66" i="1" s="1"/>
  <c r="BA66" i="1" s="1"/>
  <c r="BB66" i="1" s="1"/>
  <c r="BC66" i="1" s="1"/>
  <c r="BD66" i="1" s="1"/>
  <c r="BE66" i="1" s="1"/>
  <c r="BF66" i="1" s="1"/>
  <c r="BG66" i="1" s="1"/>
  <c r="BH66" i="1" s="1"/>
  <c r="BI66" i="1" s="1"/>
  <c r="BJ66" i="1" s="1"/>
  <c r="BK66" i="1" s="1"/>
  <c r="BL66" i="1" s="1"/>
  <c r="BM66" i="1" s="1"/>
  <c r="BN66" i="1" s="1"/>
  <c r="BO66" i="1" s="1"/>
  <c r="BP66" i="1" s="1"/>
  <c r="BQ66" i="1" s="1"/>
  <c r="BR66" i="1" s="1"/>
  <c r="BS66" i="1" s="1"/>
  <c r="BT66" i="1" s="1"/>
  <c r="BU66" i="1" s="1"/>
  <c r="BV66" i="1" s="1"/>
  <c r="BW66" i="1" s="1"/>
  <c r="BX66" i="1" s="1"/>
  <c r="BY66" i="1" s="1"/>
  <c r="BZ66" i="1" s="1"/>
  <c r="CA66" i="1" s="1"/>
  <c r="CB66" i="1" s="1"/>
  <c r="CC66" i="1" s="1"/>
  <c r="CD66" i="1" s="1"/>
  <c r="CE66" i="1" s="1"/>
  <c r="CF66" i="1" s="1"/>
  <c r="CG66" i="1" s="1"/>
  <c r="CH66" i="1" s="1"/>
  <c r="CI66" i="1" s="1"/>
  <c r="CJ66" i="1" s="1"/>
  <c r="CK66" i="1" s="1"/>
  <c r="CL66" i="1" s="1"/>
  <c r="CM66" i="1" s="1"/>
  <c r="CN66" i="1" s="1"/>
  <c r="CO66" i="1" s="1"/>
  <c r="K70" i="1"/>
  <c r="L70" i="1" s="1"/>
  <c r="M70" i="1" s="1"/>
  <c r="N70" i="1" s="1"/>
  <c r="O70" i="1" s="1"/>
  <c r="P70" i="1" s="1"/>
  <c r="Q70" i="1" s="1"/>
  <c r="R70" i="1" s="1"/>
  <c r="K64" i="1"/>
  <c r="L64" i="1" s="1"/>
  <c r="M64" i="1" s="1"/>
  <c r="N64" i="1" s="1"/>
  <c r="O64" i="1" s="1"/>
  <c r="P64" i="1" s="1"/>
  <c r="Q64" i="1" s="1"/>
  <c r="R64" i="1" s="1"/>
  <c r="S64" i="1" s="1"/>
  <c r="T64" i="1" s="1"/>
  <c r="U64" i="1" s="1"/>
  <c r="V64" i="1" s="1"/>
  <c r="W64" i="1" s="1"/>
  <c r="X64" i="1" s="1"/>
  <c r="Y64" i="1" s="1"/>
  <c r="Z64" i="1" s="1"/>
  <c r="AA64" i="1" s="1"/>
  <c r="AB64" i="1" s="1"/>
  <c r="AC64" i="1" s="1"/>
  <c r="AD64" i="1" s="1"/>
  <c r="AE64" i="1" s="1"/>
  <c r="AF64" i="1" s="1"/>
  <c r="AG64" i="1" s="1"/>
  <c r="AH64" i="1" s="1"/>
  <c r="AI64" i="1" s="1"/>
  <c r="AJ64" i="1" s="1"/>
  <c r="AK64" i="1" s="1"/>
  <c r="AL64" i="1" s="1"/>
  <c r="AM64" i="1" s="1"/>
  <c r="AN64" i="1" s="1"/>
  <c r="AO64" i="1" s="1"/>
  <c r="AP64" i="1" s="1"/>
  <c r="AQ64" i="1" s="1"/>
  <c r="AR64" i="1" s="1"/>
  <c r="AS64" i="1" s="1"/>
  <c r="AT64" i="1" s="1"/>
  <c r="AU64" i="1" s="1"/>
  <c r="AV64" i="1" s="1"/>
  <c r="AW64" i="1" s="1"/>
  <c r="AX64" i="1" s="1"/>
  <c r="AY64" i="1" s="1"/>
  <c r="AZ64" i="1" s="1"/>
  <c r="BA64" i="1" s="1"/>
  <c r="BB64" i="1" s="1"/>
  <c r="BC64" i="1" s="1"/>
  <c r="BD64" i="1" s="1"/>
  <c r="BE64" i="1" s="1"/>
  <c r="BF64" i="1" s="1"/>
  <c r="BG64" i="1" s="1"/>
  <c r="BH64" i="1" s="1"/>
  <c r="BI64" i="1" s="1"/>
  <c r="BJ64" i="1" s="1"/>
  <c r="BK64" i="1" s="1"/>
  <c r="BL64" i="1" s="1"/>
  <c r="BM64" i="1" s="1"/>
  <c r="BN64" i="1" s="1"/>
  <c r="BO64" i="1" s="1"/>
  <c r="BP64" i="1" s="1"/>
  <c r="BQ64" i="1" s="1"/>
  <c r="BR64" i="1" s="1"/>
  <c r="BS64" i="1" s="1"/>
  <c r="BT64" i="1" s="1"/>
  <c r="BU64" i="1" s="1"/>
  <c r="BV64" i="1" s="1"/>
  <c r="BW64" i="1" s="1"/>
  <c r="BX64" i="1" s="1"/>
  <c r="BY64" i="1" s="1"/>
  <c r="BZ64" i="1" s="1"/>
  <c r="CA64" i="1" s="1"/>
  <c r="CB64" i="1" s="1"/>
  <c r="CC64" i="1" s="1"/>
  <c r="CD64" i="1" s="1"/>
  <c r="CE64" i="1" s="1"/>
  <c r="CF64" i="1" s="1"/>
  <c r="CG64" i="1" s="1"/>
  <c r="CH64" i="1" s="1"/>
  <c r="CI64" i="1" s="1"/>
  <c r="CJ64" i="1" s="1"/>
  <c r="CK64" i="1" s="1"/>
  <c r="CL64" i="1" s="1"/>
  <c r="CM64" i="1" s="1"/>
  <c r="CN64" i="1" s="1"/>
  <c r="CO64" i="1" s="1"/>
  <c r="K68" i="1"/>
  <c r="L68" i="1" s="1"/>
  <c r="M68" i="1" s="1"/>
  <c r="N68" i="1" s="1"/>
  <c r="O68" i="1" s="1"/>
  <c r="P68" i="1" s="1"/>
  <c r="Q68" i="1" s="1"/>
  <c r="R68" i="1" s="1"/>
  <c r="S68" i="1" s="1"/>
  <c r="T68" i="1" s="1"/>
  <c r="U68" i="1" s="1"/>
  <c r="V68" i="1" s="1"/>
  <c r="W68" i="1" s="1"/>
  <c r="X68" i="1" s="1"/>
  <c r="Y68" i="1" s="1"/>
  <c r="Z68" i="1" s="1"/>
  <c r="AA68" i="1" s="1"/>
  <c r="AB68" i="1" s="1"/>
  <c r="AC68" i="1" s="1"/>
  <c r="AD68" i="1" s="1"/>
  <c r="AE68" i="1" s="1"/>
  <c r="AF68" i="1" s="1"/>
  <c r="AG68" i="1" s="1"/>
  <c r="AH68" i="1" s="1"/>
  <c r="AI68" i="1" s="1"/>
  <c r="AJ68" i="1" s="1"/>
  <c r="AK68" i="1" s="1"/>
  <c r="AL68" i="1" s="1"/>
  <c r="AM68" i="1" s="1"/>
  <c r="AN68" i="1" s="1"/>
  <c r="AO68" i="1" s="1"/>
  <c r="AP68" i="1" s="1"/>
  <c r="AQ68" i="1" s="1"/>
  <c r="AR68" i="1" s="1"/>
  <c r="AS68" i="1" s="1"/>
  <c r="AT68" i="1" s="1"/>
  <c r="AU68" i="1" s="1"/>
  <c r="AV68" i="1" s="1"/>
  <c r="AW68" i="1" s="1"/>
  <c r="AX68" i="1" s="1"/>
  <c r="AY68" i="1" s="1"/>
  <c r="AZ68" i="1" s="1"/>
  <c r="BA68" i="1" s="1"/>
  <c r="BB68" i="1" s="1"/>
  <c r="BC68" i="1" s="1"/>
  <c r="BD68" i="1" s="1"/>
  <c r="BE68" i="1" s="1"/>
  <c r="BF68" i="1" s="1"/>
  <c r="BG68" i="1" s="1"/>
  <c r="BH68" i="1" s="1"/>
  <c r="BI68" i="1" s="1"/>
  <c r="BJ68" i="1" s="1"/>
  <c r="BK68" i="1" s="1"/>
  <c r="BL68" i="1" s="1"/>
  <c r="BM68" i="1" s="1"/>
  <c r="BN68" i="1" s="1"/>
  <c r="BO68" i="1" s="1"/>
  <c r="BP68" i="1" s="1"/>
  <c r="BQ68" i="1" s="1"/>
  <c r="BR68" i="1" s="1"/>
  <c r="BS68" i="1" s="1"/>
  <c r="BT68" i="1" s="1"/>
  <c r="BU68" i="1" s="1"/>
  <c r="BV68" i="1" s="1"/>
  <c r="BW68" i="1" s="1"/>
  <c r="BX68" i="1" s="1"/>
  <c r="BY68" i="1" s="1"/>
  <c r="BZ68" i="1" s="1"/>
  <c r="CA68" i="1" s="1"/>
  <c r="CB68" i="1" s="1"/>
  <c r="CC68" i="1" s="1"/>
  <c r="CD68" i="1" s="1"/>
  <c r="CE68" i="1" s="1"/>
  <c r="CF68" i="1" s="1"/>
  <c r="CG68" i="1" s="1"/>
  <c r="CH68" i="1" s="1"/>
  <c r="CI68" i="1" s="1"/>
  <c r="CJ68" i="1" s="1"/>
  <c r="CK68" i="1" s="1"/>
  <c r="CL68" i="1" s="1"/>
  <c r="CM68" i="1" s="1"/>
  <c r="CN68" i="1" s="1"/>
  <c r="CO68" i="1" s="1"/>
  <c r="J51" i="1"/>
  <c r="K51" i="1" s="1"/>
  <c r="L51" i="1" s="1"/>
  <c r="M51" i="1" s="1"/>
  <c r="N51" i="1" s="1"/>
  <c r="O51" i="1" s="1"/>
  <c r="P51" i="1" s="1"/>
  <c r="Q51" i="1" s="1"/>
  <c r="R51" i="1" s="1"/>
  <c r="S51" i="1" s="1"/>
  <c r="T51" i="1" s="1"/>
  <c r="U51" i="1" s="1"/>
  <c r="V51" i="1" s="1"/>
  <c r="W51" i="1" s="1"/>
  <c r="X51" i="1" s="1"/>
  <c r="Y51" i="1" s="1"/>
  <c r="Z51" i="1" s="1"/>
  <c r="AA51" i="1" s="1"/>
  <c r="AB51" i="1" s="1"/>
  <c r="AC51" i="1" s="1"/>
  <c r="AD51" i="1" s="1"/>
  <c r="AE51" i="1" s="1"/>
  <c r="AF51" i="1" s="1"/>
  <c r="AG51" i="1" s="1"/>
  <c r="AH51" i="1" s="1"/>
  <c r="AI51" i="1" s="1"/>
  <c r="AJ51" i="1" s="1"/>
  <c r="AK51" i="1" s="1"/>
  <c r="AL51" i="1" s="1"/>
  <c r="AM51" i="1" s="1"/>
  <c r="AN51" i="1" s="1"/>
  <c r="AO51" i="1" s="1"/>
  <c r="AP51" i="1" s="1"/>
  <c r="AQ51" i="1" s="1"/>
  <c r="AR51" i="1" s="1"/>
  <c r="AS51" i="1" s="1"/>
  <c r="AT51" i="1" s="1"/>
  <c r="AU51" i="1" s="1"/>
  <c r="AV51" i="1" s="1"/>
  <c r="AW51" i="1" s="1"/>
  <c r="AX51" i="1" s="1"/>
  <c r="AY51" i="1" s="1"/>
  <c r="AZ51" i="1" s="1"/>
  <c r="BA51" i="1" s="1"/>
  <c r="BB51" i="1" s="1"/>
  <c r="BC51" i="1" s="1"/>
  <c r="BD51" i="1" s="1"/>
  <c r="BE51" i="1" s="1"/>
  <c r="BF51" i="1" s="1"/>
  <c r="BG51" i="1" s="1"/>
  <c r="BH51" i="1" s="1"/>
  <c r="BI51" i="1" s="1"/>
  <c r="BJ51" i="1" s="1"/>
  <c r="BK51" i="1" s="1"/>
  <c r="BL51" i="1" s="1"/>
  <c r="BM51" i="1" s="1"/>
  <c r="BN51" i="1" s="1"/>
  <c r="BO51" i="1" s="1"/>
  <c r="BP51" i="1" s="1"/>
  <c r="BQ51" i="1" s="1"/>
  <c r="BR51" i="1" s="1"/>
  <c r="BS51" i="1" s="1"/>
  <c r="BT51" i="1" s="1"/>
  <c r="BU51" i="1" s="1"/>
  <c r="BV51" i="1" s="1"/>
  <c r="BW51" i="1" s="1"/>
  <c r="BX51" i="1" s="1"/>
  <c r="BY51" i="1" s="1"/>
  <c r="BZ51" i="1" s="1"/>
  <c r="CA51" i="1" s="1"/>
  <c r="CB51" i="1" s="1"/>
  <c r="CC51" i="1" s="1"/>
  <c r="CD51" i="1" s="1"/>
  <c r="CE51" i="1" s="1"/>
  <c r="CF51" i="1" s="1"/>
  <c r="CG51" i="1" s="1"/>
  <c r="CH51" i="1" s="1"/>
  <c r="CI51" i="1" s="1"/>
  <c r="CJ51" i="1" s="1"/>
  <c r="CK51" i="1" s="1"/>
  <c r="CL51" i="1" s="1"/>
  <c r="CM51" i="1" s="1"/>
  <c r="CN51" i="1" s="1"/>
  <c r="CO51" i="1" s="1"/>
  <c r="DA397" i="6" l="1"/>
  <c r="EM88" i="4"/>
  <c r="CL403" i="6"/>
  <c r="DF263" i="6"/>
  <c r="DF275" i="6"/>
  <c r="DF295" i="6"/>
  <c r="DF136" i="6"/>
  <c r="DF128" i="6"/>
  <c r="DF203" i="6"/>
  <c r="DF114" i="6"/>
  <c r="DF47" i="6"/>
  <c r="DF209" i="6"/>
  <c r="DF43" i="6"/>
  <c r="DF7" i="6"/>
  <c r="DF219" i="6"/>
  <c r="DF158" i="6"/>
  <c r="L397" i="6"/>
  <c r="G402" i="6" s="1"/>
  <c r="P106" i="6"/>
  <c r="Q106" i="6" s="1"/>
  <c r="R106" i="6" s="1"/>
  <c r="S106" i="6" s="1"/>
  <c r="T106" i="6" s="1"/>
  <c r="U106" i="6" s="1"/>
  <c r="V106" i="6" s="1"/>
  <c r="W106" i="6" s="1"/>
  <c r="X106" i="6" s="1"/>
  <c r="Y106" i="6" s="1"/>
  <c r="Z106" i="6" s="1"/>
  <c r="AA106" i="6" s="1"/>
  <c r="AB106" i="6" s="1"/>
  <c r="AC106" i="6" s="1"/>
  <c r="AD106" i="6" s="1"/>
  <c r="AE106" i="6" s="1"/>
  <c r="AF106" i="6" s="1"/>
  <c r="AG106" i="6" s="1"/>
  <c r="AH106" i="6" s="1"/>
  <c r="AI106" i="6" s="1"/>
  <c r="AJ106" i="6" s="1"/>
  <c r="AK106" i="6" s="1"/>
  <c r="AL106" i="6" s="1"/>
  <c r="AM106" i="6" s="1"/>
  <c r="AN106" i="6" s="1"/>
  <c r="AO106" i="6" s="1"/>
  <c r="AP106" i="6" s="1"/>
  <c r="AQ106" i="6" s="1"/>
  <c r="AR106" i="6" s="1"/>
  <c r="AS106" i="6" s="1"/>
  <c r="AT106" i="6" s="1"/>
  <c r="AU106" i="6" s="1"/>
  <c r="AV106" i="6" s="1"/>
  <c r="AW106" i="6" s="1"/>
  <c r="AX106" i="6" s="1"/>
  <c r="AY106" i="6" s="1"/>
  <c r="AZ106" i="6" s="1"/>
  <c r="BA106" i="6" s="1"/>
  <c r="BB106" i="6" s="1"/>
  <c r="BC106" i="6" s="1"/>
  <c r="BD106" i="6" s="1"/>
  <c r="BE106" i="6" s="1"/>
  <c r="BF106" i="6" s="1"/>
  <c r="BG106" i="6" s="1"/>
  <c r="BH106" i="6" s="1"/>
  <c r="BI106" i="6" s="1"/>
  <c r="BJ106" i="6" s="1"/>
  <c r="BK106" i="6" s="1"/>
  <c r="BL106" i="6" s="1"/>
  <c r="BM106" i="6" s="1"/>
  <c r="BN106" i="6" s="1"/>
  <c r="BO106" i="6" s="1"/>
  <c r="BP106" i="6" s="1"/>
  <c r="BQ106" i="6" s="1"/>
  <c r="BR106" i="6" s="1"/>
  <c r="BS106" i="6" s="1"/>
  <c r="BT106" i="6" s="1"/>
  <c r="BU106" i="6" s="1"/>
  <c r="BV106" i="6" s="1"/>
  <c r="BW106" i="6" s="1"/>
  <c r="BX106" i="6" s="1"/>
  <c r="BY106" i="6" s="1"/>
  <c r="BZ106" i="6" s="1"/>
  <c r="CA106" i="6" s="1"/>
  <c r="CB106" i="6" s="1"/>
  <c r="CC106" i="6" s="1"/>
  <c r="CD106" i="6" s="1"/>
  <c r="CE106" i="6" s="1"/>
  <c r="CF106" i="6" s="1"/>
  <c r="CG106" i="6" s="1"/>
  <c r="CH106" i="6" s="1"/>
  <c r="CI106" i="6" s="1"/>
  <c r="CJ106" i="6" s="1"/>
  <c r="CK106" i="6" s="1"/>
  <c r="CL106" i="6" s="1"/>
  <c r="CM106" i="6" s="1"/>
  <c r="CN106" i="6" s="1"/>
  <c r="CO106" i="6" s="1"/>
  <c r="CP106" i="6" s="1"/>
  <c r="CQ106" i="6" s="1"/>
  <c r="CR106" i="6" s="1"/>
  <c r="CS106" i="6" s="1"/>
  <c r="CT106" i="6" s="1"/>
  <c r="CU106" i="6" s="1"/>
  <c r="CV106" i="6" s="1"/>
  <c r="CW106" i="6" s="1"/>
  <c r="CX106" i="6" s="1"/>
  <c r="CY106" i="6" s="1"/>
  <c r="CZ106" i="6" s="1"/>
  <c r="DA106" i="6" s="1"/>
  <c r="DB106" i="6" s="1"/>
  <c r="DC106" i="6" s="1"/>
  <c r="DD106" i="6" s="1"/>
  <c r="DE106" i="6" s="1"/>
  <c r="P291" i="6"/>
  <c r="Q291" i="6" s="1"/>
  <c r="R291" i="6" s="1"/>
  <c r="S291" i="6" s="1"/>
  <c r="T291" i="6" s="1"/>
  <c r="U291" i="6" s="1"/>
  <c r="V291" i="6" s="1"/>
  <c r="W291" i="6" s="1"/>
  <c r="X291" i="6" s="1"/>
  <c r="Y291" i="6" s="1"/>
  <c r="Z291" i="6" s="1"/>
  <c r="AA291" i="6" s="1"/>
  <c r="AB291" i="6" s="1"/>
  <c r="AC291" i="6" s="1"/>
  <c r="AD291" i="6" s="1"/>
  <c r="AE291" i="6" s="1"/>
  <c r="AF291" i="6" s="1"/>
  <c r="AG291" i="6" s="1"/>
  <c r="AH291" i="6" s="1"/>
  <c r="AI291" i="6" s="1"/>
  <c r="AJ291" i="6" s="1"/>
  <c r="AK291" i="6" s="1"/>
  <c r="AL291" i="6" s="1"/>
  <c r="AM291" i="6" s="1"/>
  <c r="AN291" i="6" s="1"/>
  <c r="AO291" i="6" s="1"/>
  <c r="AP291" i="6" s="1"/>
  <c r="AQ291" i="6" s="1"/>
  <c r="AR291" i="6" s="1"/>
  <c r="AS291" i="6" s="1"/>
  <c r="AT291" i="6" s="1"/>
  <c r="AU291" i="6" s="1"/>
  <c r="AV291" i="6" s="1"/>
  <c r="AW291" i="6" s="1"/>
  <c r="AX291" i="6" s="1"/>
  <c r="AY291" i="6" s="1"/>
  <c r="AZ291" i="6" s="1"/>
  <c r="BA291" i="6" s="1"/>
  <c r="BB291" i="6" s="1"/>
  <c r="BC291" i="6" s="1"/>
  <c r="BD291" i="6" s="1"/>
  <c r="BE291" i="6" s="1"/>
  <c r="BF291" i="6" s="1"/>
  <c r="BG291" i="6" s="1"/>
  <c r="BH291" i="6" s="1"/>
  <c r="BI291" i="6" s="1"/>
  <c r="BJ291" i="6" s="1"/>
  <c r="BK291" i="6" s="1"/>
  <c r="BL291" i="6" s="1"/>
  <c r="BM291" i="6" s="1"/>
  <c r="BN291" i="6" s="1"/>
  <c r="BO291" i="6" s="1"/>
  <c r="BP291" i="6" s="1"/>
  <c r="BQ291" i="6" s="1"/>
  <c r="BR291" i="6" s="1"/>
  <c r="BS291" i="6" s="1"/>
  <c r="BT291" i="6" s="1"/>
  <c r="BU291" i="6" s="1"/>
  <c r="BV291" i="6" s="1"/>
  <c r="BW291" i="6" s="1"/>
  <c r="BX291" i="6" s="1"/>
  <c r="BY291" i="6" s="1"/>
  <c r="BZ291" i="6" s="1"/>
  <c r="CA291" i="6" s="1"/>
  <c r="CB291" i="6" s="1"/>
  <c r="CC291" i="6" s="1"/>
  <c r="CD291" i="6" s="1"/>
  <c r="CE291" i="6" s="1"/>
  <c r="CF291" i="6" s="1"/>
  <c r="CG291" i="6" s="1"/>
  <c r="CH291" i="6" s="1"/>
  <c r="CI291" i="6" s="1"/>
  <c r="CJ291" i="6" s="1"/>
  <c r="CK291" i="6" s="1"/>
  <c r="CL291" i="6" s="1"/>
  <c r="CM291" i="6" s="1"/>
  <c r="CN291" i="6" s="1"/>
  <c r="CO291" i="6" s="1"/>
  <c r="CP291" i="6" s="1"/>
  <c r="CQ291" i="6" s="1"/>
  <c r="CR291" i="6" s="1"/>
  <c r="CS291" i="6" s="1"/>
  <c r="CT291" i="6" s="1"/>
  <c r="CU291" i="6" s="1"/>
  <c r="CV291" i="6" s="1"/>
  <c r="CW291" i="6" s="1"/>
  <c r="CX291" i="6" s="1"/>
  <c r="CY291" i="6" s="1"/>
  <c r="CZ291" i="6" s="1"/>
  <c r="DA291" i="6" s="1"/>
  <c r="DB291" i="6" s="1"/>
  <c r="DC291" i="6" s="1"/>
  <c r="DD291" i="6" s="1"/>
  <c r="DE291" i="6" s="1"/>
  <c r="M235" i="6"/>
  <c r="N235" i="6" s="1"/>
  <c r="O235" i="6" s="1"/>
  <c r="P235" i="6" s="1"/>
  <c r="Q235" i="6" s="1"/>
  <c r="R235" i="6" s="1"/>
  <c r="S235" i="6" s="1"/>
  <c r="T235" i="6" s="1"/>
  <c r="U235" i="6" s="1"/>
  <c r="V235" i="6" s="1"/>
  <c r="W235" i="6" s="1"/>
  <c r="X235" i="6" s="1"/>
  <c r="Y235" i="6" s="1"/>
  <c r="Z235" i="6" s="1"/>
  <c r="AA235" i="6" s="1"/>
  <c r="AB235" i="6" s="1"/>
  <c r="AC235" i="6" s="1"/>
  <c r="AD235" i="6" s="1"/>
  <c r="AE235" i="6" s="1"/>
  <c r="AF235" i="6" s="1"/>
  <c r="AG235" i="6" s="1"/>
  <c r="AH235" i="6" s="1"/>
  <c r="AI235" i="6" s="1"/>
  <c r="AJ235" i="6" s="1"/>
  <c r="AK235" i="6" s="1"/>
  <c r="AL235" i="6" s="1"/>
  <c r="AM235" i="6" s="1"/>
  <c r="AN235" i="6" s="1"/>
  <c r="AO235" i="6" s="1"/>
  <c r="AP235" i="6" s="1"/>
  <c r="AQ235" i="6" s="1"/>
  <c r="AR235" i="6" s="1"/>
  <c r="AS235" i="6" s="1"/>
  <c r="AT235" i="6" s="1"/>
  <c r="AU235" i="6" s="1"/>
  <c r="AV235" i="6" s="1"/>
  <c r="AW235" i="6" s="1"/>
  <c r="AX235" i="6" s="1"/>
  <c r="AY235" i="6" s="1"/>
  <c r="AZ235" i="6" s="1"/>
  <c r="BA235" i="6" s="1"/>
  <c r="BB235" i="6" s="1"/>
  <c r="BC235" i="6" s="1"/>
  <c r="BD235" i="6" s="1"/>
  <c r="BE235" i="6" s="1"/>
  <c r="BF235" i="6" s="1"/>
  <c r="BG235" i="6" s="1"/>
  <c r="BH235" i="6" s="1"/>
  <c r="BI235" i="6" s="1"/>
  <c r="BJ235" i="6" s="1"/>
  <c r="BK235" i="6" s="1"/>
  <c r="BL235" i="6" s="1"/>
  <c r="BM235" i="6" s="1"/>
  <c r="BN235" i="6" s="1"/>
  <c r="BO235" i="6" s="1"/>
  <c r="BP235" i="6" s="1"/>
  <c r="BQ235" i="6" s="1"/>
  <c r="BR235" i="6" s="1"/>
  <c r="BS235" i="6" s="1"/>
  <c r="BT235" i="6" s="1"/>
  <c r="BU235" i="6" s="1"/>
  <c r="BV235" i="6" s="1"/>
  <c r="BW235" i="6" s="1"/>
  <c r="BX235" i="6" s="1"/>
  <c r="BY235" i="6" s="1"/>
  <c r="BZ235" i="6" s="1"/>
  <c r="CA235" i="6" s="1"/>
  <c r="CB235" i="6" s="1"/>
  <c r="CC235" i="6" s="1"/>
  <c r="CD235" i="6" s="1"/>
  <c r="CE235" i="6" s="1"/>
  <c r="CF235" i="6" s="1"/>
  <c r="CG235" i="6" s="1"/>
  <c r="CH235" i="6" s="1"/>
  <c r="CI235" i="6" s="1"/>
  <c r="CJ235" i="6" s="1"/>
  <c r="CK235" i="6" s="1"/>
  <c r="CL235" i="6" s="1"/>
  <c r="CM235" i="6" s="1"/>
  <c r="CN235" i="6" s="1"/>
  <c r="CO235" i="6" s="1"/>
  <c r="CP235" i="6" s="1"/>
  <c r="CQ235" i="6" s="1"/>
  <c r="CR235" i="6" s="1"/>
  <c r="CS235" i="6" s="1"/>
  <c r="CT235" i="6" s="1"/>
  <c r="CU235" i="6" s="1"/>
  <c r="CV235" i="6" s="1"/>
  <c r="CW235" i="6" s="1"/>
  <c r="CX235" i="6" s="1"/>
  <c r="CY235" i="6" s="1"/>
  <c r="CZ235" i="6" s="1"/>
  <c r="DA235" i="6" s="1"/>
  <c r="DB235" i="6" s="1"/>
  <c r="DC235" i="6" s="1"/>
  <c r="DD235" i="6" s="1"/>
  <c r="DE235" i="6" s="1"/>
  <c r="P112" i="6"/>
  <c r="Q112" i="6" s="1"/>
  <c r="R112" i="6" s="1"/>
  <c r="S112" i="6" s="1"/>
  <c r="T112" i="6" s="1"/>
  <c r="U112" i="6" s="1"/>
  <c r="V112" i="6" s="1"/>
  <c r="W112" i="6" s="1"/>
  <c r="X112" i="6" s="1"/>
  <c r="Y112" i="6" s="1"/>
  <c r="Z112" i="6" s="1"/>
  <c r="AA112" i="6" s="1"/>
  <c r="AB112" i="6" s="1"/>
  <c r="AC112" i="6" s="1"/>
  <c r="AD112" i="6" s="1"/>
  <c r="AE112" i="6" s="1"/>
  <c r="AF112" i="6" s="1"/>
  <c r="AG112" i="6" s="1"/>
  <c r="AH112" i="6" s="1"/>
  <c r="AI112" i="6" s="1"/>
  <c r="AJ112" i="6" s="1"/>
  <c r="AK112" i="6" s="1"/>
  <c r="AL112" i="6" s="1"/>
  <c r="AM112" i="6" s="1"/>
  <c r="AN112" i="6" s="1"/>
  <c r="AO112" i="6" s="1"/>
  <c r="AP112" i="6" s="1"/>
  <c r="AQ112" i="6" s="1"/>
  <c r="AR112" i="6" s="1"/>
  <c r="AS112" i="6" s="1"/>
  <c r="AT112" i="6" s="1"/>
  <c r="AU112" i="6" s="1"/>
  <c r="AV112" i="6" s="1"/>
  <c r="AW112" i="6" s="1"/>
  <c r="AX112" i="6" s="1"/>
  <c r="AY112" i="6" s="1"/>
  <c r="AZ112" i="6" s="1"/>
  <c r="BA112" i="6" s="1"/>
  <c r="BB112" i="6" s="1"/>
  <c r="BC112" i="6" s="1"/>
  <c r="BD112" i="6" s="1"/>
  <c r="BE112" i="6" s="1"/>
  <c r="BF112" i="6" s="1"/>
  <c r="BG112" i="6" s="1"/>
  <c r="BH112" i="6" s="1"/>
  <c r="BI112" i="6" s="1"/>
  <c r="BJ112" i="6" s="1"/>
  <c r="BK112" i="6" s="1"/>
  <c r="BL112" i="6" s="1"/>
  <c r="BM112" i="6" s="1"/>
  <c r="BN112" i="6" s="1"/>
  <c r="BO112" i="6" s="1"/>
  <c r="BP112" i="6" s="1"/>
  <c r="BQ112" i="6" s="1"/>
  <c r="BR112" i="6" s="1"/>
  <c r="BS112" i="6" s="1"/>
  <c r="BT112" i="6" s="1"/>
  <c r="BU112" i="6" s="1"/>
  <c r="BV112" i="6" s="1"/>
  <c r="BW112" i="6" s="1"/>
  <c r="BX112" i="6" s="1"/>
  <c r="BY112" i="6" s="1"/>
  <c r="BZ112" i="6" s="1"/>
  <c r="CA112" i="6" s="1"/>
  <c r="CB112" i="6" s="1"/>
  <c r="CC112" i="6" s="1"/>
  <c r="CD112" i="6" s="1"/>
  <c r="CE112" i="6" s="1"/>
  <c r="CF112" i="6" s="1"/>
  <c r="CG112" i="6" s="1"/>
  <c r="CH112" i="6" s="1"/>
  <c r="CI112" i="6" s="1"/>
  <c r="CJ112" i="6" s="1"/>
  <c r="CK112" i="6" s="1"/>
  <c r="CL112" i="6" s="1"/>
  <c r="CM112" i="6" s="1"/>
  <c r="CN112" i="6" s="1"/>
  <c r="CO112" i="6" s="1"/>
  <c r="CP112" i="6" s="1"/>
  <c r="CQ112" i="6" s="1"/>
  <c r="CR112" i="6" s="1"/>
  <c r="CS112" i="6" s="1"/>
  <c r="CT112" i="6" s="1"/>
  <c r="CU112" i="6" s="1"/>
  <c r="CV112" i="6" s="1"/>
  <c r="CW112" i="6" s="1"/>
  <c r="CX112" i="6" s="1"/>
  <c r="CY112" i="6" s="1"/>
  <c r="CZ112" i="6" s="1"/>
  <c r="DA112" i="6" s="1"/>
  <c r="DB112" i="6" s="1"/>
  <c r="DC112" i="6" s="1"/>
  <c r="DD112" i="6" s="1"/>
  <c r="DE112" i="6" s="1"/>
  <c r="DF25" i="6"/>
  <c r="DF215" i="6"/>
  <c r="DF110" i="6"/>
  <c r="DF39" i="6"/>
  <c r="DF233" i="6"/>
  <c r="DF102" i="6"/>
  <c r="DF223" i="6"/>
  <c r="DF299" i="6"/>
  <c r="DF132" i="6"/>
  <c r="DF199" i="6"/>
  <c r="DF287" i="6"/>
  <c r="DF362" i="6"/>
  <c r="DF122" i="6"/>
  <c r="O277" i="6"/>
  <c r="P277" i="6" s="1"/>
  <c r="Q277" i="6" s="1"/>
  <c r="R277" i="6" s="1"/>
  <c r="S277" i="6" s="1"/>
  <c r="T277" i="6" s="1"/>
  <c r="U277" i="6" s="1"/>
  <c r="V277" i="6" s="1"/>
  <c r="W277" i="6" s="1"/>
  <c r="X277" i="6" s="1"/>
  <c r="Y277" i="6" s="1"/>
  <c r="Z277" i="6" s="1"/>
  <c r="AA277" i="6" s="1"/>
  <c r="AB277" i="6" s="1"/>
  <c r="AC277" i="6" s="1"/>
  <c r="AD277" i="6" s="1"/>
  <c r="AE277" i="6" s="1"/>
  <c r="AF277" i="6" s="1"/>
  <c r="AG277" i="6" s="1"/>
  <c r="AH277" i="6" s="1"/>
  <c r="AI277" i="6" s="1"/>
  <c r="AJ277" i="6" s="1"/>
  <c r="AK277" i="6" s="1"/>
  <c r="AL277" i="6" s="1"/>
  <c r="AM277" i="6" s="1"/>
  <c r="AN277" i="6" s="1"/>
  <c r="AO277" i="6" s="1"/>
  <c r="AP277" i="6" s="1"/>
  <c r="AQ277" i="6" s="1"/>
  <c r="AR277" i="6" s="1"/>
  <c r="AS277" i="6" s="1"/>
  <c r="AT277" i="6" s="1"/>
  <c r="AU277" i="6" s="1"/>
  <c r="AV277" i="6" s="1"/>
  <c r="AW277" i="6" s="1"/>
  <c r="AX277" i="6" s="1"/>
  <c r="AY277" i="6" s="1"/>
  <c r="AZ277" i="6" s="1"/>
  <c r="BA277" i="6" s="1"/>
  <c r="BB277" i="6" s="1"/>
  <c r="BC277" i="6" s="1"/>
  <c r="BD277" i="6" s="1"/>
  <c r="BE277" i="6" s="1"/>
  <c r="BF277" i="6" s="1"/>
  <c r="BG277" i="6" s="1"/>
  <c r="BH277" i="6" s="1"/>
  <c r="BI277" i="6" s="1"/>
  <c r="BJ277" i="6" s="1"/>
  <c r="BK277" i="6" s="1"/>
  <c r="BL277" i="6" s="1"/>
  <c r="BM277" i="6" s="1"/>
  <c r="BN277" i="6" s="1"/>
  <c r="BO277" i="6" s="1"/>
  <c r="BP277" i="6" s="1"/>
  <c r="BQ277" i="6" s="1"/>
  <c r="BR277" i="6" s="1"/>
  <c r="BS277" i="6" s="1"/>
  <c r="BT277" i="6" s="1"/>
  <c r="BU277" i="6" s="1"/>
  <c r="BV277" i="6" s="1"/>
  <c r="BW277" i="6" s="1"/>
  <c r="BX277" i="6" s="1"/>
  <c r="BY277" i="6" s="1"/>
  <c r="BZ277" i="6" s="1"/>
  <c r="CA277" i="6" s="1"/>
  <c r="CB277" i="6" s="1"/>
  <c r="CC277" i="6" s="1"/>
  <c r="CD277" i="6" s="1"/>
  <c r="CE277" i="6" s="1"/>
  <c r="CF277" i="6" s="1"/>
  <c r="CG277" i="6" s="1"/>
  <c r="CH277" i="6" s="1"/>
  <c r="CI277" i="6" s="1"/>
  <c r="CJ277" i="6" s="1"/>
  <c r="CK277" i="6" s="1"/>
  <c r="CL277" i="6" s="1"/>
  <c r="CM277" i="6" s="1"/>
  <c r="CN277" i="6" s="1"/>
  <c r="CO277" i="6" s="1"/>
  <c r="CP277" i="6" s="1"/>
  <c r="CQ277" i="6" s="1"/>
  <c r="CR277" i="6" s="1"/>
  <c r="CS277" i="6" s="1"/>
  <c r="CT277" i="6" s="1"/>
  <c r="CU277" i="6" s="1"/>
  <c r="CV277" i="6" s="1"/>
  <c r="CW277" i="6" s="1"/>
  <c r="CX277" i="6" s="1"/>
  <c r="CY277" i="6" s="1"/>
  <c r="CZ277" i="6" s="1"/>
  <c r="DA277" i="6" s="1"/>
  <c r="DB277" i="6" s="1"/>
  <c r="DC277" i="6" s="1"/>
  <c r="DD277" i="6" s="1"/>
  <c r="DE277" i="6" s="1"/>
  <c r="DF277" i="6" s="1"/>
  <c r="N3" i="5"/>
  <c r="N8" i="5" s="1"/>
  <c r="I14" i="5" s="1"/>
  <c r="M8" i="5"/>
  <c r="H14" i="5" s="1"/>
  <c r="O3" i="5"/>
  <c r="O8" i="5" s="1"/>
  <c r="J14" i="5" s="1"/>
  <c r="X71" i="4"/>
  <c r="Y71" i="4"/>
  <c r="Z71" i="4" s="1"/>
  <c r="AA71" i="4" s="1"/>
  <c r="N3" i="6"/>
  <c r="M57" i="6"/>
  <c r="E16" i="5"/>
  <c r="BU25" i="4"/>
  <c r="T3" i="4"/>
  <c r="S82" i="4"/>
  <c r="N87" i="4" s="1"/>
  <c r="N3" i="4"/>
  <c r="N82" i="4" s="1"/>
  <c r="I87" i="4" s="1"/>
  <c r="M82" i="4"/>
  <c r="H87" i="4" s="1"/>
  <c r="E89" i="4" s="1"/>
  <c r="BR72" i="1"/>
  <c r="S70" i="1"/>
  <c r="T70" i="1" s="1"/>
  <c r="U70" i="1" s="1"/>
  <c r="V70" i="1" s="1"/>
  <c r="W70" i="1" s="1"/>
  <c r="X70" i="1" s="1"/>
  <c r="Y70" i="1" s="1"/>
  <c r="Z70" i="1" s="1"/>
  <c r="AA70" i="1" s="1"/>
  <c r="AB70" i="1" s="1"/>
  <c r="AC70" i="1" s="1"/>
  <c r="AD70" i="1" s="1"/>
  <c r="AE70" i="1" s="1"/>
  <c r="AF70" i="1" s="1"/>
  <c r="AG70" i="1" s="1"/>
  <c r="AH70" i="1" s="1"/>
  <c r="CP68" i="1"/>
  <c r="CP64" i="1"/>
  <c r="CP66" i="1"/>
  <c r="AG62" i="1"/>
  <c r="AH62" i="1" s="1"/>
  <c r="AI62" i="1" s="1"/>
  <c r="AJ62" i="1" s="1"/>
  <c r="AK62" i="1" s="1"/>
  <c r="AL62" i="1" s="1"/>
  <c r="AM62" i="1" s="1"/>
  <c r="AN62" i="1" s="1"/>
  <c r="AO62" i="1" s="1"/>
  <c r="AP62" i="1" s="1"/>
  <c r="AQ62" i="1" s="1"/>
  <c r="AR62" i="1" s="1"/>
  <c r="AS62" i="1" s="1"/>
  <c r="AT62" i="1" s="1"/>
  <c r="AU62" i="1" s="1"/>
  <c r="AV62" i="1" s="1"/>
  <c r="AW62" i="1" s="1"/>
  <c r="AX62" i="1" s="1"/>
  <c r="AY62" i="1" s="1"/>
  <c r="AZ62" i="1" s="1"/>
  <c r="BA62" i="1" s="1"/>
  <c r="BB62" i="1" s="1"/>
  <c r="BC62" i="1" s="1"/>
  <c r="BD62" i="1" s="1"/>
  <c r="BE62" i="1" s="1"/>
  <c r="BF62" i="1" s="1"/>
  <c r="BG62" i="1" s="1"/>
  <c r="BH62" i="1" s="1"/>
  <c r="BI62" i="1" s="1"/>
  <c r="BJ62" i="1" s="1"/>
  <c r="BK62" i="1" s="1"/>
  <c r="BL62" i="1" s="1"/>
  <c r="BM62" i="1" s="1"/>
  <c r="BN62" i="1" s="1"/>
  <c r="BO62" i="1" s="1"/>
  <c r="BP62" i="1" s="1"/>
  <c r="BQ62" i="1" s="1"/>
  <c r="BR62" i="1" s="1"/>
  <c r="BS62" i="1" s="1"/>
  <c r="BT62" i="1" s="1"/>
  <c r="BU62" i="1" s="1"/>
  <c r="BV62" i="1" s="1"/>
  <c r="BW62" i="1" s="1"/>
  <c r="BX62" i="1" s="1"/>
  <c r="BY62" i="1" s="1"/>
  <c r="BZ62" i="1" s="1"/>
  <c r="CA62" i="1" s="1"/>
  <c r="CB62" i="1" s="1"/>
  <c r="CC62" i="1" s="1"/>
  <c r="CD62" i="1" s="1"/>
  <c r="CE62" i="1" s="1"/>
  <c r="CF62" i="1" s="1"/>
  <c r="CG62" i="1" s="1"/>
  <c r="CH62" i="1" s="1"/>
  <c r="CI62" i="1" s="1"/>
  <c r="CJ62" i="1" s="1"/>
  <c r="CK62" i="1" s="1"/>
  <c r="CL62" i="1" s="1"/>
  <c r="CM62" i="1" s="1"/>
  <c r="CN62" i="1" s="1"/>
  <c r="CO62" i="1" s="1"/>
  <c r="J55" i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AO55" i="1" s="1"/>
  <c r="AP55" i="1" s="1"/>
  <c r="AQ55" i="1" s="1"/>
  <c r="AR55" i="1" s="1"/>
  <c r="AS55" i="1" s="1"/>
  <c r="AT55" i="1" s="1"/>
  <c r="AU55" i="1" s="1"/>
  <c r="AV55" i="1" s="1"/>
  <c r="AW55" i="1" s="1"/>
  <c r="AX55" i="1" s="1"/>
  <c r="AY55" i="1" s="1"/>
  <c r="AZ55" i="1" s="1"/>
  <c r="BA55" i="1" s="1"/>
  <c r="BB55" i="1" s="1"/>
  <c r="BC55" i="1" s="1"/>
  <c r="BD55" i="1" s="1"/>
  <c r="BE55" i="1" s="1"/>
  <c r="BF55" i="1" s="1"/>
  <c r="BG55" i="1" s="1"/>
  <c r="BH55" i="1" s="1"/>
  <c r="BI55" i="1" s="1"/>
  <c r="BJ55" i="1" s="1"/>
  <c r="BK55" i="1" s="1"/>
  <c r="BL55" i="1" s="1"/>
  <c r="BM55" i="1" s="1"/>
  <c r="BN55" i="1" s="1"/>
  <c r="BO55" i="1" s="1"/>
  <c r="BP55" i="1" s="1"/>
  <c r="BQ55" i="1" s="1"/>
  <c r="BR55" i="1" s="1"/>
  <c r="BS55" i="1" s="1"/>
  <c r="BT55" i="1" s="1"/>
  <c r="BU55" i="1" s="1"/>
  <c r="BV55" i="1" s="1"/>
  <c r="BW55" i="1" s="1"/>
  <c r="BX55" i="1" s="1"/>
  <c r="BY55" i="1" s="1"/>
  <c r="BZ55" i="1" s="1"/>
  <c r="CA55" i="1" s="1"/>
  <c r="CB55" i="1" s="1"/>
  <c r="CC55" i="1" s="1"/>
  <c r="CD55" i="1" s="1"/>
  <c r="CE55" i="1" s="1"/>
  <c r="CF55" i="1" s="1"/>
  <c r="CG55" i="1" s="1"/>
  <c r="CH55" i="1" s="1"/>
  <c r="CI55" i="1" s="1"/>
  <c r="CJ55" i="1" s="1"/>
  <c r="CK55" i="1" s="1"/>
  <c r="CL55" i="1" s="1"/>
  <c r="CM55" i="1" s="1"/>
  <c r="CN55" i="1" s="1"/>
  <c r="CO55" i="1" s="1"/>
  <c r="H68" i="1"/>
  <c r="H64" i="1"/>
  <c r="DB397" i="6" l="1"/>
  <c r="EN88" i="4"/>
  <c r="CM403" i="6"/>
  <c r="M397" i="6"/>
  <c r="H402" i="6" s="1"/>
  <c r="E404" i="6" s="1"/>
  <c r="DF112" i="6"/>
  <c r="DF235" i="6"/>
  <c r="DF291" i="6"/>
  <c r="DF106" i="6"/>
  <c r="O3" i="6"/>
  <c r="P3" i="6" s="1"/>
  <c r="Q3" i="6" s="1"/>
  <c r="R3" i="6" s="1"/>
  <c r="E13" i="5"/>
  <c r="P3" i="5"/>
  <c r="P8" i="5" s="1"/>
  <c r="K14" i="5" s="1"/>
  <c r="AB71" i="4"/>
  <c r="AC71" i="4"/>
  <c r="AD71" i="4" s="1"/>
  <c r="AE71" i="4" s="1"/>
  <c r="F16" i="5"/>
  <c r="F13" i="5" s="1"/>
  <c r="N57" i="6"/>
  <c r="F89" i="4"/>
  <c r="E86" i="4"/>
  <c r="BV25" i="4"/>
  <c r="O3" i="4"/>
  <c r="U3" i="4"/>
  <c r="T82" i="4"/>
  <c r="O87" i="4" s="1"/>
  <c r="BS72" i="1"/>
  <c r="CP62" i="1"/>
  <c r="GZ62" i="1" s="1"/>
  <c r="AI70" i="1"/>
  <c r="AJ70" i="1" s="1"/>
  <c r="AK70" i="1" s="1"/>
  <c r="AL70" i="1" s="1"/>
  <c r="AM70" i="1" s="1"/>
  <c r="AN70" i="1" s="1"/>
  <c r="AO70" i="1" s="1"/>
  <c r="AP70" i="1" s="1"/>
  <c r="AQ70" i="1" s="1"/>
  <c r="AR70" i="1" s="1"/>
  <c r="AS70" i="1" s="1"/>
  <c r="AT70" i="1" s="1"/>
  <c r="AU70" i="1" s="1"/>
  <c r="AV70" i="1" s="1"/>
  <c r="AW70" i="1" s="1"/>
  <c r="AX70" i="1" s="1"/>
  <c r="AY70" i="1" s="1"/>
  <c r="AZ70" i="1" s="1"/>
  <c r="BA70" i="1" s="1"/>
  <c r="BB70" i="1" s="1"/>
  <c r="BC70" i="1" s="1"/>
  <c r="BD70" i="1" s="1"/>
  <c r="BE70" i="1" s="1"/>
  <c r="BF70" i="1" s="1"/>
  <c r="BG70" i="1" s="1"/>
  <c r="BH70" i="1" s="1"/>
  <c r="BI70" i="1" s="1"/>
  <c r="BJ70" i="1" s="1"/>
  <c r="BK70" i="1" s="1"/>
  <c r="BL70" i="1" s="1"/>
  <c r="BM70" i="1" s="1"/>
  <c r="BN70" i="1" s="1"/>
  <c r="BO70" i="1" s="1"/>
  <c r="BP70" i="1" s="1"/>
  <c r="BQ70" i="1" s="1"/>
  <c r="BR70" i="1" s="1"/>
  <c r="BS70" i="1" s="1"/>
  <c r="BT70" i="1" s="1"/>
  <c r="BU70" i="1" s="1"/>
  <c r="BV70" i="1" s="1"/>
  <c r="BW70" i="1" s="1"/>
  <c r="BX70" i="1" s="1"/>
  <c r="BY70" i="1" s="1"/>
  <c r="BZ70" i="1" s="1"/>
  <c r="CA70" i="1" s="1"/>
  <c r="CB70" i="1" s="1"/>
  <c r="CC70" i="1" s="1"/>
  <c r="CD70" i="1" s="1"/>
  <c r="CE70" i="1" s="1"/>
  <c r="CF70" i="1" s="1"/>
  <c r="CG70" i="1" s="1"/>
  <c r="CH70" i="1" s="1"/>
  <c r="CI70" i="1" s="1"/>
  <c r="CJ70" i="1" s="1"/>
  <c r="CK70" i="1" s="1"/>
  <c r="CL70" i="1" s="1"/>
  <c r="CM70" i="1" s="1"/>
  <c r="CN70" i="1" s="1"/>
  <c r="CO70" i="1" s="1"/>
  <c r="GZ71" i="1"/>
  <c r="HA70" i="1"/>
  <c r="GZ69" i="1"/>
  <c r="HA68" i="1"/>
  <c r="GZ68" i="1"/>
  <c r="GZ67" i="1"/>
  <c r="HA66" i="1"/>
  <c r="GZ66" i="1"/>
  <c r="GZ65" i="1"/>
  <c r="HA64" i="1"/>
  <c r="GZ64" i="1"/>
  <c r="GZ63" i="1"/>
  <c r="DF5" i="6" l="1"/>
  <c r="F404" i="6"/>
  <c r="EO88" i="4"/>
  <c r="CN403" i="6"/>
  <c r="E401" i="6"/>
  <c r="E407" i="6" s="1"/>
  <c r="N397" i="6"/>
  <c r="I402" i="6" s="1"/>
  <c r="Q3" i="5"/>
  <c r="Q8" i="5" s="1"/>
  <c r="L14" i="5" s="1"/>
  <c r="AG71" i="4"/>
  <c r="AH71" i="4" s="1"/>
  <c r="AI71" i="4" s="1"/>
  <c r="AF71" i="4"/>
  <c r="E19" i="5"/>
  <c r="E18" i="5"/>
  <c r="E20" i="5"/>
  <c r="G16" i="5"/>
  <c r="E92" i="4"/>
  <c r="E93" i="4"/>
  <c r="G404" i="6"/>
  <c r="F401" i="6"/>
  <c r="O57" i="6"/>
  <c r="O397" i="6" s="1"/>
  <c r="J402" i="6" s="1"/>
  <c r="S3" i="6"/>
  <c r="E91" i="4"/>
  <c r="G89" i="4"/>
  <c r="F86" i="4"/>
  <c r="BW25" i="4"/>
  <c r="V3" i="4"/>
  <c r="U82" i="4"/>
  <c r="P87" i="4" s="1"/>
  <c r="O82" i="4"/>
  <c r="J87" i="4" s="1"/>
  <c r="BT72" i="1"/>
  <c r="CP70" i="1"/>
  <c r="GZ70" i="1" s="1"/>
  <c r="G18" i="3"/>
  <c r="G17" i="3"/>
  <c r="G16" i="3"/>
  <c r="G15" i="3"/>
  <c r="G14" i="3"/>
  <c r="G13" i="3"/>
  <c r="G12" i="3"/>
  <c r="G11" i="3"/>
  <c r="G9" i="3"/>
  <c r="G10" i="3"/>
  <c r="G8" i="3"/>
  <c r="G7" i="3"/>
  <c r="G6" i="3"/>
  <c r="G5" i="3"/>
  <c r="G4" i="3"/>
  <c r="G3" i="3"/>
  <c r="C35" i="3"/>
  <c r="G7" i="1"/>
  <c r="G9" i="1"/>
  <c r="G11" i="1"/>
  <c r="K57" i="1"/>
  <c r="G5" i="1"/>
  <c r="G15" i="1"/>
  <c r="G17" i="1"/>
  <c r="G19" i="1"/>
  <c r="G21" i="1"/>
  <c r="G23" i="1"/>
  <c r="G25" i="1"/>
  <c r="G27" i="1"/>
  <c r="G29" i="1"/>
  <c r="G31" i="1"/>
  <c r="G33" i="1"/>
  <c r="G37" i="1"/>
  <c r="G39" i="1"/>
  <c r="G41" i="1"/>
  <c r="G43" i="1"/>
  <c r="G45" i="1"/>
  <c r="G47" i="1"/>
  <c r="G49" i="1"/>
  <c r="G51" i="1"/>
  <c r="G53" i="1"/>
  <c r="J60" i="1"/>
  <c r="CP60" i="1" s="1"/>
  <c r="J17" i="1"/>
  <c r="K17" i="1" s="1"/>
  <c r="J13" i="1"/>
  <c r="K13" i="1" s="1"/>
  <c r="L13" i="1" s="1"/>
  <c r="M13" i="1" s="1"/>
  <c r="N13" i="1" s="1"/>
  <c r="O13" i="1" s="1"/>
  <c r="P13" i="1" s="1"/>
  <c r="Q13" i="1" s="1"/>
  <c r="R13" i="1" s="1"/>
  <c r="S13" i="1" s="1"/>
  <c r="T13" i="1" s="1"/>
  <c r="U13" i="1" s="1"/>
  <c r="V13" i="1" s="1"/>
  <c r="W13" i="1" s="1"/>
  <c r="X13" i="1" s="1"/>
  <c r="Y13" i="1" s="1"/>
  <c r="Z13" i="1" s="1"/>
  <c r="AA13" i="1" s="1"/>
  <c r="AB13" i="1" s="1"/>
  <c r="AC13" i="1" s="1"/>
  <c r="AD13" i="1" s="1"/>
  <c r="AE13" i="1" s="1"/>
  <c r="AF13" i="1" s="1"/>
  <c r="AG13" i="1" s="1"/>
  <c r="AH13" i="1" s="1"/>
  <c r="AI13" i="1" s="1"/>
  <c r="AJ13" i="1" s="1"/>
  <c r="AK13" i="1" s="1"/>
  <c r="AL13" i="1" s="1"/>
  <c r="AM13" i="1" s="1"/>
  <c r="AN13" i="1" s="1"/>
  <c r="AO13" i="1" s="1"/>
  <c r="AP13" i="1" s="1"/>
  <c r="AQ13" i="1" s="1"/>
  <c r="AR13" i="1" s="1"/>
  <c r="AS13" i="1" s="1"/>
  <c r="AT13" i="1" s="1"/>
  <c r="AU13" i="1" s="1"/>
  <c r="AV13" i="1" s="1"/>
  <c r="AW13" i="1" s="1"/>
  <c r="AX13" i="1" s="1"/>
  <c r="AY13" i="1" s="1"/>
  <c r="AZ13" i="1" s="1"/>
  <c r="BA13" i="1" s="1"/>
  <c r="BB13" i="1" s="1"/>
  <c r="BC13" i="1" s="1"/>
  <c r="BD13" i="1" s="1"/>
  <c r="BE13" i="1" s="1"/>
  <c r="BF13" i="1" s="1"/>
  <c r="BG13" i="1" s="1"/>
  <c r="BH13" i="1" s="1"/>
  <c r="BI13" i="1" s="1"/>
  <c r="BJ13" i="1" s="1"/>
  <c r="BK13" i="1" s="1"/>
  <c r="BL13" i="1" s="1"/>
  <c r="BM13" i="1" s="1"/>
  <c r="BN13" i="1" s="1"/>
  <c r="BO13" i="1" s="1"/>
  <c r="BP13" i="1" s="1"/>
  <c r="BQ13" i="1" s="1"/>
  <c r="BR13" i="1" s="1"/>
  <c r="BS13" i="1" s="1"/>
  <c r="BT13" i="1" s="1"/>
  <c r="BU13" i="1" s="1"/>
  <c r="BV13" i="1" s="1"/>
  <c r="BW13" i="1" s="1"/>
  <c r="BX13" i="1" s="1"/>
  <c r="BY13" i="1" s="1"/>
  <c r="BZ13" i="1" s="1"/>
  <c r="CA13" i="1" s="1"/>
  <c r="CB13" i="1" s="1"/>
  <c r="CC13" i="1" s="1"/>
  <c r="CD13" i="1" s="1"/>
  <c r="CE13" i="1" s="1"/>
  <c r="CF13" i="1" s="1"/>
  <c r="CG13" i="1" s="1"/>
  <c r="CH13" i="1" s="1"/>
  <c r="CI13" i="1" s="1"/>
  <c r="CJ13" i="1" s="1"/>
  <c r="CK13" i="1" s="1"/>
  <c r="CL13" i="1" s="1"/>
  <c r="CM13" i="1" s="1"/>
  <c r="CN13" i="1" s="1"/>
  <c r="CO13" i="1" s="1"/>
  <c r="J11" i="1"/>
  <c r="K11" i="1" s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s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BZ11" i="1" s="1"/>
  <c r="CA11" i="1" s="1"/>
  <c r="CB11" i="1" s="1"/>
  <c r="CC11" i="1" s="1"/>
  <c r="CD11" i="1" s="1"/>
  <c r="CE11" i="1" s="1"/>
  <c r="CF11" i="1" s="1"/>
  <c r="CG11" i="1" s="1"/>
  <c r="CH11" i="1" s="1"/>
  <c r="CI11" i="1" s="1"/>
  <c r="CJ11" i="1" s="1"/>
  <c r="CK11" i="1" s="1"/>
  <c r="CL11" i="1" s="1"/>
  <c r="CM11" i="1" s="1"/>
  <c r="CN11" i="1" s="1"/>
  <c r="CO11" i="1" s="1"/>
  <c r="J15" i="1"/>
  <c r="K15" i="1" s="1"/>
  <c r="L15" i="1" s="1"/>
  <c r="M15" i="1" s="1"/>
  <c r="N15" i="1" s="1"/>
  <c r="O15" i="1" s="1"/>
  <c r="P15" i="1" s="1"/>
  <c r="Q15" i="1" s="1"/>
  <c r="R15" i="1" s="1"/>
  <c r="S15" i="1" s="1"/>
  <c r="T15" i="1" s="1"/>
  <c r="U15" i="1" s="1"/>
  <c r="V15" i="1" s="1"/>
  <c r="W15" i="1" s="1"/>
  <c r="X15" i="1" s="1"/>
  <c r="Y15" i="1" s="1"/>
  <c r="Z15" i="1" s="1"/>
  <c r="AA15" i="1" s="1"/>
  <c r="AB15" i="1" s="1"/>
  <c r="AC15" i="1" s="1"/>
  <c r="AD15" i="1" s="1"/>
  <c r="AE15" i="1" s="1"/>
  <c r="AF15" i="1" s="1"/>
  <c r="AG15" i="1" s="1"/>
  <c r="AH15" i="1" s="1"/>
  <c r="AI15" i="1" s="1"/>
  <c r="AJ15" i="1" s="1"/>
  <c r="AK15" i="1" s="1"/>
  <c r="AL15" i="1" s="1"/>
  <c r="AM15" i="1" s="1"/>
  <c r="AN15" i="1" s="1"/>
  <c r="AO15" i="1" s="1"/>
  <c r="AP15" i="1" s="1"/>
  <c r="AQ15" i="1" s="1"/>
  <c r="AR15" i="1" s="1"/>
  <c r="AS15" i="1" s="1"/>
  <c r="AT15" i="1" s="1"/>
  <c r="AU15" i="1" s="1"/>
  <c r="AV15" i="1" s="1"/>
  <c r="AW15" i="1" s="1"/>
  <c r="AX15" i="1" s="1"/>
  <c r="AY15" i="1" s="1"/>
  <c r="AZ15" i="1" s="1"/>
  <c r="BA15" i="1" s="1"/>
  <c r="BB15" i="1" s="1"/>
  <c r="BC15" i="1" s="1"/>
  <c r="BD15" i="1" s="1"/>
  <c r="BE15" i="1" s="1"/>
  <c r="BF15" i="1" s="1"/>
  <c r="BG15" i="1" s="1"/>
  <c r="BH15" i="1" s="1"/>
  <c r="BI15" i="1" s="1"/>
  <c r="BJ15" i="1" s="1"/>
  <c r="BK15" i="1" s="1"/>
  <c r="BL15" i="1" s="1"/>
  <c r="BM15" i="1" s="1"/>
  <c r="BN15" i="1" s="1"/>
  <c r="BO15" i="1" s="1"/>
  <c r="BP15" i="1" s="1"/>
  <c r="BQ15" i="1" s="1"/>
  <c r="BR15" i="1" s="1"/>
  <c r="BS15" i="1" s="1"/>
  <c r="BT15" i="1" s="1"/>
  <c r="BU15" i="1" s="1"/>
  <c r="BV15" i="1" s="1"/>
  <c r="BW15" i="1" s="1"/>
  <c r="BX15" i="1" s="1"/>
  <c r="BY15" i="1" s="1"/>
  <c r="BZ15" i="1" s="1"/>
  <c r="CA15" i="1" s="1"/>
  <c r="CB15" i="1" s="1"/>
  <c r="CC15" i="1" s="1"/>
  <c r="CD15" i="1" s="1"/>
  <c r="CE15" i="1" s="1"/>
  <c r="CF15" i="1" s="1"/>
  <c r="CG15" i="1" s="1"/>
  <c r="CH15" i="1" s="1"/>
  <c r="CI15" i="1" s="1"/>
  <c r="CJ15" i="1" s="1"/>
  <c r="CK15" i="1" s="1"/>
  <c r="CL15" i="1" s="1"/>
  <c r="CM15" i="1" s="1"/>
  <c r="CN15" i="1" s="1"/>
  <c r="CO15" i="1" s="1"/>
  <c r="J53" i="1"/>
  <c r="K53" i="1" s="1"/>
  <c r="L53" i="1" s="1"/>
  <c r="M53" i="1" s="1"/>
  <c r="N53" i="1" s="1"/>
  <c r="O53" i="1" s="1"/>
  <c r="P53" i="1" s="1"/>
  <c r="Q53" i="1" s="1"/>
  <c r="R53" i="1" s="1"/>
  <c r="S53" i="1" s="1"/>
  <c r="T53" i="1" s="1"/>
  <c r="U53" i="1" s="1"/>
  <c r="V53" i="1" s="1"/>
  <c r="W53" i="1" s="1"/>
  <c r="X53" i="1" s="1"/>
  <c r="Y53" i="1" s="1"/>
  <c r="Z53" i="1" s="1"/>
  <c r="AA53" i="1" s="1"/>
  <c r="AB53" i="1" s="1"/>
  <c r="AC53" i="1" s="1"/>
  <c r="AD53" i="1" s="1"/>
  <c r="AE53" i="1" s="1"/>
  <c r="AF53" i="1" s="1"/>
  <c r="AG53" i="1" s="1"/>
  <c r="AH53" i="1" s="1"/>
  <c r="AI53" i="1" s="1"/>
  <c r="AJ53" i="1" s="1"/>
  <c r="AK53" i="1" s="1"/>
  <c r="AL53" i="1" s="1"/>
  <c r="AM53" i="1" s="1"/>
  <c r="AN53" i="1" s="1"/>
  <c r="AO53" i="1" s="1"/>
  <c r="AP53" i="1" s="1"/>
  <c r="AQ53" i="1" s="1"/>
  <c r="AR53" i="1" s="1"/>
  <c r="AS53" i="1" s="1"/>
  <c r="AT53" i="1" s="1"/>
  <c r="AU53" i="1" s="1"/>
  <c r="AV53" i="1" s="1"/>
  <c r="AW53" i="1" s="1"/>
  <c r="AX53" i="1" s="1"/>
  <c r="AY53" i="1" s="1"/>
  <c r="AZ53" i="1" s="1"/>
  <c r="BA53" i="1" s="1"/>
  <c r="BB53" i="1" s="1"/>
  <c r="BC53" i="1" s="1"/>
  <c r="BD53" i="1" s="1"/>
  <c r="BE53" i="1" s="1"/>
  <c r="BF53" i="1" s="1"/>
  <c r="BG53" i="1" s="1"/>
  <c r="BH53" i="1" s="1"/>
  <c r="BI53" i="1" s="1"/>
  <c r="BJ53" i="1" s="1"/>
  <c r="BK53" i="1" s="1"/>
  <c r="BL53" i="1" s="1"/>
  <c r="BM53" i="1" s="1"/>
  <c r="BN53" i="1" s="1"/>
  <c r="BO53" i="1" s="1"/>
  <c r="BP53" i="1" s="1"/>
  <c r="BQ53" i="1" s="1"/>
  <c r="BR53" i="1" s="1"/>
  <c r="BS53" i="1" s="1"/>
  <c r="BT53" i="1" s="1"/>
  <c r="BU53" i="1" s="1"/>
  <c r="BV53" i="1" s="1"/>
  <c r="BW53" i="1" s="1"/>
  <c r="BX53" i="1" s="1"/>
  <c r="BY53" i="1" s="1"/>
  <c r="BZ53" i="1" s="1"/>
  <c r="CA53" i="1" s="1"/>
  <c r="CB53" i="1" s="1"/>
  <c r="CC53" i="1" s="1"/>
  <c r="CD53" i="1" s="1"/>
  <c r="CE53" i="1" s="1"/>
  <c r="CF53" i="1" s="1"/>
  <c r="CG53" i="1" s="1"/>
  <c r="CH53" i="1" s="1"/>
  <c r="CI53" i="1" s="1"/>
  <c r="CJ53" i="1" s="1"/>
  <c r="CK53" i="1" s="1"/>
  <c r="CL53" i="1" s="1"/>
  <c r="CM53" i="1" s="1"/>
  <c r="CN53" i="1" s="1"/>
  <c r="CO53" i="1" s="1"/>
  <c r="J49" i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W49" i="1" s="1"/>
  <c r="X49" i="1" s="1"/>
  <c r="Y49" i="1" s="1"/>
  <c r="Z49" i="1" s="1"/>
  <c r="AA49" i="1" s="1"/>
  <c r="AB49" i="1" s="1"/>
  <c r="AC49" i="1" s="1"/>
  <c r="AD49" i="1" s="1"/>
  <c r="AE49" i="1" s="1"/>
  <c r="AF49" i="1" s="1"/>
  <c r="AG49" i="1" s="1"/>
  <c r="AH49" i="1" s="1"/>
  <c r="AI49" i="1" s="1"/>
  <c r="AJ49" i="1" s="1"/>
  <c r="AK49" i="1" s="1"/>
  <c r="AL49" i="1" s="1"/>
  <c r="AM49" i="1" s="1"/>
  <c r="AN49" i="1" s="1"/>
  <c r="AO49" i="1" s="1"/>
  <c r="AP49" i="1" s="1"/>
  <c r="AQ49" i="1" s="1"/>
  <c r="AR49" i="1" s="1"/>
  <c r="AS49" i="1" s="1"/>
  <c r="AT49" i="1" s="1"/>
  <c r="AU49" i="1" s="1"/>
  <c r="AV49" i="1" s="1"/>
  <c r="AW49" i="1" s="1"/>
  <c r="AX49" i="1" s="1"/>
  <c r="AY49" i="1" s="1"/>
  <c r="AZ49" i="1" s="1"/>
  <c r="BA49" i="1" s="1"/>
  <c r="BB49" i="1" s="1"/>
  <c r="BC49" i="1" s="1"/>
  <c r="BD49" i="1" s="1"/>
  <c r="BE49" i="1" s="1"/>
  <c r="BF49" i="1" s="1"/>
  <c r="BG49" i="1" s="1"/>
  <c r="BH49" i="1" s="1"/>
  <c r="BI49" i="1" s="1"/>
  <c r="BJ49" i="1" s="1"/>
  <c r="BK49" i="1" s="1"/>
  <c r="BL49" i="1" s="1"/>
  <c r="BM49" i="1" s="1"/>
  <c r="BN49" i="1" s="1"/>
  <c r="BO49" i="1" s="1"/>
  <c r="BP49" i="1" s="1"/>
  <c r="BQ49" i="1" s="1"/>
  <c r="BR49" i="1" s="1"/>
  <c r="BS49" i="1" s="1"/>
  <c r="BT49" i="1" s="1"/>
  <c r="BU49" i="1" s="1"/>
  <c r="BV49" i="1" s="1"/>
  <c r="BW49" i="1" s="1"/>
  <c r="BX49" i="1" s="1"/>
  <c r="BY49" i="1" s="1"/>
  <c r="BZ49" i="1" s="1"/>
  <c r="CA49" i="1" s="1"/>
  <c r="CB49" i="1" s="1"/>
  <c r="CC49" i="1" s="1"/>
  <c r="CD49" i="1" s="1"/>
  <c r="CE49" i="1" s="1"/>
  <c r="CF49" i="1" s="1"/>
  <c r="CG49" i="1" s="1"/>
  <c r="CH49" i="1" s="1"/>
  <c r="CI49" i="1" s="1"/>
  <c r="CJ49" i="1" s="1"/>
  <c r="CK49" i="1" s="1"/>
  <c r="CL49" i="1" s="1"/>
  <c r="CM49" i="1" s="1"/>
  <c r="CN49" i="1" s="1"/>
  <c r="CO49" i="1" s="1"/>
  <c r="J47" i="1"/>
  <c r="K47" i="1" s="1"/>
  <c r="L47" i="1" s="1"/>
  <c r="M47" i="1" s="1"/>
  <c r="N47" i="1" s="1"/>
  <c r="O47" i="1" s="1"/>
  <c r="P47" i="1" s="1"/>
  <c r="Q47" i="1" s="1"/>
  <c r="R47" i="1" s="1"/>
  <c r="S47" i="1" s="1"/>
  <c r="T47" i="1" s="1"/>
  <c r="U47" i="1" s="1"/>
  <c r="V47" i="1" s="1"/>
  <c r="W47" i="1" s="1"/>
  <c r="X47" i="1" s="1"/>
  <c r="Y47" i="1" s="1"/>
  <c r="Z47" i="1" s="1"/>
  <c r="AA47" i="1" s="1"/>
  <c r="AB47" i="1" s="1"/>
  <c r="AC47" i="1" s="1"/>
  <c r="AD47" i="1" s="1"/>
  <c r="AE47" i="1" s="1"/>
  <c r="AF47" i="1" s="1"/>
  <c r="AG47" i="1" s="1"/>
  <c r="AH47" i="1" s="1"/>
  <c r="AI47" i="1" s="1"/>
  <c r="AJ47" i="1" s="1"/>
  <c r="AK47" i="1" s="1"/>
  <c r="AL47" i="1" s="1"/>
  <c r="AM47" i="1" s="1"/>
  <c r="AN47" i="1" s="1"/>
  <c r="AO47" i="1" s="1"/>
  <c r="AP47" i="1" s="1"/>
  <c r="AQ47" i="1" s="1"/>
  <c r="AR47" i="1" s="1"/>
  <c r="AS47" i="1" s="1"/>
  <c r="AT47" i="1" s="1"/>
  <c r="AU47" i="1" s="1"/>
  <c r="AV47" i="1" s="1"/>
  <c r="AW47" i="1" s="1"/>
  <c r="AX47" i="1" s="1"/>
  <c r="AY47" i="1" s="1"/>
  <c r="AZ47" i="1" s="1"/>
  <c r="BA47" i="1" s="1"/>
  <c r="BB47" i="1" s="1"/>
  <c r="BC47" i="1" s="1"/>
  <c r="BD47" i="1" s="1"/>
  <c r="BE47" i="1" s="1"/>
  <c r="BF47" i="1" s="1"/>
  <c r="BG47" i="1" s="1"/>
  <c r="BH47" i="1" s="1"/>
  <c r="BI47" i="1" s="1"/>
  <c r="BJ47" i="1" s="1"/>
  <c r="BK47" i="1" s="1"/>
  <c r="BL47" i="1" s="1"/>
  <c r="BM47" i="1" s="1"/>
  <c r="BN47" i="1" s="1"/>
  <c r="BO47" i="1" s="1"/>
  <c r="BP47" i="1" s="1"/>
  <c r="BQ47" i="1" s="1"/>
  <c r="BR47" i="1" s="1"/>
  <c r="BS47" i="1" s="1"/>
  <c r="BT47" i="1" s="1"/>
  <c r="BU47" i="1" s="1"/>
  <c r="BV47" i="1" s="1"/>
  <c r="BW47" i="1" s="1"/>
  <c r="BX47" i="1" s="1"/>
  <c r="BY47" i="1" s="1"/>
  <c r="BZ47" i="1" s="1"/>
  <c r="CA47" i="1" s="1"/>
  <c r="CB47" i="1" s="1"/>
  <c r="CC47" i="1" s="1"/>
  <c r="CD47" i="1" s="1"/>
  <c r="CE47" i="1" s="1"/>
  <c r="CF47" i="1" s="1"/>
  <c r="CG47" i="1" s="1"/>
  <c r="CH47" i="1" s="1"/>
  <c r="CI47" i="1" s="1"/>
  <c r="CJ47" i="1" s="1"/>
  <c r="CK47" i="1" s="1"/>
  <c r="CL47" i="1" s="1"/>
  <c r="CM47" i="1" s="1"/>
  <c r="CN47" i="1" s="1"/>
  <c r="CO47" i="1" s="1"/>
  <c r="J45" i="1"/>
  <c r="K45" i="1" s="1"/>
  <c r="L45" i="1" s="1"/>
  <c r="J43" i="1"/>
  <c r="K43" i="1" s="1"/>
  <c r="L43" i="1" s="1"/>
  <c r="M43" i="1" s="1"/>
  <c r="N43" i="1" s="1"/>
  <c r="O43" i="1" s="1"/>
  <c r="P43" i="1" s="1"/>
  <c r="Q43" i="1" s="1"/>
  <c r="R43" i="1" s="1"/>
  <c r="S43" i="1" s="1"/>
  <c r="T43" i="1" s="1"/>
  <c r="U43" i="1" s="1"/>
  <c r="V43" i="1" s="1"/>
  <c r="W43" i="1" s="1"/>
  <c r="X43" i="1" s="1"/>
  <c r="Y43" i="1" s="1"/>
  <c r="Z43" i="1" s="1"/>
  <c r="AA43" i="1" s="1"/>
  <c r="AB43" i="1" s="1"/>
  <c r="AC43" i="1" s="1"/>
  <c r="AD43" i="1" s="1"/>
  <c r="AE43" i="1" s="1"/>
  <c r="AF43" i="1" s="1"/>
  <c r="AG43" i="1" s="1"/>
  <c r="AH43" i="1" s="1"/>
  <c r="AI43" i="1" s="1"/>
  <c r="AJ43" i="1" s="1"/>
  <c r="AK43" i="1" s="1"/>
  <c r="AL43" i="1" s="1"/>
  <c r="AM43" i="1" s="1"/>
  <c r="AN43" i="1" s="1"/>
  <c r="AO43" i="1" s="1"/>
  <c r="AP43" i="1" s="1"/>
  <c r="AQ43" i="1" s="1"/>
  <c r="AR43" i="1" s="1"/>
  <c r="AS43" i="1" s="1"/>
  <c r="AT43" i="1" s="1"/>
  <c r="AU43" i="1" s="1"/>
  <c r="AV43" i="1" s="1"/>
  <c r="AW43" i="1" s="1"/>
  <c r="AX43" i="1" s="1"/>
  <c r="AY43" i="1" s="1"/>
  <c r="AZ43" i="1" s="1"/>
  <c r="BA43" i="1" s="1"/>
  <c r="BB43" i="1" s="1"/>
  <c r="BC43" i="1" s="1"/>
  <c r="BD43" i="1" s="1"/>
  <c r="BE43" i="1" s="1"/>
  <c r="BF43" i="1" s="1"/>
  <c r="BG43" i="1" s="1"/>
  <c r="BH43" i="1" s="1"/>
  <c r="BI43" i="1" s="1"/>
  <c r="BJ43" i="1" s="1"/>
  <c r="BK43" i="1" s="1"/>
  <c r="BL43" i="1" s="1"/>
  <c r="BM43" i="1" s="1"/>
  <c r="BN43" i="1" s="1"/>
  <c r="BO43" i="1" s="1"/>
  <c r="BP43" i="1" s="1"/>
  <c r="BQ43" i="1" s="1"/>
  <c r="BR43" i="1" s="1"/>
  <c r="BS43" i="1" s="1"/>
  <c r="BT43" i="1" s="1"/>
  <c r="BU43" i="1" s="1"/>
  <c r="BV43" i="1" s="1"/>
  <c r="BW43" i="1" s="1"/>
  <c r="BX43" i="1" s="1"/>
  <c r="BY43" i="1" s="1"/>
  <c r="BZ43" i="1" s="1"/>
  <c r="CA43" i="1" s="1"/>
  <c r="CB43" i="1" s="1"/>
  <c r="CC43" i="1" s="1"/>
  <c r="CD43" i="1" s="1"/>
  <c r="CE43" i="1" s="1"/>
  <c r="CF43" i="1" s="1"/>
  <c r="CG43" i="1" s="1"/>
  <c r="CH43" i="1" s="1"/>
  <c r="CI43" i="1" s="1"/>
  <c r="CJ43" i="1" s="1"/>
  <c r="CK43" i="1" s="1"/>
  <c r="CL43" i="1" s="1"/>
  <c r="CM43" i="1" s="1"/>
  <c r="CN43" i="1" s="1"/>
  <c r="CO43" i="1" s="1"/>
  <c r="J41" i="1"/>
  <c r="K41" i="1" s="1"/>
  <c r="L41" i="1" s="1"/>
  <c r="J39" i="1"/>
  <c r="K39" i="1" s="1"/>
  <c r="J37" i="1"/>
  <c r="K37" i="1" s="1"/>
  <c r="J35" i="1"/>
  <c r="K35" i="1" s="1"/>
  <c r="J33" i="1"/>
  <c r="K33" i="1" s="1"/>
  <c r="L33" i="1" s="1"/>
  <c r="J31" i="1"/>
  <c r="K31" i="1" s="1"/>
  <c r="J29" i="1"/>
  <c r="K29" i="1" s="1"/>
  <c r="J27" i="1"/>
  <c r="K27" i="1" s="1"/>
  <c r="K25" i="1"/>
  <c r="J23" i="1"/>
  <c r="K23" i="1" s="1"/>
  <c r="J21" i="1"/>
  <c r="K21" i="1" s="1"/>
  <c r="J19" i="1"/>
  <c r="K19" i="1" s="1"/>
  <c r="J5" i="1"/>
  <c r="J9" i="1"/>
  <c r="K9" i="1" s="1"/>
  <c r="J7" i="1"/>
  <c r="K7" i="1" s="1"/>
  <c r="L7" i="1" s="1"/>
  <c r="M7" i="1" s="1"/>
  <c r="N7" i="1" s="1"/>
  <c r="O7" i="1" s="1"/>
  <c r="P7" i="1" s="1"/>
  <c r="Q7" i="1" s="1"/>
  <c r="R7" i="1" s="1"/>
  <c r="S7" i="1" s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CB7" i="1" s="1"/>
  <c r="CC7" i="1" s="1"/>
  <c r="CD7" i="1" s="1"/>
  <c r="CE7" i="1" s="1"/>
  <c r="CF7" i="1" s="1"/>
  <c r="CG7" i="1" s="1"/>
  <c r="CH7" i="1" s="1"/>
  <c r="CI7" i="1" s="1"/>
  <c r="CJ7" i="1" s="1"/>
  <c r="CK7" i="1" s="1"/>
  <c r="CP56" i="1"/>
  <c r="CP55" i="1"/>
  <c r="CP54" i="1"/>
  <c r="CP52" i="1"/>
  <c r="CP51" i="1"/>
  <c r="CP50" i="1"/>
  <c r="CP48" i="1"/>
  <c r="CP46" i="1"/>
  <c r="CP44" i="1"/>
  <c r="CP42" i="1"/>
  <c r="CP40" i="1"/>
  <c r="CP38" i="1"/>
  <c r="CP36" i="1"/>
  <c r="CP34" i="1"/>
  <c r="CP32" i="1"/>
  <c r="CP30" i="1"/>
  <c r="CP28" i="1"/>
  <c r="CP26" i="1"/>
  <c r="CP24" i="1"/>
  <c r="CP22" i="1"/>
  <c r="CP20" i="1"/>
  <c r="CP18" i="1"/>
  <c r="CP16" i="1"/>
  <c r="CP14" i="1"/>
  <c r="CP12" i="1"/>
  <c r="CP10" i="1"/>
  <c r="CP8" i="1"/>
  <c r="CP6" i="1"/>
  <c r="CP4" i="1"/>
  <c r="E406" i="6" l="1"/>
  <c r="E408" i="6"/>
  <c r="CO403" i="6"/>
  <c r="R3" i="5"/>
  <c r="R8" i="5" s="1"/>
  <c r="M14" i="5" s="1"/>
  <c r="I16" i="5"/>
  <c r="AK71" i="4"/>
  <c r="AL71" i="4" s="1"/>
  <c r="AM71" i="4" s="1"/>
  <c r="AJ71" i="4"/>
  <c r="E17" i="5"/>
  <c r="H16" i="5"/>
  <c r="G13" i="5"/>
  <c r="F20" i="5"/>
  <c r="F18" i="5"/>
  <c r="F19" i="5"/>
  <c r="E405" i="6"/>
  <c r="G401" i="6"/>
  <c r="H404" i="6"/>
  <c r="H401" i="6" s="1"/>
  <c r="F408" i="6"/>
  <c r="F407" i="6"/>
  <c r="F406" i="6"/>
  <c r="T3" i="6"/>
  <c r="P57" i="6"/>
  <c r="P397" i="6" s="1"/>
  <c r="K402" i="6" s="1"/>
  <c r="I89" i="4"/>
  <c r="F91" i="4"/>
  <c r="F93" i="4"/>
  <c r="F92" i="4"/>
  <c r="E90" i="4"/>
  <c r="H89" i="4"/>
  <c r="H86" i="4" s="1"/>
  <c r="G86" i="4"/>
  <c r="M89" i="4"/>
  <c r="BX25" i="4"/>
  <c r="W3" i="4"/>
  <c r="V82" i="4"/>
  <c r="Q87" i="4" s="1"/>
  <c r="BU72" i="1"/>
  <c r="CL7" i="1"/>
  <c r="CM7" i="1" s="1"/>
  <c r="K5" i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AL5" i="1" s="1"/>
  <c r="AM5" i="1" s="1"/>
  <c r="AN5" i="1" s="1"/>
  <c r="AO5" i="1" s="1"/>
  <c r="AP5" i="1" s="1"/>
  <c r="AQ5" i="1" s="1"/>
  <c r="AR5" i="1" s="1"/>
  <c r="AS5" i="1" s="1"/>
  <c r="AT5" i="1" s="1"/>
  <c r="AU5" i="1" s="1"/>
  <c r="AV5" i="1" s="1"/>
  <c r="AW5" i="1" s="1"/>
  <c r="AX5" i="1" s="1"/>
  <c r="AY5" i="1" s="1"/>
  <c r="AZ5" i="1" s="1"/>
  <c r="BA5" i="1" s="1"/>
  <c r="BB5" i="1" s="1"/>
  <c r="BC5" i="1" s="1"/>
  <c r="BD5" i="1" s="1"/>
  <c r="BE5" i="1" s="1"/>
  <c r="BF5" i="1" s="1"/>
  <c r="BG5" i="1" s="1"/>
  <c r="BH5" i="1" s="1"/>
  <c r="BI5" i="1" s="1"/>
  <c r="BJ5" i="1" s="1"/>
  <c r="BK5" i="1" s="1"/>
  <c r="BL5" i="1" s="1"/>
  <c r="BM5" i="1" s="1"/>
  <c r="BN5" i="1" s="1"/>
  <c r="BO5" i="1" s="1"/>
  <c r="BP5" i="1" s="1"/>
  <c r="BQ5" i="1" s="1"/>
  <c r="BR5" i="1" s="1"/>
  <c r="BS5" i="1" s="1"/>
  <c r="BT5" i="1" s="1"/>
  <c r="BU5" i="1" s="1"/>
  <c r="BV5" i="1" s="1"/>
  <c r="BW5" i="1" s="1"/>
  <c r="BX5" i="1" s="1"/>
  <c r="BY5" i="1" s="1"/>
  <c r="BZ5" i="1" s="1"/>
  <c r="CA5" i="1" s="1"/>
  <c r="CB5" i="1" s="1"/>
  <c r="CC5" i="1" s="1"/>
  <c r="CD5" i="1" s="1"/>
  <c r="CE5" i="1" s="1"/>
  <c r="CF5" i="1" s="1"/>
  <c r="CG5" i="1" s="1"/>
  <c r="CH5" i="1" s="1"/>
  <c r="CI5" i="1" s="1"/>
  <c r="CJ5" i="1" s="1"/>
  <c r="CK5" i="1" s="1"/>
  <c r="CL5" i="1" s="1"/>
  <c r="CM5" i="1" s="1"/>
  <c r="CN5" i="1" s="1"/>
  <c r="CO5" i="1" s="1"/>
  <c r="L21" i="1"/>
  <c r="M21" i="1" s="1"/>
  <c r="N21" i="1" s="1"/>
  <c r="O21" i="1" s="1"/>
  <c r="P21" i="1" s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CB21" i="1" s="1"/>
  <c r="CC21" i="1" s="1"/>
  <c r="CD21" i="1" s="1"/>
  <c r="CE21" i="1" s="1"/>
  <c r="CF21" i="1" s="1"/>
  <c r="CG21" i="1" s="1"/>
  <c r="CH21" i="1" s="1"/>
  <c r="CI21" i="1" s="1"/>
  <c r="CJ21" i="1" s="1"/>
  <c r="CK21" i="1" s="1"/>
  <c r="CL21" i="1" s="1"/>
  <c r="CM21" i="1" s="1"/>
  <c r="CN21" i="1" s="1"/>
  <c r="CO21" i="1" s="1"/>
  <c r="L25" i="1"/>
  <c r="M25" i="1" s="1"/>
  <c r="N25" i="1" s="1"/>
  <c r="O25" i="1" s="1"/>
  <c r="P25" i="1" s="1"/>
  <c r="Q25" i="1" s="1"/>
  <c r="R25" i="1" s="1"/>
  <c r="L29" i="1"/>
  <c r="M29" i="1" s="1"/>
  <c r="N29" i="1" s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CB29" i="1" s="1"/>
  <c r="CC29" i="1" s="1"/>
  <c r="CD29" i="1" s="1"/>
  <c r="CE29" i="1" s="1"/>
  <c r="CF29" i="1" s="1"/>
  <c r="CG29" i="1" s="1"/>
  <c r="CH29" i="1" s="1"/>
  <c r="CI29" i="1" s="1"/>
  <c r="CJ29" i="1" s="1"/>
  <c r="CK29" i="1" s="1"/>
  <c r="CL29" i="1" s="1"/>
  <c r="CM29" i="1" s="1"/>
  <c r="CN29" i="1" s="1"/>
  <c r="CO29" i="1" s="1"/>
  <c r="M33" i="1"/>
  <c r="N33" i="1" s="1"/>
  <c r="O33" i="1" s="1"/>
  <c r="P33" i="1" s="1"/>
  <c r="Q33" i="1" s="1"/>
  <c r="R33" i="1" s="1"/>
  <c r="S33" i="1" s="1"/>
  <c r="T33" i="1" s="1"/>
  <c r="U33" i="1" s="1"/>
  <c r="V33" i="1" s="1"/>
  <c r="W33" i="1" s="1"/>
  <c r="X33" i="1" s="1"/>
  <c r="Y33" i="1" s="1"/>
  <c r="Z33" i="1" s="1"/>
  <c r="AA33" i="1" s="1"/>
  <c r="AB33" i="1" s="1"/>
  <c r="AC33" i="1" s="1"/>
  <c r="AD33" i="1" s="1"/>
  <c r="L37" i="1"/>
  <c r="M37" i="1" s="1"/>
  <c r="N37" i="1" s="1"/>
  <c r="O37" i="1" s="1"/>
  <c r="P37" i="1" s="1"/>
  <c r="Q37" i="1" s="1"/>
  <c r="R37" i="1" s="1"/>
  <c r="S37" i="1" s="1"/>
  <c r="T37" i="1" s="1"/>
  <c r="U37" i="1" s="1"/>
  <c r="V37" i="1" s="1"/>
  <c r="W37" i="1" s="1"/>
  <c r="X37" i="1" s="1"/>
  <c r="Y37" i="1" s="1"/>
  <c r="Z37" i="1" s="1"/>
  <c r="AA37" i="1" s="1"/>
  <c r="AB37" i="1" s="1"/>
  <c r="AC37" i="1" s="1"/>
  <c r="AD37" i="1" s="1"/>
  <c r="AE37" i="1" s="1"/>
  <c r="AF37" i="1" s="1"/>
  <c r="AG37" i="1" s="1"/>
  <c r="AH37" i="1" s="1"/>
  <c r="AI37" i="1" s="1"/>
  <c r="AJ37" i="1" s="1"/>
  <c r="AK37" i="1" s="1"/>
  <c r="AL37" i="1" s="1"/>
  <c r="AM37" i="1" s="1"/>
  <c r="AN37" i="1" s="1"/>
  <c r="AO37" i="1" s="1"/>
  <c r="AP37" i="1" s="1"/>
  <c r="AQ37" i="1" s="1"/>
  <c r="AR37" i="1" s="1"/>
  <c r="AS37" i="1" s="1"/>
  <c r="AT37" i="1" s="1"/>
  <c r="AU37" i="1" s="1"/>
  <c r="AV37" i="1" s="1"/>
  <c r="AW37" i="1" s="1"/>
  <c r="AX37" i="1" s="1"/>
  <c r="AY37" i="1" s="1"/>
  <c r="AZ37" i="1" s="1"/>
  <c r="BA37" i="1" s="1"/>
  <c r="BB37" i="1" s="1"/>
  <c r="BC37" i="1" s="1"/>
  <c r="BD37" i="1" s="1"/>
  <c r="BE37" i="1" s="1"/>
  <c r="BF37" i="1" s="1"/>
  <c r="BG37" i="1" s="1"/>
  <c r="BH37" i="1" s="1"/>
  <c r="BI37" i="1" s="1"/>
  <c r="BJ37" i="1" s="1"/>
  <c r="BK37" i="1" s="1"/>
  <c r="BL37" i="1" s="1"/>
  <c r="BM37" i="1" s="1"/>
  <c r="BN37" i="1" s="1"/>
  <c r="BO37" i="1" s="1"/>
  <c r="BP37" i="1" s="1"/>
  <c r="BQ37" i="1" s="1"/>
  <c r="BR37" i="1" s="1"/>
  <c r="BS37" i="1" s="1"/>
  <c r="BT37" i="1" s="1"/>
  <c r="BU37" i="1" s="1"/>
  <c r="BV37" i="1" s="1"/>
  <c r="BW37" i="1" s="1"/>
  <c r="BX37" i="1" s="1"/>
  <c r="BY37" i="1" s="1"/>
  <c r="BZ37" i="1" s="1"/>
  <c r="CA37" i="1" s="1"/>
  <c r="CB37" i="1" s="1"/>
  <c r="CC37" i="1" s="1"/>
  <c r="CD37" i="1" s="1"/>
  <c r="CE37" i="1" s="1"/>
  <c r="CF37" i="1" s="1"/>
  <c r="CG37" i="1" s="1"/>
  <c r="CH37" i="1" s="1"/>
  <c r="CI37" i="1" s="1"/>
  <c r="CJ37" i="1" s="1"/>
  <c r="CK37" i="1" s="1"/>
  <c r="CL37" i="1" s="1"/>
  <c r="CM37" i="1" s="1"/>
  <c r="CN37" i="1" s="1"/>
  <c r="CO37" i="1" s="1"/>
  <c r="M41" i="1"/>
  <c r="N41" i="1" s="1"/>
  <c r="O41" i="1" s="1"/>
  <c r="P41" i="1" s="1"/>
  <c r="Q41" i="1" s="1"/>
  <c r="R41" i="1" s="1"/>
  <c r="S41" i="1" s="1"/>
  <c r="T41" i="1" s="1"/>
  <c r="U41" i="1" s="1"/>
  <c r="V41" i="1" s="1"/>
  <c r="W41" i="1" s="1"/>
  <c r="X41" i="1" s="1"/>
  <c r="Y41" i="1" s="1"/>
  <c r="Z41" i="1" s="1"/>
  <c r="AA41" i="1" s="1"/>
  <c r="AB41" i="1" s="1"/>
  <c r="AC41" i="1" s="1"/>
  <c r="AD41" i="1" s="1"/>
  <c r="AE41" i="1" s="1"/>
  <c r="AF41" i="1" s="1"/>
  <c r="AG41" i="1" s="1"/>
  <c r="AH41" i="1" s="1"/>
  <c r="AI41" i="1" s="1"/>
  <c r="AJ41" i="1" s="1"/>
  <c r="AK41" i="1" s="1"/>
  <c r="AL41" i="1" s="1"/>
  <c r="AM41" i="1" s="1"/>
  <c r="AN41" i="1" s="1"/>
  <c r="AO41" i="1" s="1"/>
  <c r="AP41" i="1" s="1"/>
  <c r="AQ41" i="1" s="1"/>
  <c r="AR41" i="1" s="1"/>
  <c r="AS41" i="1" s="1"/>
  <c r="AT41" i="1" s="1"/>
  <c r="AU41" i="1" s="1"/>
  <c r="AV41" i="1" s="1"/>
  <c r="AW41" i="1" s="1"/>
  <c r="AX41" i="1" s="1"/>
  <c r="AY41" i="1" s="1"/>
  <c r="AZ41" i="1" s="1"/>
  <c r="BA41" i="1" s="1"/>
  <c r="BB41" i="1" s="1"/>
  <c r="BC41" i="1" s="1"/>
  <c r="BD41" i="1" s="1"/>
  <c r="BE41" i="1" s="1"/>
  <c r="BF41" i="1" s="1"/>
  <c r="BG41" i="1" s="1"/>
  <c r="BH41" i="1" s="1"/>
  <c r="BI41" i="1" s="1"/>
  <c r="BJ41" i="1" s="1"/>
  <c r="BK41" i="1" s="1"/>
  <c r="BL41" i="1" s="1"/>
  <c r="BM41" i="1" s="1"/>
  <c r="BN41" i="1" s="1"/>
  <c r="BO41" i="1" s="1"/>
  <c r="BP41" i="1" s="1"/>
  <c r="BQ41" i="1" s="1"/>
  <c r="BR41" i="1" s="1"/>
  <c r="BS41" i="1" s="1"/>
  <c r="BT41" i="1" s="1"/>
  <c r="BU41" i="1" s="1"/>
  <c r="BV41" i="1" s="1"/>
  <c r="BW41" i="1" s="1"/>
  <c r="BX41" i="1" s="1"/>
  <c r="BY41" i="1" s="1"/>
  <c r="BZ41" i="1" s="1"/>
  <c r="CA41" i="1" s="1"/>
  <c r="CB41" i="1" s="1"/>
  <c r="CC41" i="1" s="1"/>
  <c r="CD41" i="1" s="1"/>
  <c r="CE41" i="1" s="1"/>
  <c r="CF41" i="1" s="1"/>
  <c r="CG41" i="1" s="1"/>
  <c r="CH41" i="1" s="1"/>
  <c r="CI41" i="1" s="1"/>
  <c r="CJ41" i="1" s="1"/>
  <c r="CK41" i="1" s="1"/>
  <c r="CL41" i="1" s="1"/>
  <c r="CM41" i="1" s="1"/>
  <c r="CN41" i="1" s="1"/>
  <c r="CO41" i="1" s="1"/>
  <c r="M45" i="1"/>
  <c r="N45" i="1" s="1"/>
  <c r="O45" i="1" s="1"/>
  <c r="P45" i="1" s="1"/>
  <c r="Q45" i="1" s="1"/>
  <c r="R45" i="1" s="1"/>
  <c r="S45" i="1" s="1"/>
  <c r="T45" i="1" s="1"/>
  <c r="U45" i="1" s="1"/>
  <c r="V45" i="1" s="1"/>
  <c r="W45" i="1" s="1"/>
  <c r="X45" i="1" s="1"/>
  <c r="Y45" i="1" s="1"/>
  <c r="Z45" i="1" s="1"/>
  <c r="AA45" i="1" s="1"/>
  <c r="AB45" i="1" s="1"/>
  <c r="AC45" i="1" s="1"/>
  <c r="AD45" i="1" s="1"/>
  <c r="AE45" i="1" s="1"/>
  <c r="AF45" i="1" s="1"/>
  <c r="AG45" i="1" s="1"/>
  <c r="AH45" i="1" s="1"/>
  <c r="AI45" i="1" s="1"/>
  <c r="AJ45" i="1" s="1"/>
  <c r="AK45" i="1" s="1"/>
  <c r="AL45" i="1" s="1"/>
  <c r="AM45" i="1" s="1"/>
  <c r="AN45" i="1" s="1"/>
  <c r="AO45" i="1" s="1"/>
  <c r="AP45" i="1" s="1"/>
  <c r="AQ45" i="1" s="1"/>
  <c r="AR45" i="1" s="1"/>
  <c r="AS45" i="1" s="1"/>
  <c r="AT45" i="1" s="1"/>
  <c r="AU45" i="1" s="1"/>
  <c r="AV45" i="1" s="1"/>
  <c r="AW45" i="1" s="1"/>
  <c r="AX45" i="1" s="1"/>
  <c r="AY45" i="1" s="1"/>
  <c r="AZ45" i="1" s="1"/>
  <c r="BA45" i="1" s="1"/>
  <c r="BB45" i="1" s="1"/>
  <c r="BC45" i="1" s="1"/>
  <c r="BD45" i="1" s="1"/>
  <c r="BE45" i="1" s="1"/>
  <c r="BF45" i="1" s="1"/>
  <c r="BG45" i="1" s="1"/>
  <c r="BH45" i="1" s="1"/>
  <c r="BI45" i="1" s="1"/>
  <c r="BJ45" i="1" s="1"/>
  <c r="BK45" i="1" s="1"/>
  <c r="BL45" i="1" s="1"/>
  <c r="BM45" i="1" s="1"/>
  <c r="BN45" i="1" s="1"/>
  <c r="BO45" i="1" s="1"/>
  <c r="BP45" i="1" s="1"/>
  <c r="BQ45" i="1" s="1"/>
  <c r="BR45" i="1" s="1"/>
  <c r="BS45" i="1" s="1"/>
  <c r="BT45" i="1" s="1"/>
  <c r="BU45" i="1" s="1"/>
  <c r="BV45" i="1" s="1"/>
  <c r="BW45" i="1" s="1"/>
  <c r="BX45" i="1" s="1"/>
  <c r="BY45" i="1" s="1"/>
  <c r="BZ45" i="1" s="1"/>
  <c r="CA45" i="1" s="1"/>
  <c r="CB45" i="1" s="1"/>
  <c r="CC45" i="1" s="1"/>
  <c r="CD45" i="1" s="1"/>
  <c r="CE45" i="1" s="1"/>
  <c r="CF45" i="1" s="1"/>
  <c r="CG45" i="1" s="1"/>
  <c r="CH45" i="1" s="1"/>
  <c r="CI45" i="1" s="1"/>
  <c r="CJ45" i="1" s="1"/>
  <c r="CK45" i="1" s="1"/>
  <c r="CL45" i="1" s="1"/>
  <c r="CM45" i="1" s="1"/>
  <c r="CN45" i="1" s="1"/>
  <c r="CO45" i="1" s="1"/>
  <c r="L57" i="1"/>
  <c r="M57" i="1" s="1"/>
  <c r="N57" i="1" s="1"/>
  <c r="O57" i="1" s="1"/>
  <c r="P57" i="1" s="1"/>
  <c r="Q57" i="1" s="1"/>
  <c r="R57" i="1" s="1"/>
  <c r="S57" i="1" s="1"/>
  <c r="T57" i="1" s="1"/>
  <c r="U57" i="1" s="1"/>
  <c r="V57" i="1" s="1"/>
  <c r="W57" i="1" s="1"/>
  <c r="X57" i="1" s="1"/>
  <c r="Y57" i="1" s="1"/>
  <c r="Z57" i="1" s="1"/>
  <c r="AA57" i="1" s="1"/>
  <c r="AB57" i="1" s="1"/>
  <c r="AC57" i="1" s="1"/>
  <c r="AD57" i="1" s="1"/>
  <c r="AE57" i="1" s="1"/>
  <c r="AF57" i="1" s="1"/>
  <c r="AG57" i="1" s="1"/>
  <c r="AH57" i="1" s="1"/>
  <c r="AI57" i="1" s="1"/>
  <c r="AJ57" i="1" s="1"/>
  <c r="AK57" i="1" s="1"/>
  <c r="AL57" i="1" s="1"/>
  <c r="AM57" i="1" s="1"/>
  <c r="AN57" i="1" s="1"/>
  <c r="AO57" i="1" s="1"/>
  <c r="AP57" i="1" s="1"/>
  <c r="AQ57" i="1" s="1"/>
  <c r="AR57" i="1" s="1"/>
  <c r="AS57" i="1" s="1"/>
  <c r="AT57" i="1" s="1"/>
  <c r="AU57" i="1" s="1"/>
  <c r="AV57" i="1" s="1"/>
  <c r="AW57" i="1" s="1"/>
  <c r="AX57" i="1" s="1"/>
  <c r="AY57" i="1" s="1"/>
  <c r="AZ57" i="1" s="1"/>
  <c r="BA57" i="1" s="1"/>
  <c r="BB57" i="1" s="1"/>
  <c r="BC57" i="1" s="1"/>
  <c r="BD57" i="1" s="1"/>
  <c r="BE57" i="1" s="1"/>
  <c r="BF57" i="1" s="1"/>
  <c r="BG57" i="1" s="1"/>
  <c r="BH57" i="1" s="1"/>
  <c r="BI57" i="1" s="1"/>
  <c r="BJ57" i="1" s="1"/>
  <c r="BK57" i="1" s="1"/>
  <c r="BL57" i="1" s="1"/>
  <c r="BM57" i="1" s="1"/>
  <c r="BN57" i="1" s="1"/>
  <c r="BO57" i="1" s="1"/>
  <c r="BP57" i="1" s="1"/>
  <c r="BQ57" i="1" s="1"/>
  <c r="BR57" i="1" s="1"/>
  <c r="BS57" i="1" s="1"/>
  <c r="BT57" i="1" s="1"/>
  <c r="BU57" i="1" s="1"/>
  <c r="BV57" i="1" s="1"/>
  <c r="BW57" i="1" s="1"/>
  <c r="BX57" i="1" s="1"/>
  <c r="BY57" i="1" s="1"/>
  <c r="BZ57" i="1" s="1"/>
  <c r="CA57" i="1" s="1"/>
  <c r="CB57" i="1" s="1"/>
  <c r="CC57" i="1" s="1"/>
  <c r="CD57" i="1" s="1"/>
  <c r="CE57" i="1" s="1"/>
  <c r="CF57" i="1" s="1"/>
  <c r="CG57" i="1" s="1"/>
  <c r="CH57" i="1" s="1"/>
  <c r="CI57" i="1" s="1"/>
  <c r="CJ57" i="1" s="1"/>
  <c r="CK57" i="1" s="1"/>
  <c r="CL57" i="1" s="1"/>
  <c r="CM57" i="1" s="1"/>
  <c r="CN57" i="1" s="1"/>
  <c r="CO57" i="1" s="1"/>
  <c r="L9" i="1"/>
  <c r="M9" i="1" s="1"/>
  <c r="N9" i="1" s="1"/>
  <c r="O9" i="1" s="1"/>
  <c r="P9" i="1" s="1"/>
  <c r="Q9" i="1" s="1"/>
  <c r="R9" i="1" s="1"/>
  <c r="S9" i="1" s="1"/>
  <c r="T9" i="1" s="1"/>
  <c r="U9" i="1" s="1"/>
  <c r="L19" i="1"/>
  <c r="M19" i="1" s="1"/>
  <c r="N19" i="1" s="1"/>
  <c r="O19" i="1" s="1"/>
  <c r="P19" i="1" s="1"/>
  <c r="Q19" i="1" s="1"/>
  <c r="R19" i="1" s="1"/>
  <c r="L23" i="1"/>
  <c r="M23" i="1" s="1"/>
  <c r="N23" i="1" s="1"/>
  <c r="O23" i="1" s="1"/>
  <c r="P23" i="1" s="1"/>
  <c r="Q23" i="1" s="1"/>
  <c r="R23" i="1" s="1"/>
  <c r="S23" i="1" s="1"/>
  <c r="T23" i="1" s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s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CB23" i="1" s="1"/>
  <c r="CC23" i="1" s="1"/>
  <c r="CD23" i="1" s="1"/>
  <c r="CE23" i="1" s="1"/>
  <c r="CF23" i="1" s="1"/>
  <c r="CG23" i="1" s="1"/>
  <c r="CH23" i="1" s="1"/>
  <c r="CI23" i="1" s="1"/>
  <c r="CJ23" i="1" s="1"/>
  <c r="CK23" i="1" s="1"/>
  <c r="CL23" i="1" s="1"/>
  <c r="CM23" i="1" s="1"/>
  <c r="CN23" i="1" s="1"/>
  <c r="CO23" i="1" s="1"/>
  <c r="L27" i="1"/>
  <c r="M27" i="1" s="1"/>
  <c r="N27" i="1" s="1"/>
  <c r="O27" i="1" s="1"/>
  <c r="P27" i="1" s="1"/>
  <c r="Q27" i="1" s="1"/>
  <c r="R27" i="1" s="1"/>
  <c r="L31" i="1"/>
  <c r="M31" i="1" s="1"/>
  <c r="N31" i="1" s="1"/>
  <c r="O31" i="1" s="1"/>
  <c r="P31" i="1" s="1"/>
  <c r="Q31" i="1" s="1"/>
  <c r="R31" i="1" s="1"/>
  <c r="S31" i="1" s="1"/>
  <c r="T31" i="1" s="1"/>
  <c r="U31" i="1" s="1"/>
  <c r="V31" i="1" s="1"/>
  <c r="W31" i="1" s="1"/>
  <c r="X31" i="1" s="1"/>
  <c r="Y31" i="1" s="1"/>
  <c r="Z31" i="1" s="1"/>
  <c r="AA31" i="1" s="1"/>
  <c r="AB31" i="1" s="1"/>
  <c r="AC31" i="1" s="1"/>
  <c r="AD31" i="1" s="1"/>
  <c r="AE31" i="1" s="1"/>
  <c r="AF31" i="1" s="1"/>
  <c r="AG31" i="1" s="1"/>
  <c r="AH31" i="1" s="1"/>
  <c r="AI31" i="1" s="1"/>
  <c r="AJ31" i="1" s="1"/>
  <c r="AK31" i="1" s="1"/>
  <c r="AL31" i="1" s="1"/>
  <c r="AM31" i="1" s="1"/>
  <c r="AN31" i="1" s="1"/>
  <c r="AO31" i="1" s="1"/>
  <c r="AP31" i="1" s="1"/>
  <c r="AQ31" i="1" s="1"/>
  <c r="AR31" i="1" s="1"/>
  <c r="AS31" i="1" s="1"/>
  <c r="AT31" i="1" s="1"/>
  <c r="AU31" i="1" s="1"/>
  <c r="AV31" i="1" s="1"/>
  <c r="AW31" i="1" s="1"/>
  <c r="AX31" i="1" s="1"/>
  <c r="AY31" i="1" s="1"/>
  <c r="AZ31" i="1" s="1"/>
  <c r="BA31" i="1" s="1"/>
  <c r="BB31" i="1" s="1"/>
  <c r="BC31" i="1" s="1"/>
  <c r="BD31" i="1" s="1"/>
  <c r="BE31" i="1" s="1"/>
  <c r="BF31" i="1" s="1"/>
  <c r="BG31" i="1" s="1"/>
  <c r="BH31" i="1" s="1"/>
  <c r="BI31" i="1" s="1"/>
  <c r="BJ31" i="1" s="1"/>
  <c r="BK31" i="1" s="1"/>
  <c r="BL31" i="1" s="1"/>
  <c r="BM31" i="1" s="1"/>
  <c r="BN31" i="1" s="1"/>
  <c r="BO31" i="1" s="1"/>
  <c r="BP31" i="1" s="1"/>
  <c r="BQ31" i="1" s="1"/>
  <c r="BR31" i="1" s="1"/>
  <c r="BS31" i="1" s="1"/>
  <c r="BT31" i="1" s="1"/>
  <c r="BU31" i="1" s="1"/>
  <c r="BV31" i="1" s="1"/>
  <c r="BW31" i="1" s="1"/>
  <c r="BX31" i="1" s="1"/>
  <c r="BY31" i="1" s="1"/>
  <c r="BZ31" i="1" s="1"/>
  <c r="CA31" i="1" s="1"/>
  <c r="CB31" i="1" s="1"/>
  <c r="CC31" i="1" s="1"/>
  <c r="CD31" i="1" s="1"/>
  <c r="CE31" i="1" s="1"/>
  <c r="CF31" i="1" s="1"/>
  <c r="CG31" i="1" s="1"/>
  <c r="CH31" i="1" s="1"/>
  <c r="CI31" i="1" s="1"/>
  <c r="CJ31" i="1" s="1"/>
  <c r="CK31" i="1" s="1"/>
  <c r="CL31" i="1" s="1"/>
  <c r="CM31" i="1" s="1"/>
  <c r="CN31" i="1" s="1"/>
  <c r="CO31" i="1" s="1"/>
  <c r="L35" i="1"/>
  <c r="M35" i="1" s="1"/>
  <c r="N35" i="1" s="1"/>
  <c r="O35" i="1" s="1"/>
  <c r="P35" i="1" s="1"/>
  <c r="Q35" i="1" s="1"/>
  <c r="R35" i="1" s="1"/>
  <c r="S35" i="1" s="1"/>
  <c r="T35" i="1" s="1"/>
  <c r="U35" i="1" s="1"/>
  <c r="V35" i="1" s="1"/>
  <c r="W35" i="1" s="1"/>
  <c r="X35" i="1" s="1"/>
  <c r="Y35" i="1" s="1"/>
  <c r="Z35" i="1" s="1"/>
  <c r="AA35" i="1" s="1"/>
  <c r="AB35" i="1" s="1"/>
  <c r="AC35" i="1" s="1"/>
  <c r="AD35" i="1" s="1"/>
  <c r="AE35" i="1" s="1"/>
  <c r="AF35" i="1" s="1"/>
  <c r="AG35" i="1" s="1"/>
  <c r="AH35" i="1" s="1"/>
  <c r="AI35" i="1" s="1"/>
  <c r="AJ35" i="1" s="1"/>
  <c r="AK35" i="1" s="1"/>
  <c r="AL35" i="1" s="1"/>
  <c r="AM35" i="1" s="1"/>
  <c r="AN35" i="1" s="1"/>
  <c r="AO35" i="1" s="1"/>
  <c r="AP35" i="1" s="1"/>
  <c r="AQ35" i="1" s="1"/>
  <c r="AR35" i="1" s="1"/>
  <c r="AS35" i="1" s="1"/>
  <c r="AT35" i="1" s="1"/>
  <c r="AU35" i="1" s="1"/>
  <c r="AV35" i="1" s="1"/>
  <c r="AW35" i="1" s="1"/>
  <c r="AX35" i="1" s="1"/>
  <c r="AY35" i="1" s="1"/>
  <c r="AZ35" i="1" s="1"/>
  <c r="BA35" i="1" s="1"/>
  <c r="BB35" i="1" s="1"/>
  <c r="BC35" i="1" s="1"/>
  <c r="BD35" i="1" s="1"/>
  <c r="BE35" i="1" s="1"/>
  <c r="BF35" i="1" s="1"/>
  <c r="BG35" i="1" s="1"/>
  <c r="BH35" i="1" s="1"/>
  <c r="BI35" i="1" s="1"/>
  <c r="BJ35" i="1" s="1"/>
  <c r="BK35" i="1" s="1"/>
  <c r="BL35" i="1" s="1"/>
  <c r="BM35" i="1" s="1"/>
  <c r="BN35" i="1" s="1"/>
  <c r="BO35" i="1" s="1"/>
  <c r="BP35" i="1" s="1"/>
  <c r="BQ35" i="1" s="1"/>
  <c r="BR35" i="1" s="1"/>
  <c r="BS35" i="1" s="1"/>
  <c r="BT35" i="1" s="1"/>
  <c r="BU35" i="1" s="1"/>
  <c r="BV35" i="1" s="1"/>
  <c r="BW35" i="1" s="1"/>
  <c r="BX35" i="1" s="1"/>
  <c r="BY35" i="1" s="1"/>
  <c r="BZ35" i="1" s="1"/>
  <c r="CA35" i="1" s="1"/>
  <c r="CB35" i="1" s="1"/>
  <c r="CC35" i="1" s="1"/>
  <c r="CD35" i="1" s="1"/>
  <c r="CE35" i="1" s="1"/>
  <c r="CF35" i="1" s="1"/>
  <c r="CG35" i="1" s="1"/>
  <c r="CH35" i="1" s="1"/>
  <c r="CI35" i="1" s="1"/>
  <c r="CJ35" i="1" s="1"/>
  <c r="CK35" i="1" s="1"/>
  <c r="CL35" i="1" s="1"/>
  <c r="CM35" i="1" s="1"/>
  <c r="CN35" i="1" s="1"/>
  <c r="CO35" i="1" s="1"/>
  <c r="L17" i="1"/>
  <c r="M17" i="1" s="1"/>
  <c r="N17" i="1" s="1"/>
  <c r="CP15" i="1"/>
  <c r="K3" i="1"/>
  <c r="J58" i="1"/>
  <c r="CP58" i="1" s="1"/>
  <c r="CP49" i="1"/>
  <c r="G13" i="1"/>
  <c r="CP53" i="1"/>
  <c r="CP43" i="1"/>
  <c r="CP11" i="1"/>
  <c r="CP13" i="1"/>
  <c r="H57" i="1"/>
  <c r="H73" i="1" s="1"/>
  <c r="G73" i="1" s="1"/>
  <c r="CP47" i="1"/>
  <c r="L39" i="1"/>
  <c r="CP403" i="6" l="1"/>
  <c r="E409" i="6"/>
  <c r="H13" i="5"/>
  <c r="H19" i="5" s="1"/>
  <c r="E21" i="5"/>
  <c r="S3" i="5"/>
  <c r="S8" i="5" s="1"/>
  <c r="N14" i="5" s="1"/>
  <c r="J16" i="5"/>
  <c r="I13" i="5"/>
  <c r="AO71" i="4"/>
  <c r="AP71" i="4" s="1"/>
  <c r="AQ71" i="4" s="1"/>
  <c r="AN71" i="4"/>
  <c r="F405" i="6"/>
  <c r="F409" i="6" s="1"/>
  <c r="F17" i="5"/>
  <c r="F21" i="5" s="1"/>
  <c r="G18" i="5"/>
  <c r="G19" i="5"/>
  <c r="G20" i="5"/>
  <c r="H20" i="5"/>
  <c r="H408" i="6"/>
  <c r="H406" i="6"/>
  <c r="H407" i="6"/>
  <c r="G406" i="6"/>
  <c r="G408" i="6"/>
  <c r="G407" i="6"/>
  <c r="Q57" i="6"/>
  <c r="Q397" i="6" s="1"/>
  <c r="L402" i="6" s="1"/>
  <c r="I404" i="6" s="1"/>
  <c r="U3" i="6"/>
  <c r="N89" i="4"/>
  <c r="M86" i="4"/>
  <c r="G93" i="4"/>
  <c r="G92" i="4"/>
  <c r="G91" i="4"/>
  <c r="E94" i="4"/>
  <c r="J89" i="4"/>
  <c r="I86" i="4"/>
  <c r="H92" i="4"/>
  <c r="H93" i="4"/>
  <c r="H91" i="4"/>
  <c r="F90" i="4"/>
  <c r="F94" i="4" s="1"/>
  <c r="BY25" i="4"/>
  <c r="X3" i="4"/>
  <c r="W82" i="4"/>
  <c r="R87" i="4" s="1"/>
  <c r="BV72" i="1"/>
  <c r="O17" i="1"/>
  <c r="P17" i="1" s="1"/>
  <c r="Q17" i="1" s="1"/>
  <c r="R17" i="1" s="1"/>
  <c r="S17" i="1" s="1"/>
  <c r="T17" i="1" s="1"/>
  <c r="U17" i="1" s="1"/>
  <c r="V17" i="1" s="1"/>
  <c r="W17" i="1" s="1"/>
  <c r="X17" i="1" s="1"/>
  <c r="Y17" i="1" s="1"/>
  <c r="Z17" i="1" s="1"/>
  <c r="AA17" i="1" s="1"/>
  <c r="AB17" i="1" s="1"/>
  <c r="AC17" i="1" s="1"/>
  <c r="AD17" i="1" s="1"/>
  <c r="AE17" i="1" s="1"/>
  <c r="AF17" i="1" s="1"/>
  <c r="AG17" i="1" s="1"/>
  <c r="AH17" i="1" s="1"/>
  <c r="AI17" i="1" s="1"/>
  <c r="AJ17" i="1" s="1"/>
  <c r="AK17" i="1" s="1"/>
  <c r="AL17" i="1" s="1"/>
  <c r="AM17" i="1" s="1"/>
  <c r="AN17" i="1" s="1"/>
  <c r="AO17" i="1" s="1"/>
  <c r="AP17" i="1" s="1"/>
  <c r="AQ17" i="1" s="1"/>
  <c r="AR17" i="1" s="1"/>
  <c r="AS17" i="1" s="1"/>
  <c r="AT17" i="1" s="1"/>
  <c r="AU17" i="1" s="1"/>
  <c r="AV17" i="1" s="1"/>
  <c r="AW17" i="1" s="1"/>
  <c r="AX17" i="1" s="1"/>
  <c r="AY17" i="1" s="1"/>
  <c r="AZ17" i="1" s="1"/>
  <c r="BA17" i="1" s="1"/>
  <c r="BB17" i="1" s="1"/>
  <c r="BC17" i="1" s="1"/>
  <c r="BD17" i="1" s="1"/>
  <c r="BE17" i="1" s="1"/>
  <c r="BF17" i="1" s="1"/>
  <c r="BG17" i="1" s="1"/>
  <c r="BH17" i="1" s="1"/>
  <c r="BI17" i="1" s="1"/>
  <c r="BJ17" i="1" s="1"/>
  <c r="BK17" i="1" s="1"/>
  <c r="BL17" i="1" s="1"/>
  <c r="BM17" i="1" s="1"/>
  <c r="BN17" i="1" s="1"/>
  <c r="BO17" i="1" s="1"/>
  <c r="BP17" i="1" s="1"/>
  <c r="BQ17" i="1" s="1"/>
  <c r="BR17" i="1" s="1"/>
  <c r="BS17" i="1" s="1"/>
  <c r="BT17" i="1" s="1"/>
  <c r="BU17" i="1" s="1"/>
  <c r="BV17" i="1" s="1"/>
  <c r="BW17" i="1" s="1"/>
  <c r="BX17" i="1" s="1"/>
  <c r="BY17" i="1" s="1"/>
  <c r="BZ17" i="1" s="1"/>
  <c r="CA17" i="1" s="1"/>
  <c r="CB17" i="1" s="1"/>
  <c r="CC17" i="1" s="1"/>
  <c r="CD17" i="1" s="1"/>
  <c r="CE17" i="1" s="1"/>
  <c r="CF17" i="1" s="1"/>
  <c r="CG17" i="1" s="1"/>
  <c r="CH17" i="1" s="1"/>
  <c r="CI17" i="1" s="1"/>
  <c r="CJ17" i="1" s="1"/>
  <c r="CK17" i="1" s="1"/>
  <c r="CL17" i="1" s="1"/>
  <c r="CM17" i="1" s="1"/>
  <c r="CN17" i="1" s="1"/>
  <c r="CO17" i="1" s="1"/>
  <c r="CP57" i="1"/>
  <c r="CP5" i="1"/>
  <c r="CN7" i="1"/>
  <c r="CO7" i="1" s="1"/>
  <c r="M39" i="1"/>
  <c r="N39" i="1" s="1"/>
  <c r="O39" i="1" s="1"/>
  <c r="P39" i="1" s="1"/>
  <c r="Q39" i="1" s="1"/>
  <c r="R39" i="1" s="1"/>
  <c r="S39" i="1" s="1"/>
  <c r="T39" i="1" s="1"/>
  <c r="U39" i="1" s="1"/>
  <c r="V39" i="1" s="1"/>
  <c r="W39" i="1" s="1"/>
  <c r="X39" i="1" s="1"/>
  <c r="Y39" i="1" s="1"/>
  <c r="Z39" i="1" s="1"/>
  <c r="AA39" i="1" s="1"/>
  <c r="AB39" i="1" s="1"/>
  <c r="AC39" i="1" s="1"/>
  <c r="AD39" i="1" s="1"/>
  <c r="AE39" i="1" s="1"/>
  <c r="AF39" i="1" s="1"/>
  <c r="AG39" i="1" s="1"/>
  <c r="AH39" i="1" s="1"/>
  <c r="AI39" i="1" s="1"/>
  <c r="AJ39" i="1" s="1"/>
  <c r="AK39" i="1" s="1"/>
  <c r="AL39" i="1" s="1"/>
  <c r="AM39" i="1" s="1"/>
  <c r="AN39" i="1" s="1"/>
  <c r="AO39" i="1" s="1"/>
  <c r="AP39" i="1" s="1"/>
  <c r="AQ39" i="1" s="1"/>
  <c r="AR39" i="1" s="1"/>
  <c r="AS39" i="1" s="1"/>
  <c r="AT39" i="1" s="1"/>
  <c r="AU39" i="1" s="1"/>
  <c r="AV39" i="1" s="1"/>
  <c r="AW39" i="1" s="1"/>
  <c r="AX39" i="1" s="1"/>
  <c r="AY39" i="1" s="1"/>
  <c r="AZ39" i="1" s="1"/>
  <c r="BA39" i="1" s="1"/>
  <c r="BB39" i="1" s="1"/>
  <c r="BC39" i="1" s="1"/>
  <c r="BD39" i="1" s="1"/>
  <c r="BE39" i="1" s="1"/>
  <c r="BF39" i="1" s="1"/>
  <c r="BG39" i="1" s="1"/>
  <c r="BH39" i="1" s="1"/>
  <c r="BI39" i="1" s="1"/>
  <c r="BJ39" i="1" s="1"/>
  <c r="BK39" i="1" s="1"/>
  <c r="BL39" i="1" s="1"/>
  <c r="BM39" i="1" s="1"/>
  <c r="BN39" i="1" s="1"/>
  <c r="BO39" i="1" s="1"/>
  <c r="BP39" i="1" s="1"/>
  <c r="BQ39" i="1" s="1"/>
  <c r="BR39" i="1" s="1"/>
  <c r="BS39" i="1" s="1"/>
  <c r="BT39" i="1" s="1"/>
  <c r="BU39" i="1" s="1"/>
  <c r="BV39" i="1" s="1"/>
  <c r="BW39" i="1" s="1"/>
  <c r="BX39" i="1" s="1"/>
  <c r="BY39" i="1" s="1"/>
  <c r="BZ39" i="1" s="1"/>
  <c r="CA39" i="1" s="1"/>
  <c r="CB39" i="1" s="1"/>
  <c r="CC39" i="1" s="1"/>
  <c r="CD39" i="1" s="1"/>
  <c r="CE39" i="1" s="1"/>
  <c r="CF39" i="1" s="1"/>
  <c r="CG39" i="1" s="1"/>
  <c r="CH39" i="1" s="1"/>
  <c r="CI39" i="1" s="1"/>
  <c r="CJ39" i="1" s="1"/>
  <c r="CK39" i="1" s="1"/>
  <c r="CL39" i="1" s="1"/>
  <c r="CM39" i="1" s="1"/>
  <c r="CN39" i="1" s="1"/>
  <c r="CO39" i="1" s="1"/>
  <c r="S19" i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CB19" i="1" s="1"/>
  <c r="CC19" i="1" s="1"/>
  <c r="CD19" i="1" s="1"/>
  <c r="CE19" i="1" s="1"/>
  <c r="CF19" i="1" s="1"/>
  <c r="CG19" i="1" s="1"/>
  <c r="CH19" i="1" s="1"/>
  <c r="CI19" i="1" s="1"/>
  <c r="CJ19" i="1" s="1"/>
  <c r="CK19" i="1" s="1"/>
  <c r="CL19" i="1" s="1"/>
  <c r="CM19" i="1" s="1"/>
  <c r="CN19" i="1" s="1"/>
  <c r="CO19" i="1" s="1"/>
  <c r="V9" i="1"/>
  <c r="W9" i="1" s="1"/>
  <c r="X9" i="1" s="1"/>
  <c r="AE33" i="1"/>
  <c r="AF33" i="1" s="1"/>
  <c r="AG33" i="1" s="1"/>
  <c r="AH33" i="1" s="1"/>
  <c r="AI33" i="1" s="1"/>
  <c r="AJ33" i="1" s="1"/>
  <c r="AK33" i="1" s="1"/>
  <c r="AL33" i="1" s="1"/>
  <c r="AM33" i="1" s="1"/>
  <c r="AN33" i="1" s="1"/>
  <c r="AO33" i="1" s="1"/>
  <c r="AP33" i="1" s="1"/>
  <c r="AQ33" i="1" s="1"/>
  <c r="AR33" i="1" s="1"/>
  <c r="AS33" i="1" s="1"/>
  <c r="AT33" i="1" s="1"/>
  <c r="AU33" i="1" s="1"/>
  <c r="AV33" i="1" s="1"/>
  <c r="AW33" i="1" s="1"/>
  <c r="AX33" i="1" s="1"/>
  <c r="AY33" i="1" s="1"/>
  <c r="AZ33" i="1" s="1"/>
  <c r="BA33" i="1" s="1"/>
  <c r="BB33" i="1" s="1"/>
  <c r="BC33" i="1" s="1"/>
  <c r="BD33" i="1" s="1"/>
  <c r="BE33" i="1" s="1"/>
  <c r="BF33" i="1" s="1"/>
  <c r="BG33" i="1" s="1"/>
  <c r="BH33" i="1" s="1"/>
  <c r="BI33" i="1" s="1"/>
  <c r="BJ33" i="1" s="1"/>
  <c r="BK33" i="1" s="1"/>
  <c r="BL33" i="1" s="1"/>
  <c r="BM33" i="1" s="1"/>
  <c r="BN33" i="1" s="1"/>
  <c r="BO33" i="1" s="1"/>
  <c r="BP33" i="1" s="1"/>
  <c r="BQ33" i="1" s="1"/>
  <c r="BR33" i="1" s="1"/>
  <c r="BS33" i="1" s="1"/>
  <c r="BT33" i="1" s="1"/>
  <c r="BU33" i="1" s="1"/>
  <c r="BV33" i="1" s="1"/>
  <c r="BW33" i="1" s="1"/>
  <c r="BX33" i="1" s="1"/>
  <c r="BY33" i="1" s="1"/>
  <c r="BZ33" i="1" s="1"/>
  <c r="CA33" i="1" s="1"/>
  <c r="CB33" i="1" s="1"/>
  <c r="CC33" i="1" s="1"/>
  <c r="CD33" i="1" s="1"/>
  <c r="CE33" i="1" s="1"/>
  <c r="CF33" i="1" s="1"/>
  <c r="CG33" i="1" s="1"/>
  <c r="CH33" i="1" s="1"/>
  <c r="CI33" i="1" s="1"/>
  <c r="CJ33" i="1" s="1"/>
  <c r="CK33" i="1" s="1"/>
  <c r="CL33" i="1" s="1"/>
  <c r="CM33" i="1" s="1"/>
  <c r="CN33" i="1" s="1"/>
  <c r="CO33" i="1" s="1"/>
  <c r="S25" i="1"/>
  <c r="T25" i="1" s="1"/>
  <c r="U25" i="1" s="1"/>
  <c r="V25" i="1" s="1"/>
  <c r="W25" i="1" s="1"/>
  <c r="X25" i="1" s="1"/>
  <c r="Y25" i="1" s="1"/>
  <c r="Z25" i="1" s="1"/>
  <c r="AA25" i="1" s="1"/>
  <c r="AB25" i="1" s="1"/>
  <c r="AC25" i="1" s="1"/>
  <c r="AD25" i="1" s="1"/>
  <c r="AE25" i="1" s="1"/>
  <c r="AF25" i="1" s="1"/>
  <c r="AG25" i="1" s="1"/>
  <c r="AH25" i="1" s="1"/>
  <c r="AI25" i="1" s="1"/>
  <c r="AJ25" i="1" s="1"/>
  <c r="AK25" i="1" s="1"/>
  <c r="AL25" i="1" s="1"/>
  <c r="AM25" i="1" s="1"/>
  <c r="AN25" i="1" s="1"/>
  <c r="AO25" i="1" s="1"/>
  <c r="AP25" i="1" s="1"/>
  <c r="AQ25" i="1" s="1"/>
  <c r="AR25" i="1" s="1"/>
  <c r="AS25" i="1" s="1"/>
  <c r="AT25" i="1" s="1"/>
  <c r="AU25" i="1" s="1"/>
  <c r="AV25" i="1" s="1"/>
  <c r="AW25" i="1" s="1"/>
  <c r="AX25" i="1" s="1"/>
  <c r="AY25" i="1" s="1"/>
  <c r="AZ25" i="1" s="1"/>
  <c r="BA25" i="1" s="1"/>
  <c r="BB25" i="1" s="1"/>
  <c r="BC25" i="1" s="1"/>
  <c r="BD25" i="1" s="1"/>
  <c r="BE25" i="1" s="1"/>
  <c r="BF25" i="1" s="1"/>
  <c r="BG25" i="1" s="1"/>
  <c r="BH25" i="1" s="1"/>
  <c r="BI25" i="1" s="1"/>
  <c r="BJ25" i="1" s="1"/>
  <c r="BK25" i="1" s="1"/>
  <c r="BL25" i="1" s="1"/>
  <c r="BM25" i="1" s="1"/>
  <c r="BN25" i="1" s="1"/>
  <c r="BO25" i="1" s="1"/>
  <c r="BP25" i="1" s="1"/>
  <c r="BQ25" i="1" s="1"/>
  <c r="BR25" i="1" s="1"/>
  <c r="BS25" i="1" s="1"/>
  <c r="BT25" i="1" s="1"/>
  <c r="BU25" i="1" s="1"/>
  <c r="BV25" i="1" s="1"/>
  <c r="BW25" i="1" s="1"/>
  <c r="BX25" i="1" s="1"/>
  <c r="BY25" i="1" s="1"/>
  <c r="BZ25" i="1" s="1"/>
  <c r="CA25" i="1" s="1"/>
  <c r="CB25" i="1" s="1"/>
  <c r="CC25" i="1" s="1"/>
  <c r="CD25" i="1" s="1"/>
  <c r="CE25" i="1" s="1"/>
  <c r="CF25" i="1" s="1"/>
  <c r="CG25" i="1" s="1"/>
  <c r="CH25" i="1" s="1"/>
  <c r="CI25" i="1" s="1"/>
  <c r="CJ25" i="1" s="1"/>
  <c r="CK25" i="1" s="1"/>
  <c r="CL25" i="1" s="1"/>
  <c r="CM25" i="1" s="1"/>
  <c r="CN25" i="1" s="1"/>
  <c r="CO25" i="1" s="1"/>
  <c r="L3" i="1"/>
  <c r="S27" i="1"/>
  <c r="T27" i="1" s="1"/>
  <c r="U27" i="1" s="1"/>
  <c r="V27" i="1" s="1"/>
  <c r="W27" i="1" s="1"/>
  <c r="X27" i="1" s="1"/>
  <c r="Y27" i="1" s="1"/>
  <c r="Z27" i="1" s="1"/>
  <c r="AA27" i="1" s="1"/>
  <c r="AB27" i="1" s="1"/>
  <c r="AC27" i="1" s="1"/>
  <c r="AD27" i="1" s="1"/>
  <c r="AE27" i="1" s="1"/>
  <c r="AF27" i="1" s="1"/>
  <c r="AG27" i="1" s="1"/>
  <c r="AH27" i="1" s="1"/>
  <c r="AI27" i="1" s="1"/>
  <c r="AJ27" i="1" s="1"/>
  <c r="AK27" i="1" s="1"/>
  <c r="AL27" i="1" s="1"/>
  <c r="AM27" i="1" s="1"/>
  <c r="AN27" i="1" s="1"/>
  <c r="AO27" i="1" s="1"/>
  <c r="AP27" i="1" s="1"/>
  <c r="AQ27" i="1" s="1"/>
  <c r="AR27" i="1" s="1"/>
  <c r="AS27" i="1" s="1"/>
  <c r="AT27" i="1" s="1"/>
  <c r="AU27" i="1" s="1"/>
  <c r="AV27" i="1" s="1"/>
  <c r="AW27" i="1" s="1"/>
  <c r="AX27" i="1" s="1"/>
  <c r="AY27" i="1" s="1"/>
  <c r="AZ27" i="1" s="1"/>
  <c r="BA27" i="1" s="1"/>
  <c r="BB27" i="1" s="1"/>
  <c r="BC27" i="1" s="1"/>
  <c r="BD27" i="1" s="1"/>
  <c r="BE27" i="1" s="1"/>
  <c r="BF27" i="1" s="1"/>
  <c r="BG27" i="1" s="1"/>
  <c r="BH27" i="1" s="1"/>
  <c r="BI27" i="1" s="1"/>
  <c r="BJ27" i="1" s="1"/>
  <c r="BK27" i="1" s="1"/>
  <c r="BL27" i="1" s="1"/>
  <c r="BM27" i="1" s="1"/>
  <c r="BN27" i="1" s="1"/>
  <c r="BO27" i="1" s="1"/>
  <c r="BP27" i="1" s="1"/>
  <c r="BQ27" i="1" s="1"/>
  <c r="BR27" i="1" s="1"/>
  <c r="BS27" i="1" s="1"/>
  <c r="BT27" i="1" s="1"/>
  <c r="BU27" i="1" s="1"/>
  <c r="BV27" i="1" s="1"/>
  <c r="BW27" i="1" s="1"/>
  <c r="BX27" i="1" s="1"/>
  <c r="BY27" i="1" s="1"/>
  <c r="BZ27" i="1" s="1"/>
  <c r="CA27" i="1" s="1"/>
  <c r="CB27" i="1" s="1"/>
  <c r="CC27" i="1" s="1"/>
  <c r="CD27" i="1" s="1"/>
  <c r="CE27" i="1" s="1"/>
  <c r="CF27" i="1" s="1"/>
  <c r="CG27" i="1" s="1"/>
  <c r="CH27" i="1" s="1"/>
  <c r="CI27" i="1" s="1"/>
  <c r="CJ27" i="1" s="1"/>
  <c r="CK27" i="1" s="1"/>
  <c r="CL27" i="1" s="1"/>
  <c r="CM27" i="1" s="1"/>
  <c r="CN27" i="1" s="1"/>
  <c r="CO27" i="1" s="1"/>
  <c r="CP35" i="1"/>
  <c r="CP31" i="1"/>
  <c r="CP23" i="1"/>
  <c r="CP45" i="1"/>
  <c r="CP41" i="1"/>
  <c r="CP37" i="1"/>
  <c r="CP29" i="1"/>
  <c r="CP21" i="1"/>
  <c r="J61" i="1"/>
  <c r="E79" i="1" s="1"/>
  <c r="CQ403" i="6" l="1"/>
  <c r="H18" i="5"/>
  <c r="H17" i="5" s="1"/>
  <c r="H21" i="5" s="1"/>
  <c r="I18" i="5"/>
  <c r="I20" i="5"/>
  <c r="I19" i="5"/>
  <c r="K16" i="5"/>
  <c r="J13" i="5"/>
  <c r="T3" i="5"/>
  <c r="T8" i="5" s="1"/>
  <c r="O14" i="5" s="1"/>
  <c r="AS71" i="4"/>
  <c r="AT71" i="4" s="1"/>
  <c r="AU71" i="4" s="1"/>
  <c r="AR71" i="4"/>
  <c r="G17" i="5"/>
  <c r="G21" i="5" s="1"/>
  <c r="M3" i="1"/>
  <c r="H405" i="6"/>
  <c r="G405" i="6"/>
  <c r="J404" i="6"/>
  <c r="I401" i="6"/>
  <c r="H409" i="6"/>
  <c r="V3" i="6"/>
  <c r="R57" i="6"/>
  <c r="R397" i="6" s="1"/>
  <c r="M402" i="6" s="1"/>
  <c r="H90" i="4"/>
  <c r="H94" i="4" s="1"/>
  <c r="I91" i="4"/>
  <c r="I93" i="4"/>
  <c r="I92" i="4"/>
  <c r="M91" i="4"/>
  <c r="M93" i="4"/>
  <c r="M92" i="4"/>
  <c r="K89" i="4"/>
  <c r="J86" i="4"/>
  <c r="G90" i="4"/>
  <c r="G94" i="4" s="1"/>
  <c r="O89" i="4"/>
  <c r="N86" i="4"/>
  <c r="BZ25" i="4"/>
  <c r="Y3" i="4"/>
  <c r="X82" i="4"/>
  <c r="S87" i="4" s="1"/>
  <c r="BW72" i="1"/>
  <c r="CP17" i="1"/>
  <c r="E78" i="1"/>
  <c r="C4" i="10" s="1"/>
  <c r="CP33" i="1"/>
  <c r="CP19" i="1"/>
  <c r="CP25" i="1"/>
  <c r="Y9" i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CB9" i="1" s="1"/>
  <c r="CC9" i="1" s="1"/>
  <c r="CD9" i="1" s="1"/>
  <c r="CE9" i="1" s="1"/>
  <c r="CF9" i="1" s="1"/>
  <c r="CG9" i="1" s="1"/>
  <c r="CH9" i="1" s="1"/>
  <c r="CI9" i="1" s="1"/>
  <c r="CJ9" i="1" s="1"/>
  <c r="CK9" i="1" s="1"/>
  <c r="CL9" i="1" s="1"/>
  <c r="CM9" i="1" s="1"/>
  <c r="CN9" i="1" s="1"/>
  <c r="CO9" i="1" s="1"/>
  <c r="N3" i="1"/>
  <c r="CP7" i="1"/>
  <c r="K61" i="1"/>
  <c r="CP27" i="1"/>
  <c r="CP39" i="1"/>
  <c r="E22" i="5" l="1"/>
  <c r="G409" i="6"/>
  <c r="E410" i="6" s="1"/>
  <c r="CR403" i="6"/>
  <c r="J20" i="5"/>
  <c r="J19" i="5"/>
  <c r="J18" i="5"/>
  <c r="U3" i="5"/>
  <c r="U8" i="5" s="1"/>
  <c r="P14" i="5" s="1"/>
  <c r="L16" i="5"/>
  <c r="L13" i="5" s="1"/>
  <c r="K13" i="5"/>
  <c r="I17" i="5"/>
  <c r="I21" i="5" s="1"/>
  <c r="E95" i="4"/>
  <c r="AV71" i="4"/>
  <c r="AW71" i="4"/>
  <c r="AX71" i="4" s="1"/>
  <c r="AY71" i="4" s="1"/>
  <c r="J93" i="4"/>
  <c r="J92" i="4"/>
  <c r="I406" i="6"/>
  <c r="I408" i="6"/>
  <c r="I407" i="6"/>
  <c r="K404" i="6"/>
  <c r="J401" i="6"/>
  <c r="S57" i="6"/>
  <c r="S397" i="6" s="1"/>
  <c r="N402" i="6" s="1"/>
  <c r="W3" i="6"/>
  <c r="N91" i="4"/>
  <c r="N92" i="4"/>
  <c r="N93" i="4"/>
  <c r="J91" i="4"/>
  <c r="M90" i="4"/>
  <c r="M94" i="4" s="1"/>
  <c r="I90" i="4"/>
  <c r="I94" i="4" s="1"/>
  <c r="P89" i="4"/>
  <c r="P86" i="4" s="1"/>
  <c r="O86" i="4"/>
  <c r="L89" i="4"/>
  <c r="L86" i="4" s="1"/>
  <c r="K86" i="4"/>
  <c r="CA25" i="4"/>
  <c r="Y82" i="4"/>
  <c r="T87" i="4" s="1"/>
  <c r="Z3" i="4"/>
  <c r="BX72" i="1"/>
  <c r="E85" i="1"/>
  <c r="E84" i="1"/>
  <c r="E83" i="1"/>
  <c r="CP9" i="1"/>
  <c r="L61" i="1"/>
  <c r="F79" i="1"/>
  <c r="O3" i="1"/>
  <c r="CS403" i="6" l="1"/>
  <c r="J17" i="5"/>
  <c r="J21" i="5" s="1"/>
  <c r="K20" i="5"/>
  <c r="K19" i="5"/>
  <c r="K18" i="5"/>
  <c r="V3" i="5"/>
  <c r="V8" i="5" s="1"/>
  <c r="Q14" i="5" s="1"/>
  <c r="M16" i="5"/>
  <c r="L19" i="5"/>
  <c r="L20" i="5"/>
  <c r="L18" i="5"/>
  <c r="BA71" i="4"/>
  <c r="BB71" i="4" s="1"/>
  <c r="BC71" i="4" s="1"/>
  <c r="AZ71" i="4"/>
  <c r="I405" i="6"/>
  <c r="L404" i="6"/>
  <c r="L401" i="6" s="1"/>
  <c r="K401" i="6"/>
  <c r="J408" i="6"/>
  <c r="J407" i="6"/>
  <c r="J406" i="6"/>
  <c r="I409" i="6"/>
  <c r="X3" i="6"/>
  <c r="T57" i="6"/>
  <c r="T397" i="6" s="1"/>
  <c r="O402" i="6" s="1"/>
  <c r="K92" i="4"/>
  <c r="K91" i="4"/>
  <c r="K93" i="4"/>
  <c r="O92" i="4"/>
  <c r="O91" i="4"/>
  <c r="O93" i="4"/>
  <c r="Q89" i="4"/>
  <c r="L91" i="4"/>
  <c r="L92" i="4"/>
  <c r="L93" i="4"/>
  <c r="P91" i="4"/>
  <c r="P93" i="4"/>
  <c r="P92" i="4"/>
  <c r="J90" i="4"/>
  <c r="N90" i="4"/>
  <c r="N94" i="4" s="1"/>
  <c r="CB25" i="4"/>
  <c r="AA3" i="4"/>
  <c r="Z82" i="4"/>
  <c r="U87" i="4" s="1"/>
  <c r="BY72" i="1"/>
  <c r="F78" i="1"/>
  <c r="D4" i="10" s="1"/>
  <c r="E82" i="1"/>
  <c r="C5" i="10" s="1"/>
  <c r="P3" i="1"/>
  <c r="G79" i="1"/>
  <c r="G78" i="1" s="1"/>
  <c r="E4" i="10" s="1"/>
  <c r="M61" i="1"/>
  <c r="CT403" i="6" l="1"/>
  <c r="W3" i="5"/>
  <c r="W8" i="5" s="1"/>
  <c r="R14" i="5" s="1"/>
  <c r="L17" i="5"/>
  <c r="L21" i="5" s="1"/>
  <c r="N16" i="5"/>
  <c r="M13" i="5"/>
  <c r="K17" i="5"/>
  <c r="BD71" i="4"/>
  <c r="BE71" i="4"/>
  <c r="BF71" i="4" s="1"/>
  <c r="BG71" i="4" s="1"/>
  <c r="J405" i="6"/>
  <c r="J409" i="6" s="1"/>
  <c r="L408" i="6"/>
  <c r="L406" i="6"/>
  <c r="L407" i="6"/>
  <c r="C6" i="10"/>
  <c r="K406" i="6"/>
  <c r="K408" i="6"/>
  <c r="K407" i="6"/>
  <c r="U57" i="6"/>
  <c r="U397" i="6" s="1"/>
  <c r="P402" i="6" s="1"/>
  <c r="M404" i="6" s="1"/>
  <c r="Y3" i="6"/>
  <c r="O90" i="4"/>
  <c r="O94" i="4" s="1"/>
  <c r="J94" i="4"/>
  <c r="P90" i="4"/>
  <c r="P94" i="4" s="1"/>
  <c r="L90" i="4"/>
  <c r="L94" i="4" s="1"/>
  <c r="R89" i="4"/>
  <c r="Q86" i="4"/>
  <c r="K90" i="4"/>
  <c r="K94" i="4" s="1"/>
  <c r="CC25" i="4"/>
  <c r="AB3" i="4"/>
  <c r="AA82" i="4"/>
  <c r="V87" i="4" s="1"/>
  <c r="BZ72" i="1"/>
  <c r="G85" i="1"/>
  <c r="G84" i="1"/>
  <c r="G83" i="1"/>
  <c r="E86" i="1"/>
  <c r="C11" i="10" s="1"/>
  <c r="F85" i="1"/>
  <c r="F84" i="1"/>
  <c r="F83" i="1"/>
  <c r="Q3" i="1"/>
  <c r="N61" i="1"/>
  <c r="N73" i="1" s="1"/>
  <c r="H79" i="1"/>
  <c r="H78" i="1" s="1"/>
  <c r="F4" i="10" s="1"/>
  <c r="C14" i="10" s="1"/>
  <c r="CU403" i="6" l="1"/>
  <c r="K21" i="5"/>
  <c r="I22" i="5" s="1"/>
  <c r="O16" i="5"/>
  <c r="N13" i="5"/>
  <c r="M18" i="5"/>
  <c r="M19" i="5"/>
  <c r="M20" i="5"/>
  <c r="X3" i="5"/>
  <c r="X8" i="5" s="1"/>
  <c r="S14" i="5" s="1"/>
  <c r="BI71" i="4"/>
  <c r="BJ71" i="4" s="1"/>
  <c r="BK71" i="4" s="1"/>
  <c r="BH71" i="4"/>
  <c r="N404" i="6"/>
  <c r="M401" i="6"/>
  <c r="K405" i="6"/>
  <c r="K409" i="6" s="1"/>
  <c r="L405" i="6"/>
  <c r="L409" i="6" s="1"/>
  <c r="Z3" i="6"/>
  <c r="V57" i="6"/>
  <c r="V397" i="6" s="1"/>
  <c r="Q402" i="6" s="1"/>
  <c r="M95" i="4"/>
  <c r="S89" i="4"/>
  <c r="R86" i="4"/>
  <c r="Q91" i="4"/>
  <c r="Q93" i="4"/>
  <c r="Q92" i="4"/>
  <c r="I95" i="4"/>
  <c r="CD25" i="4"/>
  <c r="AC3" i="4"/>
  <c r="AB82" i="4"/>
  <c r="W87" i="4" s="1"/>
  <c r="R3" i="1"/>
  <c r="CA72" i="1"/>
  <c r="G82" i="1"/>
  <c r="F82" i="1"/>
  <c r="D5" i="10" s="1"/>
  <c r="H85" i="1"/>
  <c r="H84" i="1"/>
  <c r="H83" i="1"/>
  <c r="O61" i="1"/>
  <c r="O73" i="1" s="1"/>
  <c r="I79" i="1"/>
  <c r="I78" i="1" s="1"/>
  <c r="G4" i="10" s="1"/>
  <c r="CV403" i="6" l="1"/>
  <c r="M17" i="5"/>
  <c r="N20" i="5"/>
  <c r="N19" i="5"/>
  <c r="N18" i="5"/>
  <c r="Y3" i="5"/>
  <c r="Y8" i="5" s="1"/>
  <c r="T14" i="5" s="1"/>
  <c r="P16" i="5"/>
  <c r="P13" i="5" s="1"/>
  <c r="O13" i="5"/>
  <c r="BL71" i="4"/>
  <c r="BM71" i="4"/>
  <c r="BN71" i="4" s="1"/>
  <c r="BO71" i="4" s="1"/>
  <c r="I410" i="6"/>
  <c r="M406" i="6"/>
  <c r="M408" i="6"/>
  <c r="M407" i="6"/>
  <c r="D6" i="10"/>
  <c r="G86" i="1"/>
  <c r="E11" i="10" s="1"/>
  <c r="E5" i="10"/>
  <c r="E6" i="10" s="1"/>
  <c r="O404" i="6"/>
  <c r="N401" i="6"/>
  <c r="W57" i="6"/>
  <c r="W397" i="6" s="1"/>
  <c r="R402" i="6" s="1"/>
  <c r="AA3" i="6"/>
  <c r="Q90" i="4"/>
  <c r="Q94" i="4" s="1"/>
  <c r="T89" i="4"/>
  <c r="T86" i="4" s="1"/>
  <c r="S86" i="4"/>
  <c r="R92" i="4"/>
  <c r="R91" i="4"/>
  <c r="R93" i="4"/>
  <c r="CE25" i="4"/>
  <c r="AD3" i="4"/>
  <c r="AC82" i="4"/>
  <c r="X87" i="4" s="1"/>
  <c r="U89" i="4" s="1"/>
  <c r="S3" i="1"/>
  <c r="CB72" i="1"/>
  <c r="I85" i="1"/>
  <c r="I84" i="1"/>
  <c r="I83" i="1"/>
  <c r="H82" i="1"/>
  <c r="F86" i="1"/>
  <c r="D11" i="10" s="1"/>
  <c r="P61" i="1"/>
  <c r="P73" i="1" s="1"/>
  <c r="J79" i="1"/>
  <c r="J78" i="1" s="1"/>
  <c r="H4" i="10" s="1"/>
  <c r="CW403" i="6" l="1"/>
  <c r="M21" i="5"/>
  <c r="P18" i="5"/>
  <c r="P19" i="5"/>
  <c r="P20" i="5"/>
  <c r="O18" i="5"/>
  <c r="O19" i="5"/>
  <c r="O20" i="5"/>
  <c r="Q16" i="5"/>
  <c r="Z3" i="5"/>
  <c r="Z8" i="5" s="1"/>
  <c r="U14" i="5" s="1"/>
  <c r="N17" i="5"/>
  <c r="N21" i="5" s="1"/>
  <c r="BQ71" i="4"/>
  <c r="BR71" i="4" s="1"/>
  <c r="BS71" i="4" s="1"/>
  <c r="BP71" i="4"/>
  <c r="N408" i="6"/>
  <c r="N407" i="6"/>
  <c r="N406" i="6"/>
  <c r="H86" i="1"/>
  <c r="F11" i="10" s="1"/>
  <c r="F5" i="10"/>
  <c r="F6" i="10" s="1"/>
  <c r="C7" i="10" s="1"/>
  <c r="P404" i="6"/>
  <c r="P401" i="6" s="1"/>
  <c r="O401" i="6"/>
  <c r="M405" i="6"/>
  <c r="M409" i="6" s="1"/>
  <c r="AB3" i="6"/>
  <c r="X57" i="6"/>
  <c r="X397" i="6" s="1"/>
  <c r="S402" i="6" s="1"/>
  <c r="V89" i="4"/>
  <c r="U86" i="4"/>
  <c r="T91" i="4"/>
  <c r="T92" i="4"/>
  <c r="T93" i="4"/>
  <c r="R90" i="4"/>
  <c r="R94" i="4" s="1"/>
  <c r="S92" i="4"/>
  <c r="S91" i="4"/>
  <c r="S93" i="4"/>
  <c r="CF25" i="4"/>
  <c r="AD82" i="4"/>
  <c r="Y87" i="4" s="1"/>
  <c r="AE3" i="4"/>
  <c r="T3" i="1"/>
  <c r="CC72" i="1"/>
  <c r="I82" i="1"/>
  <c r="G5" i="10" s="1"/>
  <c r="G6" i="10" s="1"/>
  <c r="J85" i="1"/>
  <c r="J84" i="1"/>
  <c r="J83" i="1"/>
  <c r="Q61" i="1"/>
  <c r="Q73" i="1" s="1"/>
  <c r="K79" i="1"/>
  <c r="K78" i="1" s="1"/>
  <c r="I4" i="10" s="1"/>
  <c r="CX403" i="6" l="1"/>
  <c r="AA3" i="5"/>
  <c r="AA8" i="5" s="1"/>
  <c r="V14" i="5" s="1"/>
  <c r="O17" i="5"/>
  <c r="R16" i="5"/>
  <c r="Q13" i="5"/>
  <c r="P17" i="5"/>
  <c r="P21" i="5" s="1"/>
  <c r="BU71" i="4"/>
  <c r="BV71" i="4" s="1"/>
  <c r="BW71" i="4" s="1"/>
  <c r="BT71" i="4"/>
  <c r="E87" i="1"/>
  <c r="P408" i="6"/>
  <c r="P406" i="6"/>
  <c r="P407" i="6"/>
  <c r="N405" i="6"/>
  <c r="N409" i="6" s="1"/>
  <c r="O406" i="6"/>
  <c r="O408" i="6"/>
  <c r="O407" i="6"/>
  <c r="Y57" i="6"/>
  <c r="Y397" i="6" s="1"/>
  <c r="T402" i="6" s="1"/>
  <c r="Q404" i="6" s="1"/>
  <c r="AC3" i="6"/>
  <c r="T90" i="4"/>
  <c r="T94" i="4" s="1"/>
  <c r="W89" i="4"/>
  <c r="V86" i="4"/>
  <c r="S90" i="4"/>
  <c r="S94" i="4" s="1"/>
  <c r="U91" i="4"/>
  <c r="U93" i="4"/>
  <c r="U92" i="4"/>
  <c r="CG25" i="4"/>
  <c r="AF3" i="4"/>
  <c r="AE82" i="4"/>
  <c r="Z87" i="4" s="1"/>
  <c r="U3" i="1"/>
  <c r="CD72" i="1"/>
  <c r="J82" i="1"/>
  <c r="K85" i="1"/>
  <c r="K83" i="1"/>
  <c r="K84" i="1"/>
  <c r="I86" i="1"/>
  <c r="G11" i="10" s="1"/>
  <c r="R61" i="1"/>
  <c r="R73" i="1" s="1"/>
  <c r="L79" i="1"/>
  <c r="L78" i="1" s="1"/>
  <c r="J4" i="10" s="1"/>
  <c r="G14" i="10" s="1"/>
  <c r="CY403" i="6" l="1"/>
  <c r="O21" i="5"/>
  <c r="M22" i="5" s="1"/>
  <c r="Q18" i="5"/>
  <c r="Q20" i="5"/>
  <c r="Q19" i="5"/>
  <c r="AB3" i="5"/>
  <c r="AB8" i="5" s="1"/>
  <c r="W14" i="5" s="1"/>
  <c r="S16" i="5"/>
  <c r="R13" i="5"/>
  <c r="BY71" i="4"/>
  <c r="BZ71" i="4" s="1"/>
  <c r="CA71" i="4" s="1"/>
  <c r="BX71" i="4"/>
  <c r="R404" i="6"/>
  <c r="Q401" i="6"/>
  <c r="O405" i="6"/>
  <c r="O409" i="6" s="1"/>
  <c r="P405" i="6"/>
  <c r="P409" i="6" s="1"/>
  <c r="J86" i="1"/>
  <c r="H11" i="10" s="1"/>
  <c r="H5" i="10"/>
  <c r="AD3" i="6"/>
  <c r="Z57" i="6"/>
  <c r="Z397" i="6" s="1"/>
  <c r="U402" i="6" s="1"/>
  <c r="Q95" i="4"/>
  <c r="U90" i="4"/>
  <c r="U94" i="4" s="1"/>
  <c r="V91" i="4"/>
  <c r="V92" i="4"/>
  <c r="V93" i="4"/>
  <c r="X89" i="4"/>
  <c r="X86" i="4" s="1"/>
  <c r="W86" i="4"/>
  <c r="CH25" i="4"/>
  <c r="AF82" i="4"/>
  <c r="AA87" i="4" s="1"/>
  <c r="AG3" i="4"/>
  <c r="V3" i="1"/>
  <c r="CE72" i="1"/>
  <c r="K82" i="1"/>
  <c r="L85" i="1"/>
  <c r="L84" i="1"/>
  <c r="L83" i="1"/>
  <c r="S61" i="1"/>
  <c r="S73" i="1" s="1"/>
  <c r="M79" i="1"/>
  <c r="M78" i="1" s="1"/>
  <c r="K4" i="10" s="1"/>
  <c r="CZ403" i="6" l="1"/>
  <c r="T16" i="5"/>
  <c r="T13" i="5" s="1"/>
  <c r="S13" i="5"/>
  <c r="AC3" i="5"/>
  <c r="AC8" i="5" s="1"/>
  <c r="X14" i="5" s="1"/>
  <c r="R19" i="5"/>
  <c r="R18" i="5"/>
  <c r="R20" i="5"/>
  <c r="Q17" i="5"/>
  <c r="CB71" i="4"/>
  <c r="CC71" i="4"/>
  <c r="CD71" i="4" s="1"/>
  <c r="CE71" i="4" s="1"/>
  <c r="K86" i="1"/>
  <c r="I11" i="10" s="1"/>
  <c r="I5" i="10"/>
  <c r="I6" i="10" s="1"/>
  <c r="M410" i="6"/>
  <c r="Q406" i="6"/>
  <c r="Q408" i="6"/>
  <c r="Q407" i="6"/>
  <c r="H6" i="10"/>
  <c r="S404" i="6"/>
  <c r="R401" i="6"/>
  <c r="AA57" i="6"/>
  <c r="AA397" i="6" s="1"/>
  <c r="V402" i="6" s="1"/>
  <c r="AE3" i="6"/>
  <c r="X91" i="4"/>
  <c r="X93" i="4"/>
  <c r="X92" i="4"/>
  <c r="V90" i="4"/>
  <c r="V94" i="4" s="1"/>
  <c r="W92" i="4"/>
  <c r="W91" i="4"/>
  <c r="W93" i="4"/>
  <c r="CI25" i="4"/>
  <c r="AG82" i="4"/>
  <c r="AB87" i="4" s="1"/>
  <c r="AH3" i="4"/>
  <c r="W3" i="1"/>
  <c r="CF72" i="1"/>
  <c r="M85" i="1"/>
  <c r="M84" i="1"/>
  <c r="M83" i="1"/>
  <c r="L82" i="1"/>
  <c r="J5" i="10" s="1"/>
  <c r="J6" i="10" s="1"/>
  <c r="T61" i="1"/>
  <c r="T73" i="1" s="1"/>
  <c r="N79" i="1"/>
  <c r="N78" i="1" s="1"/>
  <c r="L4" i="10" s="1"/>
  <c r="DA403" i="6" l="1"/>
  <c r="Q21" i="5"/>
  <c r="R17" i="5"/>
  <c r="R21" i="5" s="1"/>
  <c r="S18" i="5"/>
  <c r="S19" i="5"/>
  <c r="S20" i="5"/>
  <c r="U16" i="5"/>
  <c r="AD3" i="5"/>
  <c r="AD8" i="5" s="1"/>
  <c r="Y14" i="5" s="1"/>
  <c r="T18" i="5"/>
  <c r="T19" i="5"/>
  <c r="T20" i="5"/>
  <c r="CG71" i="4"/>
  <c r="CH71" i="4" s="1"/>
  <c r="CI71" i="4" s="1"/>
  <c r="CF71" i="4"/>
  <c r="T404" i="6"/>
  <c r="T401" i="6" s="1"/>
  <c r="S401" i="6"/>
  <c r="G7" i="10"/>
  <c r="Q405" i="6"/>
  <c r="Q409" i="6" s="1"/>
  <c r="R408" i="6"/>
  <c r="R407" i="6"/>
  <c r="R406" i="6"/>
  <c r="AF3" i="6"/>
  <c r="AB57" i="6"/>
  <c r="AB397" i="6" s="1"/>
  <c r="W402" i="6" s="1"/>
  <c r="X90" i="4"/>
  <c r="X94" i="4" s="1"/>
  <c r="W90" i="4"/>
  <c r="W94" i="4" s="1"/>
  <c r="Y89" i="4"/>
  <c r="CJ25" i="4"/>
  <c r="AH82" i="4"/>
  <c r="AC87" i="4" s="1"/>
  <c r="AI3" i="4"/>
  <c r="X3" i="1"/>
  <c r="CG72" i="1"/>
  <c r="N85" i="1"/>
  <c r="N84" i="1"/>
  <c r="N83" i="1"/>
  <c r="L86" i="1"/>
  <c r="M82" i="1"/>
  <c r="U61" i="1"/>
  <c r="U73" i="1" s="1"/>
  <c r="O79" i="1"/>
  <c r="O78" i="1" s="1"/>
  <c r="M4" i="10" s="1"/>
  <c r="T17" i="5" l="1"/>
  <c r="T21" i="5" s="1"/>
  <c r="V16" i="5"/>
  <c r="U13" i="5"/>
  <c r="S17" i="5"/>
  <c r="S21" i="5" s="1"/>
  <c r="AE3" i="5"/>
  <c r="AE8" i="5" s="1"/>
  <c r="Z14" i="5" s="1"/>
  <c r="CJ71" i="4"/>
  <c r="CK71" i="4"/>
  <c r="CL71" i="4" s="1"/>
  <c r="CM71" i="4" s="1"/>
  <c r="U95" i="4"/>
  <c r="R405" i="6"/>
  <c r="R409" i="6" s="1"/>
  <c r="M86" i="1"/>
  <c r="K11" i="10" s="1"/>
  <c r="K5" i="10"/>
  <c r="K6" i="10" s="1"/>
  <c r="T408" i="6"/>
  <c r="T406" i="6"/>
  <c r="T407" i="6"/>
  <c r="I87" i="1"/>
  <c r="J11" i="10"/>
  <c r="S406" i="6"/>
  <c r="S408" i="6"/>
  <c r="S407" i="6"/>
  <c r="AC57" i="6"/>
  <c r="AC397" i="6" s="1"/>
  <c r="X402" i="6" s="1"/>
  <c r="U404" i="6" s="1"/>
  <c r="AG3" i="6"/>
  <c r="Z89" i="4"/>
  <c r="Y86" i="4"/>
  <c r="CK25" i="4"/>
  <c r="AJ3" i="4"/>
  <c r="AI82" i="4"/>
  <c r="AD87" i="4" s="1"/>
  <c r="Y3" i="1"/>
  <c r="CH72" i="1"/>
  <c r="O85" i="1"/>
  <c r="O84" i="1"/>
  <c r="O83" i="1"/>
  <c r="N82" i="1"/>
  <c r="V61" i="1"/>
  <c r="V73" i="1" s="1"/>
  <c r="P79" i="1"/>
  <c r="P78" i="1" s="1"/>
  <c r="N4" i="10" s="1"/>
  <c r="K14" i="10" s="1"/>
  <c r="Q22" i="5" l="1"/>
  <c r="W16" i="5"/>
  <c r="V13" i="5"/>
  <c r="AF3" i="5"/>
  <c r="AF8" i="5" s="1"/>
  <c r="AA14" i="5" s="1"/>
  <c r="U18" i="5"/>
  <c r="U20" i="5"/>
  <c r="U19" i="5"/>
  <c r="CO71" i="4"/>
  <c r="CP71" i="4" s="1"/>
  <c r="CQ71" i="4" s="1"/>
  <c r="CN71" i="4"/>
  <c r="V404" i="6"/>
  <c r="U401" i="6"/>
  <c r="N86" i="1"/>
  <c r="L11" i="10" s="1"/>
  <c r="L5" i="10"/>
  <c r="L6" i="10" s="1"/>
  <c r="T405" i="6"/>
  <c r="T409" i="6" s="1"/>
  <c r="S405" i="6"/>
  <c r="S409" i="6" s="1"/>
  <c r="AH3" i="6"/>
  <c r="AD57" i="6"/>
  <c r="AD397" i="6" s="1"/>
  <c r="Y402" i="6" s="1"/>
  <c r="AA89" i="4"/>
  <c r="Z86" i="4"/>
  <c r="Y91" i="4"/>
  <c r="Y93" i="4"/>
  <c r="Y92" i="4"/>
  <c r="CL25" i="4"/>
  <c r="AJ82" i="4"/>
  <c r="AE87" i="4" s="1"/>
  <c r="AK3" i="4"/>
  <c r="Z3" i="1"/>
  <c r="CI72" i="1"/>
  <c r="P85" i="1"/>
  <c r="P84" i="1"/>
  <c r="P83" i="1"/>
  <c r="O82" i="1"/>
  <c r="W61" i="1"/>
  <c r="W73" i="1" s="1"/>
  <c r="Q79" i="1"/>
  <c r="Q78" i="1" s="1"/>
  <c r="O4" i="10" s="1"/>
  <c r="U17" i="5" l="1"/>
  <c r="U21" i="5" s="1"/>
  <c r="X16" i="5"/>
  <c r="X13" i="5" s="1"/>
  <c r="W13" i="5"/>
  <c r="AG3" i="5"/>
  <c r="AG8" i="5" s="1"/>
  <c r="AB14" i="5" s="1"/>
  <c r="V19" i="5"/>
  <c r="V18" i="5"/>
  <c r="V20" i="5"/>
  <c r="CS71" i="4"/>
  <c r="CT71" i="4" s="1"/>
  <c r="CU71" i="4" s="1"/>
  <c r="CR71" i="4"/>
  <c r="O86" i="1"/>
  <c r="M11" i="10" s="1"/>
  <c r="M5" i="10"/>
  <c r="M6" i="10" s="1"/>
  <c r="Q410" i="6"/>
  <c r="U406" i="6"/>
  <c r="U408" i="6"/>
  <c r="U407" i="6"/>
  <c r="W404" i="6"/>
  <c r="V401" i="6"/>
  <c r="AE57" i="6"/>
  <c r="AE397" i="6" s="1"/>
  <c r="Z402" i="6" s="1"/>
  <c r="AI3" i="6"/>
  <c r="Y90" i="4"/>
  <c r="Y94" i="4" s="1"/>
  <c r="Z92" i="4"/>
  <c r="Z91" i="4"/>
  <c r="Z93" i="4"/>
  <c r="AB89" i="4"/>
  <c r="AB86" i="4" s="1"/>
  <c r="AA86" i="4"/>
  <c r="CM25" i="4"/>
  <c r="AL3" i="4"/>
  <c r="AK82" i="4"/>
  <c r="AF87" i="4" s="1"/>
  <c r="AA3" i="1"/>
  <c r="CJ72" i="1"/>
  <c r="Q85" i="1"/>
  <c r="Q84" i="1"/>
  <c r="Q83" i="1"/>
  <c r="P82" i="1"/>
  <c r="X61" i="1"/>
  <c r="X73" i="1" s="1"/>
  <c r="R79" i="1"/>
  <c r="R78" i="1" s="1"/>
  <c r="P4" i="10" s="1"/>
  <c r="V17" i="5" l="1"/>
  <c r="V21" i="5" s="1"/>
  <c r="AH3" i="5"/>
  <c r="AH8" i="5" s="1"/>
  <c r="AC14" i="5" s="1"/>
  <c r="Y16" i="5"/>
  <c r="W19" i="5"/>
  <c r="W18" i="5"/>
  <c r="W20" i="5"/>
  <c r="X19" i="5"/>
  <c r="X20" i="5"/>
  <c r="X18" i="5"/>
  <c r="CV71" i="4"/>
  <c r="CW71" i="4"/>
  <c r="CX71" i="4" s="1"/>
  <c r="CY71" i="4" s="1"/>
  <c r="P86" i="1"/>
  <c r="N5" i="10"/>
  <c r="N6" i="10" s="1"/>
  <c r="K7" i="10" s="1"/>
  <c r="X404" i="6"/>
  <c r="X401" i="6" s="1"/>
  <c r="W401" i="6"/>
  <c r="U405" i="6"/>
  <c r="V408" i="6"/>
  <c r="V407" i="6"/>
  <c r="V406" i="6"/>
  <c r="AJ3" i="6"/>
  <c r="AF57" i="6"/>
  <c r="AF397" i="6" s="1"/>
  <c r="AA402" i="6" s="1"/>
  <c r="AB91" i="4"/>
  <c r="AB92" i="4"/>
  <c r="AB93" i="4"/>
  <c r="AA92" i="4"/>
  <c r="AA91" i="4"/>
  <c r="AA93" i="4"/>
  <c r="AC89" i="4"/>
  <c r="Z90" i="4"/>
  <c r="Z94" i="4" s="1"/>
  <c r="CN25" i="4"/>
  <c r="AL82" i="4"/>
  <c r="AG87" i="4" s="1"/>
  <c r="AM3" i="4"/>
  <c r="AB3" i="1"/>
  <c r="CK72" i="1"/>
  <c r="R85" i="1"/>
  <c r="R84" i="1"/>
  <c r="R83" i="1"/>
  <c r="Q82" i="1"/>
  <c r="Y61" i="1"/>
  <c r="Y73" i="1" s="1"/>
  <c r="S79" i="1"/>
  <c r="S78" i="1" s="1"/>
  <c r="Q4" i="10" s="1"/>
  <c r="U409" i="6" l="1"/>
  <c r="W17" i="5"/>
  <c r="W21" i="5" s="1"/>
  <c r="X17" i="5"/>
  <c r="X21" i="5" s="1"/>
  <c r="AI3" i="5"/>
  <c r="AI8" i="5" s="1"/>
  <c r="AD14" i="5" s="1"/>
  <c r="Z16" i="5"/>
  <c r="Y13" i="5"/>
  <c r="CZ71" i="4"/>
  <c r="DA71" i="4"/>
  <c r="DB71" i="4" s="1"/>
  <c r="DC71" i="4" s="1"/>
  <c r="Q86" i="1"/>
  <c r="O11" i="10" s="1"/>
  <c r="O5" i="10"/>
  <c r="O6" i="10" s="1"/>
  <c r="V405" i="6"/>
  <c r="V409" i="6" s="1"/>
  <c r="W406" i="6"/>
  <c r="W408" i="6"/>
  <c r="W407" i="6"/>
  <c r="M87" i="1"/>
  <c r="N11" i="10"/>
  <c r="X408" i="6"/>
  <c r="X406" i="6"/>
  <c r="X407" i="6"/>
  <c r="AG57" i="6"/>
  <c r="AG397" i="6" s="1"/>
  <c r="AB402" i="6" s="1"/>
  <c r="Y404" i="6" s="1"/>
  <c r="AK3" i="6"/>
  <c r="AA90" i="4"/>
  <c r="AA94" i="4" s="1"/>
  <c r="AD89" i="4"/>
  <c r="AC86" i="4"/>
  <c r="AB90" i="4"/>
  <c r="AB94" i="4" s="1"/>
  <c r="CO25" i="4"/>
  <c r="CP25" i="4" s="1"/>
  <c r="CQ25" i="4" s="1"/>
  <c r="CR25" i="4" s="1"/>
  <c r="CS25" i="4" s="1"/>
  <c r="CT25" i="4" s="1"/>
  <c r="CU25" i="4" s="1"/>
  <c r="CV25" i="4" s="1"/>
  <c r="CW25" i="4" s="1"/>
  <c r="CX25" i="4" s="1"/>
  <c r="CY25" i="4" s="1"/>
  <c r="CZ25" i="4" s="1"/>
  <c r="DA25" i="4" s="1"/>
  <c r="DB25" i="4" s="1"/>
  <c r="DC25" i="4" s="1"/>
  <c r="DD25" i="4" s="1"/>
  <c r="DE25" i="4" s="1"/>
  <c r="DF25" i="4" s="1"/>
  <c r="DG25" i="4" s="1"/>
  <c r="DH25" i="4" s="1"/>
  <c r="DI25" i="4" s="1"/>
  <c r="DJ25" i="4" s="1"/>
  <c r="DK25" i="4" s="1"/>
  <c r="DL25" i="4" s="1"/>
  <c r="DM25" i="4" s="1"/>
  <c r="DN25" i="4" s="1"/>
  <c r="DO25" i="4" s="1"/>
  <c r="DP25" i="4" s="1"/>
  <c r="DQ25" i="4" s="1"/>
  <c r="DR25" i="4" s="1"/>
  <c r="DS25" i="4" s="1"/>
  <c r="DT25" i="4" s="1"/>
  <c r="DU25" i="4" s="1"/>
  <c r="DV25" i="4" s="1"/>
  <c r="DW25" i="4" s="1"/>
  <c r="DX25" i="4" s="1"/>
  <c r="DY25" i="4" s="1"/>
  <c r="DZ25" i="4" s="1"/>
  <c r="EA25" i="4" s="1"/>
  <c r="EB25" i="4" s="1"/>
  <c r="EC25" i="4" s="1"/>
  <c r="ED25" i="4" s="1"/>
  <c r="EE25" i="4" s="1"/>
  <c r="EF25" i="4" s="1"/>
  <c r="EG25" i="4" s="1"/>
  <c r="EH25" i="4" s="1"/>
  <c r="EI25" i="4" s="1"/>
  <c r="EJ25" i="4" s="1"/>
  <c r="EK25" i="4" s="1"/>
  <c r="EL25" i="4" s="1"/>
  <c r="EM25" i="4" s="1"/>
  <c r="EN25" i="4" s="1"/>
  <c r="EO25" i="4" s="1"/>
  <c r="EP25" i="4" s="1"/>
  <c r="EQ25" i="4" s="1"/>
  <c r="ER25" i="4" s="1"/>
  <c r="ES25" i="4" s="1"/>
  <c r="ET25" i="4" s="1"/>
  <c r="AN3" i="4"/>
  <c r="AM82" i="4"/>
  <c r="AH87" i="4" s="1"/>
  <c r="AC3" i="1"/>
  <c r="CL72" i="1"/>
  <c r="R82" i="1"/>
  <c r="S85" i="1"/>
  <c r="S83" i="1"/>
  <c r="S84" i="1"/>
  <c r="Z61" i="1"/>
  <c r="Z73" i="1" s="1"/>
  <c r="T79" i="1"/>
  <c r="T78" i="1" s="1"/>
  <c r="R4" i="10" s="1"/>
  <c r="O14" i="10" s="1"/>
  <c r="Y95" i="4" l="1"/>
  <c r="U22" i="5"/>
  <c r="AA16" i="5"/>
  <c r="Z13" i="5"/>
  <c r="AJ3" i="5"/>
  <c r="AJ8" i="5" s="1"/>
  <c r="AE14" i="5" s="1"/>
  <c r="Y18" i="5"/>
  <c r="Y20" i="5"/>
  <c r="Y19" i="5"/>
  <c r="DD71" i="4"/>
  <c r="DE71" i="4"/>
  <c r="DF71" i="4" s="1"/>
  <c r="DG71" i="4" s="1"/>
  <c r="X405" i="6"/>
  <c r="X409" i="6" s="1"/>
  <c r="Z404" i="6"/>
  <c r="Y401" i="6"/>
  <c r="R86" i="1"/>
  <c r="P11" i="10" s="1"/>
  <c r="P5" i="10"/>
  <c r="P6" i="10" s="1"/>
  <c r="W405" i="6"/>
  <c r="W409" i="6" s="1"/>
  <c r="AL3" i="6"/>
  <c r="AH57" i="6"/>
  <c r="AH397" i="6" s="1"/>
  <c r="AC402" i="6" s="1"/>
  <c r="AE89" i="4"/>
  <c r="AD86" i="4"/>
  <c r="AC91" i="4"/>
  <c r="AC93" i="4"/>
  <c r="AC92" i="4"/>
  <c r="AN82" i="4"/>
  <c r="AI87" i="4" s="1"/>
  <c r="AO3" i="4"/>
  <c r="AD3" i="1"/>
  <c r="CM72" i="1"/>
  <c r="T85" i="1"/>
  <c r="T84" i="1"/>
  <c r="T83" i="1"/>
  <c r="S82" i="1"/>
  <c r="AA61" i="1"/>
  <c r="AA73" i="1" s="1"/>
  <c r="U79" i="1"/>
  <c r="U78" i="1" s="1"/>
  <c r="S4" i="10" s="1"/>
  <c r="AK3" i="5" l="1"/>
  <c r="AK8" i="5" s="1"/>
  <c r="AF14" i="5" s="1"/>
  <c r="Z19" i="5"/>
  <c r="Z18" i="5"/>
  <c r="Z20" i="5"/>
  <c r="Y17" i="5"/>
  <c r="Y21" i="5" s="1"/>
  <c r="AB16" i="5"/>
  <c r="AB13" i="5" s="1"/>
  <c r="AA13" i="5"/>
  <c r="DH71" i="4"/>
  <c r="DI71" i="4"/>
  <c r="DJ71" i="4" s="1"/>
  <c r="DK71" i="4" s="1"/>
  <c r="U410" i="6"/>
  <c r="Y406" i="6"/>
  <c r="Y408" i="6"/>
  <c r="Y407" i="6"/>
  <c r="S86" i="1"/>
  <c r="Q11" i="10" s="1"/>
  <c r="Q5" i="10"/>
  <c r="Q6" i="10" s="1"/>
  <c r="AA404" i="6"/>
  <c r="Z401" i="6"/>
  <c r="AI57" i="6"/>
  <c r="AI397" i="6" s="1"/>
  <c r="AD402" i="6" s="1"/>
  <c r="AM3" i="6"/>
  <c r="AF89" i="4"/>
  <c r="AF86" i="4" s="1"/>
  <c r="AE86" i="4"/>
  <c r="AC90" i="4"/>
  <c r="AC94" i="4" s="1"/>
  <c r="AD91" i="4"/>
  <c r="AD92" i="4"/>
  <c r="AD93" i="4"/>
  <c r="AP3" i="4"/>
  <c r="AO82" i="4"/>
  <c r="AJ87" i="4" s="1"/>
  <c r="AE3" i="1"/>
  <c r="CN72" i="1"/>
  <c r="CO72" i="1" s="1"/>
  <c r="U85" i="1"/>
  <c r="U84" i="1"/>
  <c r="U83" i="1"/>
  <c r="T82" i="1"/>
  <c r="AB61" i="1"/>
  <c r="AB73" i="1" s="1"/>
  <c r="V79" i="1"/>
  <c r="V78" i="1" s="1"/>
  <c r="T4" i="10" s="1"/>
  <c r="AA18" i="5" l="1"/>
  <c r="AA19" i="5"/>
  <c r="AA20" i="5"/>
  <c r="AB18" i="5"/>
  <c r="AB19" i="5"/>
  <c r="AB20" i="5"/>
  <c r="Z17" i="5"/>
  <c r="Z21" i="5" s="1"/>
  <c r="AC16" i="5"/>
  <c r="AL3" i="5"/>
  <c r="AL8" i="5" s="1"/>
  <c r="AG14" i="5" s="1"/>
  <c r="DL71" i="4"/>
  <c r="DM71" i="4"/>
  <c r="DN71" i="4" s="1"/>
  <c r="DO71" i="4" s="1"/>
  <c r="T86" i="1"/>
  <c r="R5" i="10"/>
  <c r="R6" i="10" s="1"/>
  <c r="O7" i="10" s="1"/>
  <c r="Z408" i="6"/>
  <c r="Z407" i="6"/>
  <c r="Z406" i="6"/>
  <c r="AB404" i="6"/>
  <c r="AB401" i="6" s="1"/>
  <c r="AA401" i="6"/>
  <c r="Y405" i="6"/>
  <c r="AN3" i="6"/>
  <c r="AJ57" i="6"/>
  <c r="AJ397" i="6" s="1"/>
  <c r="AE402" i="6" s="1"/>
  <c r="AD90" i="4"/>
  <c r="AD94" i="4" s="1"/>
  <c r="AG89" i="4"/>
  <c r="AF91" i="4"/>
  <c r="AF93" i="4"/>
  <c r="AF92" i="4"/>
  <c r="AE92" i="4"/>
  <c r="AE91" i="4"/>
  <c r="AE93" i="4"/>
  <c r="AP82" i="4"/>
  <c r="AK87" i="4" s="1"/>
  <c r="AQ3" i="4"/>
  <c r="AF3" i="1"/>
  <c r="U82" i="1"/>
  <c r="V85" i="1"/>
  <c r="V84" i="1"/>
  <c r="V83" i="1"/>
  <c r="AC61" i="1"/>
  <c r="AC73" i="1" s="1"/>
  <c r="W79" i="1"/>
  <c r="W78" i="1" s="1"/>
  <c r="U4" i="10" s="1"/>
  <c r="Y409" i="6" l="1"/>
  <c r="AM3" i="5"/>
  <c r="AM8" i="5" s="1"/>
  <c r="AH14" i="5" s="1"/>
  <c r="AB17" i="5"/>
  <c r="AB21" i="5" s="1"/>
  <c r="AD16" i="5"/>
  <c r="AC13" i="5"/>
  <c r="AA17" i="5"/>
  <c r="AA21" i="5" s="1"/>
  <c r="DP71" i="4"/>
  <c r="DQ71" i="4"/>
  <c r="DR71" i="4" s="1"/>
  <c r="DS71" i="4" s="1"/>
  <c r="Z405" i="6"/>
  <c r="Z409" i="6" s="1"/>
  <c r="U86" i="1"/>
  <c r="S11" i="10" s="1"/>
  <c r="S5" i="10"/>
  <c r="S6" i="10" s="1"/>
  <c r="AA406" i="6"/>
  <c r="AA408" i="6"/>
  <c r="AA407" i="6"/>
  <c r="Q87" i="1"/>
  <c r="R11" i="10"/>
  <c r="AB408" i="6"/>
  <c r="AB406" i="6"/>
  <c r="AB407" i="6"/>
  <c r="AK57" i="6"/>
  <c r="AK397" i="6" s="1"/>
  <c r="AF402" i="6" s="1"/>
  <c r="AC404" i="6" s="1"/>
  <c r="AO3" i="6"/>
  <c r="AE90" i="4"/>
  <c r="AE94" i="4" s="1"/>
  <c r="AF90" i="4"/>
  <c r="AF94" i="4" s="1"/>
  <c r="AH89" i="4"/>
  <c r="AG86" i="4"/>
  <c r="AR3" i="4"/>
  <c r="AQ82" i="4"/>
  <c r="AL87" i="4" s="1"/>
  <c r="AG3" i="1"/>
  <c r="CP72" i="1"/>
  <c r="W85" i="1"/>
  <c r="W84" i="1"/>
  <c r="W83" i="1"/>
  <c r="V82" i="1"/>
  <c r="AD61" i="1"/>
  <c r="AD73" i="1" s="1"/>
  <c r="X79" i="1"/>
  <c r="X78" i="1" s="1"/>
  <c r="V4" i="10" s="1"/>
  <c r="S14" i="10" s="1"/>
  <c r="Y22" i="5" l="1"/>
  <c r="AC18" i="5"/>
  <c r="AC19" i="5"/>
  <c r="AC20" i="5"/>
  <c r="AE16" i="5"/>
  <c r="AD13" i="5"/>
  <c r="AN3" i="5"/>
  <c r="AN8" i="5" s="1"/>
  <c r="AI14" i="5" s="1"/>
  <c r="DT71" i="4"/>
  <c r="DU71" i="4"/>
  <c r="DV71" i="4" s="1"/>
  <c r="DW71" i="4" s="1"/>
  <c r="AD404" i="6"/>
  <c r="AC401" i="6"/>
  <c r="V86" i="1"/>
  <c r="T11" i="10" s="1"/>
  <c r="T5" i="10"/>
  <c r="T6" i="10" s="1"/>
  <c r="AB405" i="6"/>
  <c r="AB409" i="6" s="1"/>
  <c r="AA405" i="6"/>
  <c r="AA409" i="6" s="1"/>
  <c r="AP3" i="6"/>
  <c r="AL57" i="6"/>
  <c r="AL397" i="6" s="1"/>
  <c r="AG402" i="6" s="1"/>
  <c r="AC95" i="4"/>
  <c r="AG91" i="4"/>
  <c r="AG93" i="4"/>
  <c r="AG92" i="4"/>
  <c r="AI89" i="4"/>
  <c r="AH86" i="4"/>
  <c r="AR82" i="4"/>
  <c r="AM87" i="4" s="1"/>
  <c r="AS3" i="4"/>
  <c r="AH3" i="1"/>
  <c r="X85" i="1"/>
  <c r="X84" i="1"/>
  <c r="X83" i="1"/>
  <c r="W82" i="1"/>
  <c r="AE61" i="1"/>
  <c r="AE73" i="1" s="1"/>
  <c r="Y79" i="1"/>
  <c r="Y78" i="1" s="1"/>
  <c r="W4" i="10" s="1"/>
  <c r="AO3" i="5" l="1"/>
  <c r="AO8" i="5" s="1"/>
  <c r="AJ14" i="5" s="1"/>
  <c r="AD20" i="5"/>
  <c r="AD19" i="5"/>
  <c r="AD18" i="5"/>
  <c r="AF16" i="5"/>
  <c r="AF13" i="5" s="1"/>
  <c r="AE13" i="5"/>
  <c r="AC17" i="5"/>
  <c r="AC21" i="5" s="1"/>
  <c r="DX71" i="4"/>
  <c r="DY71" i="4"/>
  <c r="DZ71" i="4" s="1"/>
  <c r="EA71" i="4" s="1"/>
  <c r="W86" i="1"/>
  <c r="U11" i="10" s="1"/>
  <c r="U5" i="10"/>
  <c r="U6" i="10" s="1"/>
  <c r="AC406" i="6"/>
  <c r="AC408" i="6"/>
  <c r="AC407" i="6"/>
  <c r="Y410" i="6"/>
  <c r="AE404" i="6"/>
  <c r="AD401" i="6"/>
  <c r="AM57" i="6"/>
  <c r="AM397" i="6" s="1"/>
  <c r="AH402" i="6" s="1"/>
  <c r="AQ3" i="6"/>
  <c r="AH92" i="4"/>
  <c r="AH91" i="4"/>
  <c r="AH93" i="4"/>
  <c r="AJ89" i="4"/>
  <c r="AJ86" i="4" s="1"/>
  <c r="AI86" i="4"/>
  <c r="AG90" i="4"/>
  <c r="AG94" i="4" s="1"/>
  <c r="AT3" i="4"/>
  <c r="AS82" i="4"/>
  <c r="AN87" i="4" s="1"/>
  <c r="AI3" i="1"/>
  <c r="Y85" i="1"/>
  <c r="Y84" i="1"/>
  <c r="Y83" i="1"/>
  <c r="X82" i="1"/>
  <c r="AF61" i="1"/>
  <c r="AF73" i="1" s="1"/>
  <c r="Z79" i="1"/>
  <c r="Z78" i="1" s="1"/>
  <c r="X4" i="10" s="1"/>
  <c r="AE19" i="5" l="1"/>
  <c r="AE18" i="5"/>
  <c r="AE20" i="5"/>
  <c r="AF19" i="5"/>
  <c r="AF20" i="5"/>
  <c r="AF18" i="5"/>
  <c r="AD17" i="5"/>
  <c r="AD21" i="5" s="1"/>
  <c r="AP3" i="5"/>
  <c r="AP8" i="5" s="1"/>
  <c r="AK14" i="5" s="1"/>
  <c r="AG16" i="5"/>
  <c r="EB71" i="4"/>
  <c r="EC71" i="4"/>
  <c r="ED71" i="4" s="1"/>
  <c r="EE71" i="4" s="1"/>
  <c r="AF404" i="6"/>
  <c r="AF401" i="6" s="1"/>
  <c r="AE401" i="6"/>
  <c r="AC405" i="6"/>
  <c r="AC409" i="6" s="1"/>
  <c r="X86" i="1"/>
  <c r="V5" i="10"/>
  <c r="V6" i="10" s="1"/>
  <c r="AD408" i="6"/>
  <c r="AD407" i="6"/>
  <c r="AD406" i="6"/>
  <c r="S7" i="10"/>
  <c r="AR3" i="6"/>
  <c r="AN57" i="6"/>
  <c r="AN397" i="6" s="1"/>
  <c r="AI402" i="6" s="1"/>
  <c r="AH90" i="4"/>
  <c r="AH94" i="4" s="1"/>
  <c r="AJ91" i="4"/>
  <c r="AJ92" i="4"/>
  <c r="AJ93" i="4"/>
  <c r="AI92" i="4"/>
  <c r="AI91" i="4"/>
  <c r="AI93" i="4"/>
  <c r="AK89" i="4"/>
  <c r="AT82" i="4"/>
  <c r="AO87" i="4" s="1"/>
  <c r="AU3" i="4"/>
  <c r="AJ3" i="1"/>
  <c r="Y82" i="1"/>
  <c r="Z85" i="1"/>
  <c r="Z84" i="1"/>
  <c r="Z83" i="1"/>
  <c r="AG61" i="1"/>
  <c r="AG73" i="1" s="1"/>
  <c r="AA79" i="1"/>
  <c r="AA78" i="1" s="1"/>
  <c r="Y4" i="10" s="1"/>
  <c r="AF17" i="5" l="1"/>
  <c r="AF21" i="5" s="1"/>
  <c r="AE17" i="5"/>
  <c r="AE21" i="5" s="1"/>
  <c r="AQ3" i="5"/>
  <c r="AQ8" i="5" s="1"/>
  <c r="AL14" i="5" s="1"/>
  <c r="AH16" i="5"/>
  <c r="AG13" i="5"/>
  <c r="EF71" i="4"/>
  <c r="EG71" i="4"/>
  <c r="EH71" i="4" s="1"/>
  <c r="EI71" i="4" s="1"/>
  <c r="AD405" i="6"/>
  <c r="AD409" i="6" s="1"/>
  <c r="Y86" i="1"/>
  <c r="W11" i="10" s="1"/>
  <c r="W5" i="10"/>
  <c r="W6" i="10" s="1"/>
  <c r="AF408" i="6"/>
  <c r="AF406" i="6"/>
  <c r="AF407" i="6"/>
  <c r="U87" i="1"/>
  <c r="V11" i="10"/>
  <c r="AE406" i="6"/>
  <c r="AE408" i="6"/>
  <c r="AE407" i="6"/>
  <c r="AO57" i="6"/>
  <c r="AO397" i="6" s="1"/>
  <c r="AJ402" i="6" s="1"/>
  <c r="AG404" i="6" s="1"/>
  <c r="AS3" i="6"/>
  <c r="AJ90" i="4"/>
  <c r="AJ94" i="4" s="1"/>
  <c r="AL89" i="4"/>
  <c r="AK86" i="4"/>
  <c r="AI90" i="4"/>
  <c r="AI94" i="4" s="1"/>
  <c r="AV3" i="4"/>
  <c r="AU82" i="4"/>
  <c r="AP87" i="4" s="1"/>
  <c r="AK3" i="1"/>
  <c r="AA85" i="1"/>
  <c r="AA83" i="1"/>
  <c r="AA84" i="1"/>
  <c r="Z82" i="1"/>
  <c r="AH61" i="1"/>
  <c r="AH73" i="1" s="1"/>
  <c r="AB79" i="1"/>
  <c r="AB78" i="1" s="1"/>
  <c r="Z4" i="10" s="1"/>
  <c r="W14" i="10" s="1"/>
  <c r="AC22" i="5" l="1"/>
  <c r="AG18" i="5"/>
  <c r="AG20" i="5"/>
  <c r="AG19" i="5"/>
  <c r="AI16" i="5"/>
  <c r="AH13" i="5"/>
  <c r="AR3" i="5"/>
  <c r="AR8" i="5" s="1"/>
  <c r="AM14" i="5" s="1"/>
  <c r="EJ71" i="4"/>
  <c r="EK71" i="4"/>
  <c r="EL71" i="4" s="1"/>
  <c r="EM71" i="4" s="1"/>
  <c r="AF405" i="6"/>
  <c r="AF409" i="6" s="1"/>
  <c r="AH404" i="6"/>
  <c r="AG401" i="6"/>
  <c r="Z86" i="1"/>
  <c r="X11" i="10" s="1"/>
  <c r="X5" i="10"/>
  <c r="X6" i="10" s="1"/>
  <c r="AE405" i="6"/>
  <c r="AE409" i="6" s="1"/>
  <c r="AT3" i="6"/>
  <c r="AP57" i="6"/>
  <c r="AP397" i="6" s="1"/>
  <c r="AK402" i="6" s="1"/>
  <c r="AK91" i="4"/>
  <c r="AK93" i="4"/>
  <c r="AK92" i="4"/>
  <c r="AG95" i="4"/>
  <c r="AM89" i="4"/>
  <c r="AL86" i="4"/>
  <c r="AV82" i="4"/>
  <c r="AQ87" i="4" s="1"/>
  <c r="AW3" i="4"/>
  <c r="AL3" i="1"/>
  <c r="AA82" i="1"/>
  <c r="AB85" i="1"/>
  <c r="AB84" i="1"/>
  <c r="AB83" i="1"/>
  <c r="AI61" i="1"/>
  <c r="AI73" i="1" s="1"/>
  <c r="AC79" i="1"/>
  <c r="AC78" i="1" s="1"/>
  <c r="AA4" i="10" s="1"/>
  <c r="AS3" i="5" l="1"/>
  <c r="AS8" i="5" s="1"/>
  <c r="AN14" i="5" s="1"/>
  <c r="AH19" i="5"/>
  <c r="AH18" i="5"/>
  <c r="AH20" i="5"/>
  <c r="AJ16" i="5"/>
  <c r="AJ13" i="5" s="1"/>
  <c r="AI13" i="5"/>
  <c r="AG17" i="5"/>
  <c r="AG21" i="5" s="1"/>
  <c r="EN71" i="4"/>
  <c r="EO71" i="4"/>
  <c r="EP71" i="4" s="1"/>
  <c r="EQ71" i="4" s="1"/>
  <c r="AC410" i="6"/>
  <c r="AA86" i="1"/>
  <c r="Y11" i="10" s="1"/>
  <c r="Y5" i="10"/>
  <c r="Y6" i="10" s="1"/>
  <c r="AG406" i="6"/>
  <c r="AG408" i="6"/>
  <c r="AG407" i="6"/>
  <c r="AI404" i="6"/>
  <c r="AH401" i="6"/>
  <c r="AQ57" i="6"/>
  <c r="AQ397" i="6" s="1"/>
  <c r="AL402" i="6" s="1"/>
  <c r="AU3" i="6"/>
  <c r="AN89" i="4"/>
  <c r="AN86" i="4" s="1"/>
  <c r="AM86" i="4"/>
  <c r="AL91" i="4"/>
  <c r="AL92" i="4"/>
  <c r="AL93" i="4"/>
  <c r="AK90" i="4"/>
  <c r="AK94" i="4" s="1"/>
  <c r="AX3" i="4"/>
  <c r="AW82" i="4"/>
  <c r="AR87" i="4" s="1"/>
  <c r="AM3" i="1"/>
  <c r="AC85" i="1"/>
  <c r="AC84" i="1"/>
  <c r="AC83" i="1"/>
  <c r="AB82" i="1"/>
  <c r="AJ61" i="1"/>
  <c r="AJ73" i="1" s="1"/>
  <c r="AD79" i="1"/>
  <c r="AD78" i="1" s="1"/>
  <c r="AB4" i="10" s="1"/>
  <c r="ER71" i="4" l="1"/>
  <c r="ES71" i="4"/>
  <c r="ET71" i="4" s="1"/>
  <c r="AH17" i="5"/>
  <c r="AH21" i="5" s="1"/>
  <c r="AI20" i="5"/>
  <c r="AI18" i="5"/>
  <c r="AI19" i="5"/>
  <c r="AJ19" i="5"/>
  <c r="AJ20" i="5"/>
  <c r="AJ18" i="5"/>
  <c r="AT3" i="5"/>
  <c r="AT8" i="5" s="1"/>
  <c r="AO14" i="5" s="1"/>
  <c r="AK16" i="5"/>
  <c r="JE71" i="4"/>
  <c r="AH408" i="6"/>
  <c r="AH407" i="6"/>
  <c r="AH406" i="6"/>
  <c r="AB86" i="1"/>
  <c r="Z5" i="10"/>
  <c r="Z6" i="10" s="1"/>
  <c r="W7" i="10" s="1"/>
  <c r="AJ404" i="6"/>
  <c r="AJ401" i="6" s="1"/>
  <c r="AI401" i="6"/>
  <c r="AG405" i="6"/>
  <c r="AG409" i="6" s="1"/>
  <c r="AV3" i="6"/>
  <c r="AR57" i="6"/>
  <c r="AR397" i="6" s="1"/>
  <c r="AM402" i="6" s="1"/>
  <c r="AO89" i="4"/>
  <c r="AN91" i="4"/>
  <c r="AN93" i="4"/>
  <c r="AN92" i="4"/>
  <c r="AL90" i="4"/>
  <c r="AL94" i="4" s="1"/>
  <c r="AM91" i="4"/>
  <c r="AM93" i="4"/>
  <c r="AM92" i="4"/>
  <c r="AX82" i="4"/>
  <c r="AS87" i="4" s="1"/>
  <c r="AY3" i="4"/>
  <c r="AN3" i="1"/>
  <c r="AD85" i="1"/>
  <c r="AD84" i="1"/>
  <c r="AD83" i="1"/>
  <c r="AC82" i="1"/>
  <c r="AK61" i="1"/>
  <c r="AK73" i="1" s="1"/>
  <c r="AE79" i="1"/>
  <c r="AE78" i="1" s="1"/>
  <c r="AC4" i="10" s="1"/>
  <c r="AJ17" i="5" l="1"/>
  <c r="AJ21" i="5" s="1"/>
  <c r="AI17" i="5"/>
  <c r="AI21" i="5" s="1"/>
  <c r="AL16" i="5"/>
  <c r="AK13" i="5"/>
  <c r="AU3" i="5"/>
  <c r="AU8" i="5" s="1"/>
  <c r="AP14" i="5" s="1"/>
  <c r="AC86" i="1"/>
  <c r="AA11" i="10" s="1"/>
  <c r="AA5" i="10"/>
  <c r="AA6" i="10" s="1"/>
  <c r="AI406" i="6"/>
  <c r="AI408" i="6"/>
  <c r="AI407" i="6"/>
  <c r="Y87" i="1"/>
  <c r="Z11" i="10"/>
  <c r="AH405" i="6"/>
  <c r="AH409" i="6" s="1"/>
  <c r="AJ408" i="6"/>
  <c r="AJ406" i="6"/>
  <c r="AJ407" i="6"/>
  <c r="AS57" i="6"/>
  <c r="AS397" i="6" s="1"/>
  <c r="AN402" i="6" s="1"/>
  <c r="AK404" i="6" s="1"/>
  <c r="AW3" i="6"/>
  <c r="AN90" i="4"/>
  <c r="AN94" i="4" s="1"/>
  <c r="AM90" i="4"/>
  <c r="AM94" i="4" s="1"/>
  <c r="AP89" i="4"/>
  <c r="AO86" i="4"/>
  <c r="AZ3" i="4"/>
  <c r="AY82" i="4"/>
  <c r="AT87" i="4" s="1"/>
  <c r="AO3" i="1"/>
  <c r="AE85" i="1"/>
  <c r="AE84" i="1"/>
  <c r="AE83" i="1"/>
  <c r="AD82" i="1"/>
  <c r="AL61" i="1"/>
  <c r="AL73" i="1" s="1"/>
  <c r="AF79" i="1"/>
  <c r="AF78" i="1" s="1"/>
  <c r="AD4" i="10" s="1"/>
  <c r="AA14" i="10" s="1"/>
  <c r="AG22" i="5" l="1"/>
  <c r="AV3" i="5"/>
  <c r="AV8" i="5" s="1"/>
  <c r="AQ14" i="5" s="1"/>
  <c r="AK19" i="5"/>
  <c r="AK18" i="5"/>
  <c r="AK20" i="5"/>
  <c r="AM16" i="5"/>
  <c r="AL13" i="5"/>
  <c r="AL404" i="6"/>
  <c r="AK401" i="6"/>
  <c r="AD86" i="1"/>
  <c r="AB11" i="10" s="1"/>
  <c r="AB5" i="10"/>
  <c r="AB6" i="10" s="1"/>
  <c r="AI405" i="6"/>
  <c r="AI409" i="6" s="1"/>
  <c r="AJ405" i="6"/>
  <c r="AJ409" i="6" s="1"/>
  <c r="AX3" i="6"/>
  <c r="AT57" i="6"/>
  <c r="AT397" i="6" s="1"/>
  <c r="AO402" i="6" s="1"/>
  <c r="AK95" i="4"/>
  <c r="AQ89" i="4"/>
  <c r="AP86" i="4"/>
  <c r="AO91" i="4"/>
  <c r="AO93" i="4"/>
  <c r="AO92" i="4"/>
  <c r="AZ82" i="4"/>
  <c r="AU87" i="4" s="1"/>
  <c r="BA3" i="4"/>
  <c r="AP3" i="1"/>
  <c r="AF85" i="1"/>
  <c r="AF84" i="1"/>
  <c r="AF83" i="1"/>
  <c r="AE82" i="1"/>
  <c r="AM61" i="1"/>
  <c r="AM73" i="1" s="1"/>
  <c r="AG79" i="1"/>
  <c r="AG78" i="1" s="1"/>
  <c r="AE4" i="10" s="1"/>
  <c r="AK17" i="5" l="1"/>
  <c r="AK21" i="5" s="1"/>
  <c r="AN16" i="5"/>
  <c r="AN13" i="5" s="1"/>
  <c r="AM13" i="5"/>
  <c r="AL19" i="5"/>
  <c r="AL18" i="5"/>
  <c r="AL20" i="5"/>
  <c r="AW3" i="5"/>
  <c r="AW8" i="5" s="1"/>
  <c r="AR14" i="5" s="1"/>
  <c r="AG410" i="6"/>
  <c r="AK406" i="6"/>
  <c r="AK408" i="6"/>
  <c r="AK407" i="6"/>
  <c r="AE86" i="1"/>
  <c r="AC11" i="10" s="1"/>
  <c r="AC5" i="10"/>
  <c r="AC6" i="10" s="1"/>
  <c r="AM404" i="6"/>
  <c r="AL401" i="6"/>
  <c r="AU57" i="6"/>
  <c r="AU397" i="6" s="1"/>
  <c r="AP402" i="6" s="1"/>
  <c r="AY3" i="6"/>
  <c r="AR89" i="4"/>
  <c r="AR86" i="4" s="1"/>
  <c r="AQ86" i="4"/>
  <c r="AO90" i="4"/>
  <c r="AO94" i="4" s="1"/>
  <c r="AP92" i="4"/>
  <c r="AP91" i="4"/>
  <c r="AP93" i="4"/>
  <c r="BB3" i="4"/>
  <c r="BA82" i="4"/>
  <c r="AV87" i="4" s="1"/>
  <c r="AQ3" i="1"/>
  <c r="AG85" i="1"/>
  <c r="AG84" i="1"/>
  <c r="AG83" i="1"/>
  <c r="AF82" i="1"/>
  <c r="AN61" i="1"/>
  <c r="AN73" i="1" s="1"/>
  <c r="AH79" i="1"/>
  <c r="AH78" i="1" s="1"/>
  <c r="AF4" i="10" s="1"/>
  <c r="AL17" i="5" l="1"/>
  <c r="AL21" i="5" s="1"/>
  <c r="AM18" i="5"/>
  <c r="AM20" i="5"/>
  <c r="AM19" i="5"/>
  <c r="AO16" i="5"/>
  <c r="AX3" i="5"/>
  <c r="AX8" i="5" s="1"/>
  <c r="AS14" i="5" s="1"/>
  <c r="AN18" i="5"/>
  <c r="AN19" i="5"/>
  <c r="AN20" i="5"/>
  <c r="AF86" i="1"/>
  <c r="AD5" i="10"/>
  <c r="AD6" i="10" s="1"/>
  <c r="AA7" i="10" s="1"/>
  <c r="AN404" i="6"/>
  <c r="AN401" i="6" s="1"/>
  <c r="AM401" i="6"/>
  <c r="AL408" i="6"/>
  <c r="AL407" i="6"/>
  <c r="AL406" i="6"/>
  <c r="AK405" i="6"/>
  <c r="AK409" i="6" s="1"/>
  <c r="AZ3" i="6"/>
  <c r="AV57" i="6"/>
  <c r="AV397" i="6" s="1"/>
  <c r="AQ402" i="6" s="1"/>
  <c r="AS89" i="4"/>
  <c r="AR91" i="4"/>
  <c r="AR92" i="4"/>
  <c r="AR93" i="4"/>
  <c r="AP90" i="4"/>
  <c r="AP94" i="4" s="1"/>
  <c r="AQ92" i="4"/>
  <c r="AQ91" i="4"/>
  <c r="AQ93" i="4"/>
  <c r="BB82" i="4"/>
  <c r="AW87" i="4" s="1"/>
  <c r="BC3" i="4"/>
  <c r="AR3" i="1"/>
  <c r="AH84" i="1"/>
  <c r="AH85" i="1"/>
  <c r="AH83" i="1"/>
  <c r="AG82" i="1"/>
  <c r="AO61" i="1"/>
  <c r="AO73" i="1" s="1"/>
  <c r="AI79" i="1"/>
  <c r="AI78" i="1" s="1"/>
  <c r="AG4" i="10" s="1"/>
  <c r="AP16" i="5" l="1"/>
  <c r="AO13" i="5"/>
  <c r="AN17" i="5"/>
  <c r="AN21" i="5" s="1"/>
  <c r="AY3" i="5"/>
  <c r="AY8" i="5" s="1"/>
  <c r="AT14" i="5" s="1"/>
  <c r="AM17" i="5"/>
  <c r="AM21" i="5" s="1"/>
  <c r="AL405" i="6"/>
  <c r="AL409" i="6" s="1"/>
  <c r="AN408" i="6"/>
  <c r="AN406" i="6"/>
  <c r="AN407" i="6"/>
  <c r="AC87" i="1"/>
  <c r="AD11" i="10"/>
  <c r="AG86" i="1"/>
  <c r="AE11" i="10" s="1"/>
  <c r="AE5" i="10"/>
  <c r="AE6" i="10" s="1"/>
  <c r="AM406" i="6"/>
  <c r="AM408" i="6"/>
  <c r="AM407" i="6"/>
  <c r="AW57" i="6"/>
  <c r="AW397" i="6" s="1"/>
  <c r="AR402" i="6" s="1"/>
  <c r="AO404" i="6" s="1"/>
  <c r="BA3" i="6"/>
  <c r="AQ90" i="4"/>
  <c r="AQ94" i="4" s="1"/>
  <c r="AR90" i="4"/>
  <c r="AR94" i="4" s="1"/>
  <c r="AT89" i="4"/>
  <c r="AS86" i="4"/>
  <c r="BD3" i="4"/>
  <c r="BC82" i="4"/>
  <c r="AX87" i="4" s="1"/>
  <c r="AS3" i="1"/>
  <c r="AI85" i="1"/>
  <c r="AI83" i="1"/>
  <c r="AI84" i="1"/>
  <c r="AH82" i="1"/>
  <c r="AP61" i="1"/>
  <c r="AP73" i="1" s="1"/>
  <c r="AJ79" i="1"/>
  <c r="AJ78" i="1" s="1"/>
  <c r="AH4" i="10" s="1"/>
  <c r="AE14" i="10" s="1"/>
  <c r="AK22" i="5" l="1"/>
  <c r="AO19" i="5"/>
  <c r="AO18" i="5"/>
  <c r="AO20" i="5"/>
  <c r="AZ3" i="5"/>
  <c r="AZ8" i="5" s="1"/>
  <c r="AU14" i="5" s="1"/>
  <c r="AQ16" i="5"/>
  <c r="AP13" i="5"/>
  <c r="AP404" i="6"/>
  <c r="AO401" i="6"/>
  <c r="AH86" i="1"/>
  <c r="AF11" i="10" s="1"/>
  <c r="AF5" i="10"/>
  <c r="AF6" i="10" s="1"/>
  <c r="AM405" i="6"/>
  <c r="AM409" i="6" s="1"/>
  <c r="AN405" i="6"/>
  <c r="AN409" i="6" s="1"/>
  <c r="BB3" i="6"/>
  <c r="AX57" i="6"/>
  <c r="AX397" i="6" s="1"/>
  <c r="AS402" i="6" s="1"/>
  <c r="AO95" i="4"/>
  <c r="AS91" i="4"/>
  <c r="AS93" i="4"/>
  <c r="AS92" i="4"/>
  <c r="AU89" i="4"/>
  <c r="AT86" i="4"/>
  <c r="BD82" i="4"/>
  <c r="AY87" i="4" s="1"/>
  <c r="BE3" i="4"/>
  <c r="AT3" i="1"/>
  <c r="AJ84" i="1"/>
  <c r="AJ83" i="1"/>
  <c r="AJ85" i="1"/>
  <c r="AI82" i="1"/>
  <c r="AQ61" i="1"/>
  <c r="AQ73" i="1" s="1"/>
  <c r="AK79" i="1"/>
  <c r="AK78" i="1" s="1"/>
  <c r="AI4" i="10" s="1"/>
  <c r="AP20" i="5" l="1"/>
  <c r="AP19" i="5"/>
  <c r="AP18" i="5"/>
  <c r="BA3" i="5"/>
  <c r="BA8" i="5" s="1"/>
  <c r="AV14" i="5" s="1"/>
  <c r="AR16" i="5"/>
  <c r="AQ13" i="5"/>
  <c r="AO17" i="5"/>
  <c r="AO21" i="5" s="1"/>
  <c r="AI86" i="1"/>
  <c r="AG11" i="10" s="1"/>
  <c r="AG5" i="10"/>
  <c r="AG6" i="10" s="1"/>
  <c r="AO406" i="6"/>
  <c r="AO408" i="6"/>
  <c r="AO407" i="6"/>
  <c r="AK410" i="6"/>
  <c r="AQ404" i="6"/>
  <c r="AP401" i="6"/>
  <c r="AY57" i="6"/>
  <c r="AY397" i="6" s="1"/>
  <c r="AT402" i="6" s="1"/>
  <c r="BC3" i="6"/>
  <c r="AT91" i="4"/>
  <c r="AT92" i="4"/>
  <c r="AT93" i="4"/>
  <c r="AV89" i="4"/>
  <c r="AV86" i="4" s="1"/>
  <c r="AU86" i="4"/>
  <c r="AS90" i="4"/>
  <c r="AS94" i="4" s="1"/>
  <c r="BF3" i="4"/>
  <c r="BF82" i="4" s="1"/>
  <c r="BE82" i="4"/>
  <c r="AZ87" i="4" s="1"/>
  <c r="AU3" i="1"/>
  <c r="AJ82" i="1"/>
  <c r="AK85" i="1"/>
  <c r="AK84" i="1"/>
  <c r="AK83" i="1"/>
  <c r="AR61" i="1"/>
  <c r="AR73" i="1" s="1"/>
  <c r="AL79" i="1"/>
  <c r="AL78" i="1" s="1"/>
  <c r="AJ4" i="10" s="1"/>
  <c r="AQ20" i="5" l="1"/>
  <c r="AQ18" i="5"/>
  <c r="AQ19" i="5"/>
  <c r="AR13" i="5"/>
  <c r="AS16" i="5"/>
  <c r="BB3" i="5"/>
  <c r="BB8" i="5" s="1"/>
  <c r="AW14" i="5" s="1"/>
  <c r="AP17" i="5"/>
  <c r="AJ86" i="1"/>
  <c r="AH5" i="10"/>
  <c r="AH6" i="10" s="1"/>
  <c r="AE7" i="10" s="1"/>
  <c r="AR404" i="6"/>
  <c r="AR401" i="6" s="1"/>
  <c r="AQ401" i="6"/>
  <c r="AP408" i="6"/>
  <c r="AP407" i="6"/>
  <c r="AP406" i="6"/>
  <c r="AO405" i="6"/>
  <c r="AO409" i="6" s="1"/>
  <c r="BD3" i="6"/>
  <c r="AZ57" i="6"/>
  <c r="AZ397" i="6" s="1"/>
  <c r="AU402" i="6" s="1"/>
  <c r="AV91" i="4"/>
  <c r="AV93" i="4"/>
  <c r="AV92" i="4"/>
  <c r="AU92" i="4"/>
  <c r="AU91" i="4"/>
  <c r="AU93" i="4"/>
  <c r="AW89" i="4"/>
  <c r="AT90" i="4"/>
  <c r="AT94" i="4" s="1"/>
  <c r="BA87" i="4"/>
  <c r="BG3" i="4"/>
  <c r="BG82" i="4" s="1"/>
  <c r="AV3" i="1"/>
  <c r="AL84" i="1"/>
  <c r="AL85" i="1"/>
  <c r="AL83" i="1"/>
  <c r="AK82" i="1"/>
  <c r="AS61" i="1"/>
  <c r="AS73" i="1" s="1"/>
  <c r="AM79" i="1"/>
  <c r="AM78" i="1" s="1"/>
  <c r="AK4" i="10" s="1"/>
  <c r="AT16" i="5" l="1"/>
  <c r="AS13" i="5"/>
  <c r="AR19" i="5"/>
  <c r="AR20" i="5"/>
  <c r="AR18" i="5"/>
  <c r="AP21" i="5"/>
  <c r="BC3" i="5"/>
  <c r="BC8" i="5" s="1"/>
  <c r="AX14" i="5" s="1"/>
  <c r="AQ17" i="5"/>
  <c r="AQ21" i="5" s="1"/>
  <c r="AK86" i="1"/>
  <c r="AI11" i="10" s="1"/>
  <c r="AI5" i="10"/>
  <c r="AI6" i="10" s="1"/>
  <c r="AP405" i="6"/>
  <c r="AP409" i="6" s="1"/>
  <c r="AR408" i="6"/>
  <c r="AR406" i="6"/>
  <c r="AR407" i="6"/>
  <c r="AQ406" i="6"/>
  <c r="AQ408" i="6"/>
  <c r="AQ407" i="6"/>
  <c r="AG87" i="1"/>
  <c r="AH11" i="10"/>
  <c r="BA57" i="6"/>
  <c r="BA397" i="6" s="1"/>
  <c r="AV402" i="6" s="1"/>
  <c r="AS404" i="6" s="1"/>
  <c r="BE3" i="6"/>
  <c r="AX89" i="4"/>
  <c r="AW86" i="4"/>
  <c r="AU90" i="4"/>
  <c r="AU94" i="4" s="1"/>
  <c r="AV90" i="4"/>
  <c r="AV94" i="4" s="1"/>
  <c r="BH3" i="4"/>
  <c r="BH82" i="4" s="1"/>
  <c r="BB87" i="4"/>
  <c r="AW3" i="1"/>
  <c r="AM85" i="1"/>
  <c r="AM84" i="1"/>
  <c r="AM83" i="1"/>
  <c r="AL82" i="1"/>
  <c r="AT61" i="1"/>
  <c r="AT73" i="1" s="1"/>
  <c r="AN79" i="1"/>
  <c r="AN78" i="1" s="1"/>
  <c r="AL4" i="10" s="1"/>
  <c r="AI14" i="10" s="1"/>
  <c r="BD3" i="5" l="1"/>
  <c r="BD8" i="5" s="1"/>
  <c r="AY14" i="5" s="1"/>
  <c r="AS18" i="5"/>
  <c r="AS20" i="5"/>
  <c r="AS19" i="5"/>
  <c r="AR17" i="5"/>
  <c r="AR21" i="5" s="1"/>
  <c r="AU16" i="5"/>
  <c r="AT13" i="5"/>
  <c r="AT404" i="6"/>
  <c r="AS401" i="6"/>
  <c r="AQ405" i="6"/>
  <c r="AQ409" i="6" s="1"/>
  <c r="AL86" i="1"/>
  <c r="AJ11" i="10" s="1"/>
  <c r="AJ5" i="10"/>
  <c r="AJ6" i="10" s="1"/>
  <c r="AR405" i="6"/>
  <c r="AR409" i="6" s="1"/>
  <c r="BF3" i="6"/>
  <c r="BB57" i="6"/>
  <c r="BB397" i="6" s="1"/>
  <c r="AW402" i="6" s="1"/>
  <c r="AS95" i="4"/>
  <c r="AY89" i="4"/>
  <c r="AX86" i="4"/>
  <c r="AW91" i="4"/>
  <c r="AW93" i="4"/>
  <c r="AW92" i="4"/>
  <c r="BC87" i="4"/>
  <c r="BI3" i="4"/>
  <c r="BI82" i="4" s="1"/>
  <c r="AX3" i="1"/>
  <c r="AN84" i="1"/>
  <c r="AN83" i="1"/>
  <c r="AN85" i="1"/>
  <c r="AM82" i="1"/>
  <c r="AU61" i="1"/>
  <c r="AU73" i="1" s="1"/>
  <c r="AO79" i="1"/>
  <c r="AO78" i="1" s="1"/>
  <c r="AM4" i="10" s="1"/>
  <c r="AT19" i="5" l="1"/>
  <c r="AT18" i="5"/>
  <c r="AT20" i="5"/>
  <c r="AS17" i="5"/>
  <c r="AS21" i="5" s="1"/>
  <c r="AO22" i="5"/>
  <c r="AV16" i="5"/>
  <c r="AV13" i="5" s="1"/>
  <c r="AU13" i="5"/>
  <c r="BE3" i="5"/>
  <c r="BE8" i="5" s="1"/>
  <c r="AZ14" i="5" s="1"/>
  <c r="AM86" i="1"/>
  <c r="AK11" i="10" s="1"/>
  <c r="AK5" i="10"/>
  <c r="AK6" i="10" s="1"/>
  <c r="AO410" i="6"/>
  <c r="AS406" i="6"/>
  <c r="AS408" i="6"/>
  <c r="AS407" i="6"/>
  <c r="AU404" i="6"/>
  <c r="AT401" i="6"/>
  <c r="BC57" i="6"/>
  <c r="BC397" i="6" s="1"/>
  <c r="AX402" i="6" s="1"/>
  <c r="BG3" i="6"/>
  <c r="AW90" i="4"/>
  <c r="AW94" i="4" s="1"/>
  <c r="AX92" i="4"/>
  <c r="AX91" i="4"/>
  <c r="AX93" i="4"/>
  <c r="AN82" i="1"/>
  <c r="AZ89" i="4"/>
  <c r="AZ86" i="4" s="1"/>
  <c r="AY86" i="4"/>
  <c r="BJ3" i="4"/>
  <c r="BJ82" i="4" s="1"/>
  <c r="BD87" i="4"/>
  <c r="AY3" i="1"/>
  <c r="AO85" i="1"/>
  <c r="AO84" i="1"/>
  <c r="AO83" i="1"/>
  <c r="AV61" i="1"/>
  <c r="AV73" i="1" s="1"/>
  <c r="AP79" i="1"/>
  <c r="AP78" i="1" s="1"/>
  <c r="AN4" i="10" s="1"/>
  <c r="AV18" i="5" l="1"/>
  <c r="AV19" i="5"/>
  <c r="AV20" i="5"/>
  <c r="AW16" i="5"/>
  <c r="BF3" i="5"/>
  <c r="BF8" i="5" s="1"/>
  <c r="BA14" i="5" s="1"/>
  <c r="AU18" i="5"/>
  <c r="AU20" i="5"/>
  <c r="AU19" i="5"/>
  <c r="AT17" i="5"/>
  <c r="AN86" i="1"/>
  <c r="AL5" i="10"/>
  <c r="AL6" i="10" s="1"/>
  <c r="AI7" i="10" s="1"/>
  <c r="AT408" i="6"/>
  <c r="AT407" i="6"/>
  <c r="AT406" i="6"/>
  <c r="AV404" i="6"/>
  <c r="AV401" i="6" s="1"/>
  <c r="AU401" i="6"/>
  <c r="AS405" i="6"/>
  <c r="AS409" i="6" s="1"/>
  <c r="BH3" i="6"/>
  <c r="BD57" i="6"/>
  <c r="BD397" i="6" s="1"/>
  <c r="AY402" i="6" s="1"/>
  <c r="AY92" i="4"/>
  <c r="AY91" i="4"/>
  <c r="AY93" i="4"/>
  <c r="BA89" i="4"/>
  <c r="AZ91" i="4"/>
  <c r="AZ92" i="4"/>
  <c r="AZ93" i="4"/>
  <c r="AX90" i="4"/>
  <c r="AX94" i="4" s="1"/>
  <c r="BE87" i="4"/>
  <c r="BK3" i="4"/>
  <c r="BK82" i="4" s="1"/>
  <c r="AZ3" i="1"/>
  <c r="AP84" i="1"/>
  <c r="AP85" i="1"/>
  <c r="AP83" i="1"/>
  <c r="AO82" i="1"/>
  <c r="AW61" i="1"/>
  <c r="AW73" i="1" s="1"/>
  <c r="AQ79" i="1"/>
  <c r="AQ78" i="1" s="1"/>
  <c r="AO4" i="10" s="1"/>
  <c r="AT21" i="5" l="1"/>
  <c r="BG3" i="5"/>
  <c r="BG8" i="5" s="1"/>
  <c r="BB14" i="5" s="1"/>
  <c r="AV17" i="5"/>
  <c r="AV21" i="5" s="1"/>
  <c r="AU17" i="5"/>
  <c r="AU21" i="5" s="1"/>
  <c r="AX16" i="5"/>
  <c r="AW13" i="5"/>
  <c r="AV408" i="6"/>
  <c r="AV406" i="6"/>
  <c r="AV407" i="6"/>
  <c r="AT405" i="6"/>
  <c r="AT409" i="6" s="1"/>
  <c r="AK87" i="1"/>
  <c r="AL11" i="10"/>
  <c r="AO86" i="1"/>
  <c r="AM11" i="10" s="1"/>
  <c r="AM5" i="10"/>
  <c r="AM6" i="10" s="1"/>
  <c r="AU406" i="6"/>
  <c r="AU408" i="6"/>
  <c r="AU407" i="6"/>
  <c r="BE57" i="6"/>
  <c r="BE397" i="6" s="1"/>
  <c r="AZ402" i="6" s="1"/>
  <c r="AW404" i="6" s="1"/>
  <c r="BI3" i="6"/>
  <c r="AZ90" i="4"/>
  <c r="AZ94" i="4" s="1"/>
  <c r="BB89" i="4"/>
  <c r="BA86" i="4"/>
  <c r="AY90" i="4"/>
  <c r="AY94" i="4" s="1"/>
  <c r="BL3" i="4"/>
  <c r="BL82" i="4" s="1"/>
  <c r="BF87" i="4"/>
  <c r="BA3" i="1"/>
  <c r="AQ85" i="1"/>
  <c r="AQ83" i="1"/>
  <c r="AQ84" i="1"/>
  <c r="AP82" i="1"/>
  <c r="AX61" i="1"/>
  <c r="AX73" i="1" s="1"/>
  <c r="AR79" i="1"/>
  <c r="AR78" i="1" s="1"/>
  <c r="AP4" i="10" s="1"/>
  <c r="AM14" i="10" s="1"/>
  <c r="AY16" i="5" l="1"/>
  <c r="AX13" i="5"/>
  <c r="AW19" i="5"/>
  <c r="AW20" i="5"/>
  <c r="AW18" i="5"/>
  <c r="BH3" i="5"/>
  <c r="BH8" i="5" s="1"/>
  <c r="BC14" i="5" s="1"/>
  <c r="AS22" i="5"/>
  <c r="AV405" i="6"/>
  <c r="AV409" i="6" s="1"/>
  <c r="AX404" i="6"/>
  <c r="AW401" i="6"/>
  <c r="AP86" i="1"/>
  <c r="AN11" i="10" s="1"/>
  <c r="AN5" i="10"/>
  <c r="AN6" i="10" s="1"/>
  <c r="AU405" i="6"/>
  <c r="AU409" i="6" s="1"/>
  <c r="BJ3" i="6"/>
  <c r="BF57" i="6"/>
  <c r="BF397" i="6" s="1"/>
  <c r="BA402" i="6" s="1"/>
  <c r="AW95" i="4"/>
  <c r="BC89" i="4"/>
  <c r="BB86" i="4"/>
  <c r="BA91" i="4"/>
  <c r="BA93" i="4"/>
  <c r="BA92" i="4"/>
  <c r="BG87" i="4"/>
  <c r="BM3" i="4"/>
  <c r="BM82" i="4" s="1"/>
  <c r="BB3" i="1"/>
  <c r="AQ82" i="1"/>
  <c r="AR84" i="1"/>
  <c r="AR83" i="1"/>
  <c r="AR85" i="1"/>
  <c r="AY61" i="1"/>
  <c r="AY73" i="1" s="1"/>
  <c r="AS79" i="1"/>
  <c r="AS78" i="1" s="1"/>
  <c r="AQ4" i="10" s="1"/>
  <c r="BI3" i="5" l="1"/>
  <c r="BI8" i="5" s="1"/>
  <c r="BD14" i="5" s="1"/>
  <c r="AX20" i="5"/>
  <c r="AX19" i="5"/>
  <c r="AX18" i="5"/>
  <c r="AW17" i="5"/>
  <c r="AZ16" i="5"/>
  <c r="AZ13" i="5" s="1"/>
  <c r="AY13" i="5"/>
  <c r="AS410" i="6"/>
  <c r="AQ86" i="1"/>
  <c r="AO11" i="10" s="1"/>
  <c r="AO5" i="10"/>
  <c r="AO6" i="10" s="1"/>
  <c r="AW406" i="6"/>
  <c r="AW408" i="6"/>
  <c r="AW407" i="6"/>
  <c r="AY404" i="6"/>
  <c r="AX401" i="6"/>
  <c r="BG57" i="6"/>
  <c r="BG397" i="6" s="1"/>
  <c r="BB402" i="6" s="1"/>
  <c r="BK3" i="6"/>
  <c r="BD89" i="4"/>
  <c r="BD86" i="4" s="1"/>
  <c r="BC86" i="4"/>
  <c r="BA90" i="4"/>
  <c r="BA94" i="4" s="1"/>
  <c r="BB91" i="4"/>
  <c r="BB92" i="4"/>
  <c r="BB93" i="4"/>
  <c r="BN3" i="4"/>
  <c r="BN82" i="4" s="1"/>
  <c r="BH87" i="4"/>
  <c r="BC3" i="1"/>
  <c r="AR82" i="1"/>
  <c r="AS85" i="1"/>
  <c r="AS84" i="1"/>
  <c r="AS83" i="1"/>
  <c r="AZ61" i="1"/>
  <c r="AZ73" i="1" s="1"/>
  <c r="AT79" i="1"/>
  <c r="AT78" i="1" s="1"/>
  <c r="AR4" i="10" s="1"/>
  <c r="AY18" i="5" l="1"/>
  <c r="AY19" i="5"/>
  <c r="AY20" i="5"/>
  <c r="BJ3" i="5"/>
  <c r="BJ8" i="5" s="1"/>
  <c r="BE14" i="5" s="1"/>
  <c r="BA16" i="5"/>
  <c r="AZ18" i="5"/>
  <c r="AZ19" i="5"/>
  <c r="AZ20" i="5"/>
  <c r="AW21" i="5"/>
  <c r="AX17" i="5"/>
  <c r="AX21" i="5" s="1"/>
  <c r="AR86" i="1"/>
  <c r="AP5" i="10"/>
  <c r="AP6" i="10" s="1"/>
  <c r="AM7" i="10" s="1"/>
  <c r="AX408" i="6"/>
  <c r="AX407" i="6"/>
  <c r="AX406" i="6"/>
  <c r="AW405" i="6"/>
  <c r="AW409" i="6" s="1"/>
  <c r="AZ404" i="6"/>
  <c r="AZ401" i="6" s="1"/>
  <c r="AY401" i="6"/>
  <c r="BL3" i="6"/>
  <c r="BH57" i="6"/>
  <c r="BH397" i="6" s="1"/>
  <c r="BC402" i="6" s="1"/>
  <c r="BB90" i="4"/>
  <c r="BB94" i="4" s="1"/>
  <c r="BC92" i="4"/>
  <c r="BC91" i="4"/>
  <c r="BC93" i="4"/>
  <c r="BE89" i="4"/>
  <c r="BD91" i="4"/>
  <c r="BD93" i="4"/>
  <c r="BD92" i="4"/>
  <c r="BI87" i="4"/>
  <c r="BO3" i="4"/>
  <c r="BO82" i="4" s="1"/>
  <c r="BD3" i="1"/>
  <c r="AT84" i="1"/>
  <c r="AT85" i="1"/>
  <c r="AT83" i="1"/>
  <c r="AS82" i="1"/>
  <c r="BA61" i="1"/>
  <c r="BA73" i="1" s="1"/>
  <c r="AU79" i="1"/>
  <c r="AU78" i="1" s="1"/>
  <c r="AS4" i="10" s="1"/>
  <c r="AZ17" i="5" l="1"/>
  <c r="AZ21" i="5" s="1"/>
  <c r="BK3" i="5"/>
  <c r="BK8" i="5" s="1"/>
  <c r="BF14" i="5" s="1"/>
  <c r="BA13" i="5"/>
  <c r="BB16" i="5"/>
  <c r="AY17" i="5"/>
  <c r="AY21" i="5" s="1"/>
  <c r="AS86" i="1"/>
  <c r="AQ11" i="10" s="1"/>
  <c r="AQ5" i="10"/>
  <c r="AQ6" i="10" s="1"/>
  <c r="AZ408" i="6"/>
  <c r="AZ406" i="6"/>
  <c r="AZ407" i="6"/>
  <c r="AX405" i="6"/>
  <c r="AX409" i="6" s="1"/>
  <c r="AY406" i="6"/>
  <c r="AY408" i="6"/>
  <c r="AY407" i="6"/>
  <c r="AO87" i="1"/>
  <c r="AP11" i="10"/>
  <c r="BI57" i="6"/>
  <c r="BI397" i="6" s="1"/>
  <c r="BD402" i="6" s="1"/>
  <c r="BA404" i="6" s="1"/>
  <c r="BM3" i="6"/>
  <c r="BC90" i="4"/>
  <c r="BC94" i="4" s="1"/>
  <c r="BF89" i="4"/>
  <c r="BE86" i="4"/>
  <c r="BD90" i="4"/>
  <c r="BD94" i="4" s="1"/>
  <c r="BP3" i="4"/>
  <c r="BP82" i="4" s="1"/>
  <c r="BJ87" i="4"/>
  <c r="BE3" i="1"/>
  <c r="AU85" i="1"/>
  <c r="AU84" i="1"/>
  <c r="AU83" i="1"/>
  <c r="AT82" i="1"/>
  <c r="BB61" i="1"/>
  <c r="BB73" i="1" s="1"/>
  <c r="AV79" i="1"/>
  <c r="AV78" i="1" s="1"/>
  <c r="AT4" i="10" s="1"/>
  <c r="AQ14" i="10" s="1"/>
  <c r="AW22" i="5" l="1"/>
  <c r="BC16" i="5"/>
  <c r="BB13" i="5"/>
  <c r="BL3" i="5"/>
  <c r="BL8" i="5" s="1"/>
  <c r="BG14" i="5" s="1"/>
  <c r="BA18" i="5"/>
  <c r="BA19" i="5"/>
  <c r="BA20" i="5"/>
  <c r="BB404" i="6"/>
  <c r="BA401" i="6"/>
  <c r="AT86" i="1"/>
  <c r="AR11" i="10" s="1"/>
  <c r="AR5" i="10"/>
  <c r="AR6" i="10" s="1"/>
  <c r="AY405" i="6"/>
  <c r="AY409" i="6" s="1"/>
  <c r="AZ405" i="6"/>
  <c r="AZ409" i="6" s="1"/>
  <c r="BN3" i="6"/>
  <c r="BJ57" i="6"/>
  <c r="BJ397" i="6" s="1"/>
  <c r="BE402" i="6" s="1"/>
  <c r="BA95" i="4"/>
  <c r="BE91" i="4"/>
  <c r="BE93" i="4"/>
  <c r="BE92" i="4"/>
  <c r="BG89" i="4"/>
  <c r="BF86" i="4"/>
  <c r="BK87" i="4"/>
  <c r="BQ3" i="4"/>
  <c r="BF3" i="1"/>
  <c r="AV84" i="1"/>
  <c r="AV83" i="1"/>
  <c r="AV85" i="1"/>
  <c r="AU82" i="1"/>
  <c r="BC61" i="1"/>
  <c r="BC73" i="1" s="1"/>
  <c r="AW79" i="1"/>
  <c r="AW78" i="1" s="1"/>
  <c r="AU4" i="10" s="1"/>
  <c r="BB19" i="5" l="1"/>
  <c r="BB18" i="5"/>
  <c r="BB20" i="5"/>
  <c r="BA17" i="5"/>
  <c r="BA21" i="5" s="1"/>
  <c r="BM3" i="5"/>
  <c r="BM8" i="5" s="1"/>
  <c r="BH14" i="5" s="1"/>
  <c r="BD16" i="5"/>
  <c r="BD13" i="5" s="1"/>
  <c r="BC13" i="5"/>
  <c r="BR3" i="4"/>
  <c r="BR82" i="4" s="1"/>
  <c r="BM87" i="4" s="1"/>
  <c r="BQ82" i="4"/>
  <c r="BL87" i="4" s="1"/>
  <c r="BI89" i="4" s="1"/>
  <c r="AU86" i="1"/>
  <c r="AS11" i="10" s="1"/>
  <c r="AS5" i="10"/>
  <c r="AS6" i="10" s="1"/>
  <c r="BA406" i="6"/>
  <c r="BA408" i="6"/>
  <c r="BA407" i="6"/>
  <c r="AW410" i="6"/>
  <c r="BC404" i="6"/>
  <c r="BB401" i="6"/>
  <c r="BK57" i="6"/>
  <c r="BK397" i="6" s="1"/>
  <c r="BF402" i="6" s="1"/>
  <c r="BO3" i="6"/>
  <c r="BH89" i="4"/>
  <c r="BH86" i="4" s="1"/>
  <c r="BG86" i="4"/>
  <c r="BE90" i="4"/>
  <c r="BE94" i="4" s="1"/>
  <c r="BF92" i="4"/>
  <c r="BF91" i="4"/>
  <c r="BF93" i="4"/>
  <c r="BG3" i="1"/>
  <c r="AV82" i="1"/>
  <c r="AW85" i="1"/>
  <c r="AW84" i="1"/>
  <c r="AW83" i="1"/>
  <c r="BD61" i="1"/>
  <c r="BD73" i="1" s="1"/>
  <c r="AX79" i="1"/>
  <c r="AX78" i="1" s="1"/>
  <c r="AV4" i="10" s="1"/>
  <c r="BS3" i="4" l="1"/>
  <c r="BS82" i="4" s="1"/>
  <c r="BD18" i="5"/>
  <c r="BD19" i="5"/>
  <c r="BD20" i="5"/>
  <c r="BC18" i="5"/>
  <c r="BC20" i="5"/>
  <c r="BC19" i="5"/>
  <c r="BE16" i="5"/>
  <c r="BN3" i="5"/>
  <c r="BN8" i="5" s="1"/>
  <c r="BI14" i="5" s="1"/>
  <c r="BB17" i="5"/>
  <c r="BB21" i="5" s="1"/>
  <c r="AV86" i="1"/>
  <c r="AT5" i="10"/>
  <c r="AT6" i="10" s="1"/>
  <c r="AQ7" i="10" s="1"/>
  <c r="BD404" i="6"/>
  <c r="BD401" i="6" s="1"/>
  <c r="BC401" i="6"/>
  <c r="BA405" i="6"/>
  <c r="BA409" i="6" s="1"/>
  <c r="BB408" i="6"/>
  <c r="BB407" i="6"/>
  <c r="BB406" i="6"/>
  <c r="BP3" i="6"/>
  <c r="BL57" i="6"/>
  <c r="BL397" i="6" s="1"/>
  <c r="BG402" i="6" s="1"/>
  <c r="BF90" i="4"/>
  <c r="BF94" i="4" s="1"/>
  <c r="BJ89" i="4"/>
  <c r="BI86" i="4"/>
  <c r="BH91" i="4"/>
  <c r="BH93" i="4"/>
  <c r="BH92" i="4"/>
  <c r="BT3" i="4"/>
  <c r="BT82" i="4" s="1"/>
  <c r="BN87" i="4"/>
  <c r="BG92" i="4"/>
  <c r="BG91" i="4"/>
  <c r="BG93" i="4"/>
  <c r="BH3" i="1"/>
  <c r="AX84" i="1"/>
  <c r="AX85" i="1"/>
  <c r="AX83" i="1"/>
  <c r="AW82" i="1"/>
  <c r="BE61" i="1"/>
  <c r="BE73" i="1" s="1"/>
  <c r="AY79" i="1"/>
  <c r="AY78" i="1" s="1"/>
  <c r="AW4" i="10" s="1"/>
  <c r="BF16" i="5" l="1"/>
  <c r="BE13" i="5"/>
  <c r="BO3" i="5"/>
  <c r="BO8" i="5" s="1"/>
  <c r="BJ14" i="5" s="1"/>
  <c r="BC17" i="5"/>
  <c r="BC21" i="5" s="1"/>
  <c r="BD17" i="5"/>
  <c r="BD21" i="5" s="1"/>
  <c r="BB405" i="6"/>
  <c r="BB409" i="6" s="1"/>
  <c r="BD408" i="6"/>
  <c r="BD406" i="6"/>
  <c r="BD407" i="6"/>
  <c r="AW86" i="1"/>
  <c r="AU11" i="10" s="1"/>
  <c r="AU5" i="10"/>
  <c r="AU6" i="10" s="1"/>
  <c r="BC406" i="6"/>
  <c r="BC408" i="6"/>
  <c r="BC407" i="6"/>
  <c r="AS87" i="1"/>
  <c r="AT11" i="10"/>
  <c r="BM57" i="6"/>
  <c r="BM397" i="6" s="1"/>
  <c r="BH402" i="6" s="1"/>
  <c r="BE404" i="6" s="1"/>
  <c r="BQ3" i="6"/>
  <c r="BU3" i="4"/>
  <c r="BU82" i="4" s="1"/>
  <c r="BO87" i="4"/>
  <c r="BH90" i="4"/>
  <c r="BH94" i="4" s="1"/>
  <c r="BI91" i="4"/>
  <c r="BI93" i="4"/>
  <c r="BI92" i="4"/>
  <c r="BG90" i="4"/>
  <c r="BG94" i="4" s="1"/>
  <c r="BK89" i="4"/>
  <c r="BJ86" i="4"/>
  <c r="BI3" i="1"/>
  <c r="AY85" i="1"/>
  <c r="AY83" i="1"/>
  <c r="AY84" i="1"/>
  <c r="AX82" i="1"/>
  <c r="BF61" i="1"/>
  <c r="BF73" i="1" s="1"/>
  <c r="AZ79" i="1"/>
  <c r="AZ78" i="1" s="1"/>
  <c r="AX4" i="10" s="1"/>
  <c r="AU14" i="10" s="1"/>
  <c r="BE19" i="5" l="1"/>
  <c r="BE18" i="5"/>
  <c r="BE20" i="5"/>
  <c r="BA22" i="5"/>
  <c r="BP3" i="5"/>
  <c r="BP8" i="5" s="1"/>
  <c r="BK14" i="5" s="1"/>
  <c r="BG16" i="5"/>
  <c r="BF13" i="5"/>
  <c r="BE95" i="4"/>
  <c r="BF404" i="6"/>
  <c r="BE401" i="6"/>
  <c r="BC405" i="6"/>
  <c r="BC409" i="6" s="1"/>
  <c r="BD405" i="6"/>
  <c r="BD409" i="6" s="1"/>
  <c r="AX86" i="1"/>
  <c r="AV11" i="10" s="1"/>
  <c r="AV5" i="10"/>
  <c r="AV6" i="10" s="1"/>
  <c r="BR3" i="6"/>
  <c r="BN57" i="6"/>
  <c r="BN397" i="6" s="1"/>
  <c r="BI402" i="6" s="1"/>
  <c r="BJ91" i="4"/>
  <c r="BJ93" i="4"/>
  <c r="BJ92" i="4"/>
  <c r="BI90" i="4"/>
  <c r="BI94" i="4" s="1"/>
  <c r="BL89" i="4"/>
  <c r="BL86" i="4" s="1"/>
  <c r="BK86" i="4"/>
  <c r="BV3" i="4"/>
  <c r="BV82" i="4" s="1"/>
  <c r="BP87" i="4"/>
  <c r="BJ3" i="1"/>
  <c r="AZ84" i="1"/>
  <c r="AZ83" i="1"/>
  <c r="AZ85" i="1"/>
  <c r="AY82" i="1"/>
  <c r="BG61" i="1"/>
  <c r="BG73" i="1" s="1"/>
  <c r="BA79" i="1"/>
  <c r="BA78" i="1" s="1"/>
  <c r="AY4" i="10" s="1"/>
  <c r="BH16" i="5" l="1"/>
  <c r="BH13" i="5" s="1"/>
  <c r="BG13" i="5"/>
  <c r="BF19" i="5"/>
  <c r="BF18" i="5"/>
  <c r="BF20" i="5"/>
  <c r="BQ3" i="5"/>
  <c r="BQ8" i="5" s="1"/>
  <c r="BL14" i="5" s="1"/>
  <c r="BE17" i="5"/>
  <c r="BE21" i="5" s="1"/>
  <c r="BA410" i="6"/>
  <c r="AY86" i="1"/>
  <c r="AW11" i="10" s="1"/>
  <c r="AW5" i="10"/>
  <c r="AW6" i="10" s="1"/>
  <c r="BE406" i="6"/>
  <c r="BE408" i="6"/>
  <c r="BE407" i="6"/>
  <c r="BG404" i="6"/>
  <c r="BF401" i="6"/>
  <c r="BO57" i="6"/>
  <c r="BO397" i="6" s="1"/>
  <c r="BJ402" i="6" s="1"/>
  <c r="BS3" i="6"/>
  <c r="BK92" i="4"/>
  <c r="BK91" i="4"/>
  <c r="BK93" i="4"/>
  <c r="BM89" i="4"/>
  <c r="BW3" i="4"/>
  <c r="BW82" i="4" s="1"/>
  <c r="BQ87" i="4"/>
  <c r="BL91" i="4"/>
  <c r="BL93" i="4"/>
  <c r="BL92" i="4"/>
  <c r="BJ90" i="4"/>
  <c r="BJ94" i="4" s="1"/>
  <c r="BK3" i="1"/>
  <c r="AZ82" i="1"/>
  <c r="BA85" i="1"/>
  <c r="BA84" i="1"/>
  <c r="BA83" i="1"/>
  <c r="BH61" i="1"/>
  <c r="BH73" i="1" s="1"/>
  <c r="BB79" i="1"/>
  <c r="BB78" i="1" s="1"/>
  <c r="AZ4" i="10" s="1"/>
  <c r="BR3" i="5" l="1"/>
  <c r="BR8" i="5" s="1"/>
  <c r="BM14" i="5" s="1"/>
  <c r="BI16" i="5"/>
  <c r="BG18" i="5"/>
  <c r="BG19" i="5"/>
  <c r="BG20" i="5"/>
  <c r="BF17" i="5"/>
  <c r="BF21" i="5" s="1"/>
  <c r="BH18" i="5"/>
  <c r="BH19" i="5"/>
  <c r="BH20" i="5"/>
  <c r="BF408" i="6"/>
  <c r="BF407" i="6"/>
  <c r="BF406" i="6"/>
  <c r="AZ86" i="1"/>
  <c r="AX5" i="10"/>
  <c r="AX6" i="10" s="1"/>
  <c r="AU7" i="10" s="1"/>
  <c r="BH404" i="6"/>
  <c r="BH401" i="6" s="1"/>
  <c r="BG401" i="6"/>
  <c r="BE405" i="6"/>
  <c r="BE409" i="6" s="1"/>
  <c r="BT3" i="6"/>
  <c r="BP57" i="6"/>
  <c r="BP397" i="6" s="1"/>
  <c r="BK402" i="6" s="1"/>
  <c r="BL90" i="4"/>
  <c r="BL94" i="4" s="1"/>
  <c r="BX3" i="4"/>
  <c r="BX82" i="4" s="1"/>
  <c r="BR87" i="4"/>
  <c r="BN89" i="4"/>
  <c r="BM86" i="4"/>
  <c r="BK90" i="4"/>
  <c r="BK94" i="4" s="1"/>
  <c r="BL3" i="1"/>
  <c r="BB84" i="1"/>
  <c r="BB85" i="1"/>
  <c r="BB83" i="1"/>
  <c r="BA82" i="1"/>
  <c r="BI61" i="1"/>
  <c r="BI73" i="1" s="1"/>
  <c r="BC79" i="1"/>
  <c r="BC78" i="1" s="1"/>
  <c r="BA4" i="10" s="1"/>
  <c r="BJ16" i="5" l="1"/>
  <c r="BI13" i="5"/>
  <c r="BH17" i="5"/>
  <c r="BH21" i="5" s="1"/>
  <c r="BG17" i="5"/>
  <c r="BG21" i="5" s="1"/>
  <c r="BS3" i="5"/>
  <c r="BS8" i="5" s="1"/>
  <c r="BN14" i="5" s="1"/>
  <c r="BI95" i="4"/>
  <c r="BF405" i="6"/>
  <c r="BF409" i="6" s="1"/>
  <c r="BA86" i="1"/>
  <c r="AY11" i="10" s="1"/>
  <c r="AY5" i="10"/>
  <c r="AY6" i="10" s="1"/>
  <c r="BG406" i="6"/>
  <c r="BG408" i="6"/>
  <c r="BG407" i="6"/>
  <c r="AW87" i="1"/>
  <c r="AX11" i="10"/>
  <c r="BH408" i="6"/>
  <c r="BH406" i="6"/>
  <c r="BH407" i="6"/>
  <c r="BQ57" i="6"/>
  <c r="BQ397" i="6" s="1"/>
  <c r="BL402" i="6" s="1"/>
  <c r="BI404" i="6" s="1"/>
  <c r="BU3" i="6"/>
  <c r="BM91" i="4"/>
  <c r="BM92" i="4"/>
  <c r="BM93" i="4"/>
  <c r="BO89" i="4"/>
  <c r="BN86" i="4"/>
  <c r="BY3" i="4"/>
  <c r="BY82" i="4" s="1"/>
  <c r="BS87" i="4"/>
  <c r="BM3" i="1"/>
  <c r="BC85" i="1"/>
  <c r="BC84" i="1"/>
  <c r="BC83" i="1"/>
  <c r="BB82" i="1"/>
  <c r="BJ61" i="1"/>
  <c r="BJ73" i="1" s="1"/>
  <c r="BD79" i="1"/>
  <c r="BD78" i="1" s="1"/>
  <c r="BB4" i="10" s="1"/>
  <c r="AY14" i="10" s="1"/>
  <c r="BE22" i="5" l="1"/>
  <c r="BT3" i="5"/>
  <c r="BT8" i="5" s="1"/>
  <c r="BO14" i="5" s="1"/>
  <c r="BK16" i="5"/>
  <c r="BJ13" i="5"/>
  <c r="BI19" i="5"/>
  <c r="BI18" i="5"/>
  <c r="BI20" i="5"/>
  <c r="BJ404" i="6"/>
  <c r="BI401" i="6"/>
  <c r="BB86" i="1"/>
  <c r="AZ11" i="10" s="1"/>
  <c r="AZ5" i="10"/>
  <c r="AZ6" i="10" s="1"/>
  <c r="BH405" i="6"/>
  <c r="BH409" i="6" s="1"/>
  <c r="BG405" i="6"/>
  <c r="BG409" i="6" s="1"/>
  <c r="BV3" i="6"/>
  <c r="BR57" i="6"/>
  <c r="BR397" i="6" s="1"/>
  <c r="BM402" i="6" s="1"/>
  <c r="BZ3" i="4"/>
  <c r="BZ82" i="4" s="1"/>
  <c r="BT87" i="4"/>
  <c r="BP89" i="4"/>
  <c r="BP86" i="4" s="1"/>
  <c r="BO86" i="4"/>
  <c r="BN92" i="4"/>
  <c r="BN91" i="4"/>
  <c r="BN93" i="4"/>
  <c r="BM90" i="4"/>
  <c r="BM94" i="4" s="1"/>
  <c r="BN3" i="1"/>
  <c r="BD84" i="1"/>
  <c r="BD83" i="1"/>
  <c r="BD85" i="1"/>
  <c r="BC82" i="1"/>
  <c r="BK61" i="1"/>
  <c r="BK73" i="1" s="1"/>
  <c r="BE79" i="1"/>
  <c r="BE78" i="1" s="1"/>
  <c r="BC4" i="10" s="1"/>
  <c r="BI17" i="5" l="1"/>
  <c r="BI21" i="5" s="1"/>
  <c r="BJ19" i="5"/>
  <c r="BJ18" i="5"/>
  <c r="BJ20" i="5"/>
  <c r="BU3" i="5"/>
  <c r="BU8" i="5" s="1"/>
  <c r="BP14" i="5" s="1"/>
  <c r="BL16" i="5"/>
  <c r="BL13" i="5" s="1"/>
  <c r="BK13" i="5"/>
  <c r="BE410" i="6"/>
  <c r="BI406" i="6"/>
  <c r="BI408" i="6"/>
  <c r="BI407" i="6"/>
  <c r="BC86" i="1"/>
  <c r="BA11" i="10" s="1"/>
  <c r="BA5" i="10"/>
  <c r="BA6" i="10" s="1"/>
  <c r="BK404" i="6"/>
  <c r="BJ401" i="6"/>
  <c r="BS57" i="6"/>
  <c r="BS397" i="6" s="1"/>
  <c r="BN402" i="6" s="1"/>
  <c r="BW3" i="6"/>
  <c r="BO91" i="4"/>
  <c r="BO92" i="4"/>
  <c r="BO93" i="4"/>
  <c r="BQ89" i="4"/>
  <c r="BN90" i="4"/>
  <c r="BN94" i="4" s="1"/>
  <c r="BP91" i="4"/>
  <c r="BP93" i="4"/>
  <c r="BP92" i="4"/>
  <c r="CA3" i="4"/>
  <c r="CA82" i="4" s="1"/>
  <c r="BU87" i="4"/>
  <c r="BO3" i="1"/>
  <c r="BD82" i="1"/>
  <c r="BE85" i="1"/>
  <c r="BE84" i="1"/>
  <c r="BE83" i="1"/>
  <c r="BL61" i="1"/>
  <c r="BL73" i="1" s="1"/>
  <c r="BF79" i="1"/>
  <c r="BF78" i="1" s="1"/>
  <c r="BD4" i="10" s="1"/>
  <c r="BJ17" i="5" l="1"/>
  <c r="BJ21" i="5" s="1"/>
  <c r="BK19" i="5"/>
  <c r="BK18" i="5"/>
  <c r="BK20" i="5"/>
  <c r="BV3" i="5"/>
  <c r="BV8" i="5" s="1"/>
  <c r="BQ14" i="5" s="1"/>
  <c r="BM16" i="5"/>
  <c r="BL18" i="5"/>
  <c r="BL19" i="5"/>
  <c r="BL20" i="5"/>
  <c r="BD86" i="1"/>
  <c r="BB5" i="10"/>
  <c r="BB6" i="10" s="1"/>
  <c r="AY7" i="10" s="1"/>
  <c r="BL404" i="6"/>
  <c r="BL401" i="6" s="1"/>
  <c r="BK401" i="6"/>
  <c r="BJ408" i="6"/>
  <c r="BJ407" i="6"/>
  <c r="BJ406" i="6"/>
  <c r="BI405" i="6"/>
  <c r="BI409" i="6" s="1"/>
  <c r="BX3" i="6"/>
  <c r="BT57" i="6"/>
  <c r="BT397" i="6" s="1"/>
  <c r="BO402" i="6" s="1"/>
  <c r="BP90" i="4"/>
  <c r="BP94" i="4" s="1"/>
  <c r="BR89" i="4"/>
  <c r="BQ86" i="4"/>
  <c r="CB3" i="4"/>
  <c r="CB82" i="4" s="1"/>
  <c r="BV87" i="4"/>
  <c r="BO90" i="4"/>
  <c r="BO94" i="4" s="1"/>
  <c r="BP3" i="1"/>
  <c r="BF84" i="1"/>
  <c r="BF85" i="1"/>
  <c r="BF83" i="1"/>
  <c r="BE82" i="1"/>
  <c r="BM61" i="1"/>
  <c r="BM73" i="1" s="1"/>
  <c r="BG79" i="1"/>
  <c r="BG78" i="1" s="1"/>
  <c r="BE4" i="10" s="1"/>
  <c r="BM13" i="5" l="1"/>
  <c r="BN16" i="5"/>
  <c r="BK17" i="5"/>
  <c r="BK21" i="5" s="1"/>
  <c r="BL17" i="5"/>
  <c r="BL21" i="5" s="1"/>
  <c r="BW3" i="5"/>
  <c r="BW8" i="5" s="1"/>
  <c r="BR14" i="5" s="1"/>
  <c r="BM95" i="4"/>
  <c r="BJ405" i="6"/>
  <c r="BJ409" i="6" s="1"/>
  <c r="BL408" i="6"/>
  <c r="BL406" i="6"/>
  <c r="BL407" i="6"/>
  <c r="BE86" i="1"/>
  <c r="BC11" i="10" s="1"/>
  <c r="BC5" i="10"/>
  <c r="BC6" i="10" s="1"/>
  <c r="BK406" i="6"/>
  <c r="BK408" i="6"/>
  <c r="BK407" i="6"/>
  <c r="BA87" i="1"/>
  <c r="BB11" i="10"/>
  <c r="BU57" i="6"/>
  <c r="BU397" i="6" s="1"/>
  <c r="BP402" i="6" s="1"/>
  <c r="BM404" i="6" s="1"/>
  <c r="BY3" i="6"/>
  <c r="BQ91" i="4"/>
  <c r="BQ92" i="4"/>
  <c r="BQ93" i="4"/>
  <c r="CC3" i="4"/>
  <c r="CC82" i="4" s="1"/>
  <c r="BW87" i="4"/>
  <c r="BS89" i="4"/>
  <c r="BR86" i="4"/>
  <c r="BQ3" i="1"/>
  <c r="BG85" i="1"/>
  <c r="BG83" i="1"/>
  <c r="BG84" i="1"/>
  <c r="BF82" i="1"/>
  <c r="BN61" i="1"/>
  <c r="BN73" i="1" s="1"/>
  <c r="BH79" i="1"/>
  <c r="BH78" i="1" s="1"/>
  <c r="BF4" i="10" s="1"/>
  <c r="BC14" i="10" s="1"/>
  <c r="BN13" i="5" l="1"/>
  <c r="BO16" i="5"/>
  <c r="BX3" i="5"/>
  <c r="BX8" i="5" s="1"/>
  <c r="BS14" i="5" s="1"/>
  <c r="BI22" i="5"/>
  <c r="BM18" i="5"/>
  <c r="BM20" i="5"/>
  <c r="BM19" i="5"/>
  <c r="BL405" i="6"/>
  <c r="BL409" i="6" s="1"/>
  <c r="BN404" i="6"/>
  <c r="BM401" i="6"/>
  <c r="BF86" i="1"/>
  <c r="BD11" i="10" s="1"/>
  <c r="BD5" i="10"/>
  <c r="BD6" i="10" s="1"/>
  <c r="BK405" i="6"/>
  <c r="BK409" i="6" s="1"/>
  <c r="BZ3" i="6"/>
  <c r="BV57" i="6"/>
  <c r="BV397" i="6" s="1"/>
  <c r="BQ402" i="6" s="1"/>
  <c r="BT89" i="4"/>
  <c r="BT86" i="4" s="1"/>
  <c r="BS86" i="4"/>
  <c r="CD3" i="4"/>
  <c r="CD82" i="4" s="1"/>
  <c r="BX87" i="4"/>
  <c r="BU89" i="4" s="1"/>
  <c r="BQ90" i="4"/>
  <c r="BQ94" i="4" s="1"/>
  <c r="BR91" i="4"/>
  <c r="BR93" i="4"/>
  <c r="BR92" i="4"/>
  <c r="BR3" i="1"/>
  <c r="BG82" i="1"/>
  <c r="BH84" i="1"/>
  <c r="BH83" i="1"/>
  <c r="BH85" i="1"/>
  <c r="BO61" i="1"/>
  <c r="BO73" i="1" s="1"/>
  <c r="BI79" i="1"/>
  <c r="BI78" i="1" s="1"/>
  <c r="BG4" i="10" s="1"/>
  <c r="BY3" i="5" l="1"/>
  <c r="BY8" i="5" s="1"/>
  <c r="BT14" i="5" s="1"/>
  <c r="BN19" i="5"/>
  <c r="BN18" i="5"/>
  <c r="BN20" i="5"/>
  <c r="BM17" i="5"/>
  <c r="BM21" i="5" s="1"/>
  <c r="BP16" i="5"/>
  <c r="BP13" i="5" s="1"/>
  <c r="BO13" i="5"/>
  <c r="BI410" i="6"/>
  <c r="BM406" i="6"/>
  <c r="BM408" i="6"/>
  <c r="BM407" i="6"/>
  <c r="BG86" i="1"/>
  <c r="BE11" i="10" s="1"/>
  <c r="BE5" i="10"/>
  <c r="BE6" i="10" s="1"/>
  <c r="BO404" i="6"/>
  <c r="BN401" i="6"/>
  <c r="BW57" i="6"/>
  <c r="BW397" i="6" s="1"/>
  <c r="BR402" i="6" s="1"/>
  <c r="CA3" i="6"/>
  <c r="BV89" i="4"/>
  <c r="BU86" i="4"/>
  <c r="BR90" i="4"/>
  <c r="BR94" i="4" s="1"/>
  <c r="BS91" i="4"/>
  <c r="BS93" i="4"/>
  <c r="BS92" i="4"/>
  <c r="CE3" i="4"/>
  <c r="CE82" i="4" s="1"/>
  <c r="BY87" i="4"/>
  <c r="BT91" i="4"/>
  <c r="BT93" i="4"/>
  <c r="BT92" i="4"/>
  <c r="BS3" i="1"/>
  <c r="BH82" i="1"/>
  <c r="BI85" i="1"/>
  <c r="BI84" i="1"/>
  <c r="BI83" i="1"/>
  <c r="BP61" i="1"/>
  <c r="BP73" i="1" s="1"/>
  <c r="BJ79" i="1"/>
  <c r="BJ78" i="1" s="1"/>
  <c r="BH4" i="10" s="1"/>
  <c r="BN17" i="5" l="1"/>
  <c r="BN21" i="5" s="1"/>
  <c r="BP18" i="5"/>
  <c r="BP19" i="5"/>
  <c r="BP20" i="5"/>
  <c r="BO20" i="5"/>
  <c r="BO18" i="5"/>
  <c r="BO19" i="5"/>
  <c r="BQ16" i="5"/>
  <c r="BZ3" i="5"/>
  <c r="BZ8" i="5" s="1"/>
  <c r="BU14" i="5" s="1"/>
  <c r="BH86" i="1"/>
  <c r="BF5" i="10"/>
  <c r="BF6" i="10" s="1"/>
  <c r="BC7" i="10" s="1"/>
  <c r="BN408" i="6"/>
  <c r="BN407" i="6"/>
  <c r="BN406" i="6"/>
  <c r="BP404" i="6"/>
  <c r="BP401" i="6" s="1"/>
  <c r="BO401" i="6"/>
  <c r="BM405" i="6"/>
  <c r="BM409" i="6" s="1"/>
  <c r="CB3" i="6"/>
  <c r="BX57" i="6"/>
  <c r="BX397" i="6" s="1"/>
  <c r="BS402" i="6" s="1"/>
  <c r="BT90" i="4"/>
  <c r="BT94" i="4" s="1"/>
  <c r="CF3" i="4"/>
  <c r="CF82" i="4" s="1"/>
  <c r="BZ87" i="4"/>
  <c r="BU91" i="4"/>
  <c r="BU92" i="4"/>
  <c r="BU93" i="4"/>
  <c r="BS90" i="4"/>
  <c r="BS94" i="4" s="1"/>
  <c r="BQ95" i="4" s="1"/>
  <c r="BW89" i="4"/>
  <c r="BV86" i="4"/>
  <c r="BT3" i="1"/>
  <c r="BJ84" i="1"/>
  <c r="BJ85" i="1"/>
  <c r="BJ83" i="1"/>
  <c r="BI82" i="1"/>
  <c r="BQ61" i="1"/>
  <c r="BQ73" i="1" s="1"/>
  <c r="BK79" i="1"/>
  <c r="BK78" i="1" s="1"/>
  <c r="BI4" i="10" s="1"/>
  <c r="CA3" i="5" l="1"/>
  <c r="CA8" i="5" s="1"/>
  <c r="BV14" i="5" s="1"/>
  <c r="BR16" i="5"/>
  <c r="BQ13" i="5"/>
  <c r="BO17" i="5"/>
  <c r="BO21" i="5" s="1"/>
  <c r="BP17" i="5"/>
  <c r="BP21" i="5" s="1"/>
  <c r="BI86" i="1"/>
  <c r="BG11" i="10" s="1"/>
  <c r="BG5" i="10"/>
  <c r="BG6" i="10" s="1"/>
  <c r="BP408" i="6"/>
  <c r="BP406" i="6"/>
  <c r="BP407" i="6"/>
  <c r="BN405" i="6"/>
  <c r="BN409" i="6" s="1"/>
  <c r="BE87" i="1"/>
  <c r="BF11" i="10"/>
  <c r="BO406" i="6"/>
  <c r="BO408" i="6"/>
  <c r="BO407" i="6"/>
  <c r="BY57" i="6"/>
  <c r="BY397" i="6" s="1"/>
  <c r="BT402" i="6" s="1"/>
  <c r="BQ404" i="6" s="1"/>
  <c r="CC3" i="6"/>
  <c r="BX89" i="4"/>
  <c r="BX86" i="4" s="1"/>
  <c r="BW86" i="4"/>
  <c r="BU90" i="4"/>
  <c r="BU94" i="4" s="1"/>
  <c r="CG3" i="4"/>
  <c r="CG82" i="4" s="1"/>
  <c r="CA87" i="4"/>
  <c r="BV92" i="4"/>
  <c r="BV93" i="4"/>
  <c r="BV91" i="4"/>
  <c r="BU3" i="1"/>
  <c r="BK85" i="1"/>
  <c r="BK84" i="1"/>
  <c r="BK83" i="1"/>
  <c r="BJ82" i="1"/>
  <c r="BR61" i="1"/>
  <c r="BR73" i="1" s="1"/>
  <c r="BL79" i="1"/>
  <c r="BL78" i="1" s="1"/>
  <c r="BJ4" i="10" s="1"/>
  <c r="BG14" i="10" s="1"/>
  <c r="BQ19" i="5" l="1"/>
  <c r="BQ18" i="5"/>
  <c r="BQ20" i="5"/>
  <c r="BM22" i="5"/>
  <c r="BS16" i="5"/>
  <c r="BR13" i="5"/>
  <c r="CB3" i="5"/>
  <c r="CB8" i="5" s="1"/>
  <c r="BW14" i="5" s="1"/>
  <c r="BR404" i="6"/>
  <c r="BQ401" i="6"/>
  <c r="BJ86" i="1"/>
  <c r="BH11" i="10" s="1"/>
  <c r="BH5" i="10"/>
  <c r="BH6" i="10" s="1"/>
  <c r="BO405" i="6"/>
  <c r="BO409" i="6" s="1"/>
  <c r="BP405" i="6"/>
  <c r="BP409" i="6" s="1"/>
  <c r="CD3" i="6"/>
  <c r="BZ57" i="6"/>
  <c r="BZ397" i="6" s="1"/>
  <c r="BU402" i="6" s="1"/>
  <c r="BV90" i="4"/>
  <c r="BV94" i="4" s="1"/>
  <c r="CH3" i="4"/>
  <c r="CH82" i="4" s="1"/>
  <c r="CB87" i="4"/>
  <c r="BW92" i="4"/>
  <c r="BW91" i="4"/>
  <c r="BW93" i="4"/>
  <c r="BX91" i="4"/>
  <c r="BX93" i="4"/>
  <c r="BX92" i="4"/>
  <c r="BV3" i="1"/>
  <c r="BL84" i="1"/>
  <c r="BL83" i="1"/>
  <c r="BL85" i="1"/>
  <c r="BK82" i="1"/>
  <c r="BS61" i="1"/>
  <c r="BS73" i="1" s="1"/>
  <c r="BM79" i="1"/>
  <c r="BM78" i="1" s="1"/>
  <c r="BK4" i="10" s="1"/>
  <c r="BT16" i="5" l="1"/>
  <c r="BT13" i="5" s="1"/>
  <c r="BS13" i="5"/>
  <c r="BQ17" i="5"/>
  <c r="BQ21" i="5" s="1"/>
  <c r="CC3" i="5"/>
  <c r="CC8" i="5" s="1"/>
  <c r="BX14" i="5" s="1"/>
  <c r="BR19" i="5"/>
  <c r="BR18" i="5"/>
  <c r="BR20" i="5"/>
  <c r="BQ406" i="6"/>
  <c r="BQ408" i="6"/>
  <c r="BQ407" i="6"/>
  <c r="BK86" i="1"/>
  <c r="BI11" i="10" s="1"/>
  <c r="BI5" i="10"/>
  <c r="BI6" i="10" s="1"/>
  <c r="BM410" i="6"/>
  <c r="BS404" i="6"/>
  <c r="BR401" i="6"/>
  <c r="CA57" i="6"/>
  <c r="CA397" i="6" s="1"/>
  <c r="BV402" i="6" s="1"/>
  <c r="CE3" i="6"/>
  <c r="BL82" i="1"/>
  <c r="BW90" i="4"/>
  <c r="BW94" i="4" s="1"/>
  <c r="BX90" i="4"/>
  <c r="BX94" i="4" s="1"/>
  <c r="BY89" i="4"/>
  <c r="CI3" i="4"/>
  <c r="CI82" i="4" s="1"/>
  <c r="CC87" i="4"/>
  <c r="BW3" i="1"/>
  <c r="BM85" i="1"/>
  <c r="BM84" i="1"/>
  <c r="BM83" i="1"/>
  <c r="BT61" i="1"/>
  <c r="BT73" i="1" s="1"/>
  <c r="BN79" i="1"/>
  <c r="BN78" i="1" s="1"/>
  <c r="BL4" i="10" s="1"/>
  <c r="BR17" i="5" l="1"/>
  <c r="BR21" i="5" s="1"/>
  <c r="BT19" i="5"/>
  <c r="BT20" i="5"/>
  <c r="BT18" i="5"/>
  <c r="BU16" i="5"/>
  <c r="CD3" i="5"/>
  <c r="CD8" i="5" s="1"/>
  <c r="BY14" i="5" s="1"/>
  <c r="BS19" i="5"/>
  <c r="BS18" i="5"/>
  <c r="BS20" i="5"/>
  <c r="BU95" i="4"/>
  <c r="BL86" i="1"/>
  <c r="BJ5" i="10"/>
  <c r="BJ6" i="10" s="1"/>
  <c r="BG7" i="10" s="1"/>
  <c r="BT404" i="6"/>
  <c r="BT401" i="6" s="1"/>
  <c r="BS401" i="6"/>
  <c r="BQ405" i="6"/>
  <c r="BQ409" i="6" s="1"/>
  <c r="BR408" i="6"/>
  <c r="BR407" i="6"/>
  <c r="BR406" i="6"/>
  <c r="CF3" i="6"/>
  <c r="CB57" i="6"/>
  <c r="CB397" i="6" s="1"/>
  <c r="BW402" i="6" s="1"/>
  <c r="CJ3" i="4"/>
  <c r="CJ82" i="4" s="1"/>
  <c r="CD87" i="4"/>
  <c r="BZ89" i="4"/>
  <c r="BY86" i="4"/>
  <c r="BX3" i="1"/>
  <c r="BN84" i="1"/>
  <c r="BN85" i="1"/>
  <c r="BN83" i="1"/>
  <c r="BM82" i="1"/>
  <c r="BU61" i="1"/>
  <c r="BU73" i="1" s="1"/>
  <c r="BO79" i="1"/>
  <c r="BO78" i="1" s="1"/>
  <c r="BM4" i="10" s="1"/>
  <c r="BS17" i="5" l="1"/>
  <c r="BS21" i="5" s="1"/>
  <c r="BT17" i="5"/>
  <c r="BT21" i="5" s="1"/>
  <c r="CE3" i="5"/>
  <c r="CE8" i="5" s="1"/>
  <c r="BZ14" i="5" s="1"/>
  <c r="BV16" i="5"/>
  <c r="BU13" i="5"/>
  <c r="BR405" i="6"/>
  <c r="BR409" i="6" s="1"/>
  <c r="BT408" i="6"/>
  <c r="BT406" i="6"/>
  <c r="BT407" i="6"/>
  <c r="BM86" i="1"/>
  <c r="BK11" i="10" s="1"/>
  <c r="BK5" i="10"/>
  <c r="BK6" i="10" s="1"/>
  <c r="BS406" i="6"/>
  <c r="BS408" i="6"/>
  <c r="BS407" i="6"/>
  <c r="BI87" i="1"/>
  <c r="BJ11" i="10"/>
  <c r="CC57" i="6"/>
  <c r="CC397" i="6" s="1"/>
  <c r="BX402" i="6" s="1"/>
  <c r="BU404" i="6" s="1"/>
  <c r="CG3" i="6"/>
  <c r="BY92" i="4"/>
  <c r="BY93" i="4"/>
  <c r="BY91" i="4"/>
  <c r="CA89" i="4"/>
  <c r="BZ86" i="4"/>
  <c r="CK3" i="4"/>
  <c r="CK82" i="4" s="1"/>
  <c r="CE87" i="4"/>
  <c r="BY3" i="1"/>
  <c r="BO85" i="1"/>
  <c r="BO83" i="1"/>
  <c r="BO84" i="1"/>
  <c r="BN82" i="1"/>
  <c r="BV61" i="1"/>
  <c r="BV73" i="1" s="1"/>
  <c r="BP79" i="1"/>
  <c r="BP78" i="1" s="1"/>
  <c r="BN4" i="10" s="1"/>
  <c r="BK14" i="10" s="1"/>
  <c r="BQ22" i="5" l="1"/>
  <c r="BW16" i="5"/>
  <c r="BV13" i="5"/>
  <c r="BU18" i="5"/>
  <c r="BU20" i="5"/>
  <c r="BU19" i="5"/>
  <c r="CF3" i="5"/>
  <c r="CF8" i="5" s="1"/>
  <c r="CA14" i="5" s="1"/>
  <c r="BT405" i="6"/>
  <c r="BT409" i="6" s="1"/>
  <c r="BV404" i="6"/>
  <c r="BU401" i="6"/>
  <c r="BS405" i="6"/>
  <c r="BS409" i="6" s="1"/>
  <c r="BN86" i="1"/>
  <c r="BL11" i="10" s="1"/>
  <c r="BL5" i="10"/>
  <c r="BL6" i="10" s="1"/>
  <c r="CH3" i="6"/>
  <c r="CD57" i="6"/>
  <c r="CD397" i="6" s="1"/>
  <c r="BY402" i="6" s="1"/>
  <c r="CL3" i="4"/>
  <c r="CL82" i="4" s="1"/>
  <c r="CF87" i="4"/>
  <c r="BZ91" i="4"/>
  <c r="BZ93" i="4"/>
  <c r="BZ92" i="4"/>
  <c r="CB89" i="4"/>
  <c r="CB86" i="4" s="1"/>
  <c r="CA86" i="4"/>
  <c r="BY90" i="4"/>
  <c r="BY94" i="4" s="1"/>
  <c r="BZ3" i="1"/>
  <c r="BP84" i="1"/>
  <c r="BP83" i="1"/>
  <c r="BP85" i="1"/>
  <c r="BO82" i="1"/>
  <c r="BW61" i="1"/>
  <c r="BW73" i="1" s="1"/>
  <c r="BQ79" i="1"/>
  <c r="BQ78" i="1" s="1"/>
  <c r="BO4" i="10" s="1"/>
  <c r="CG3" i="5" l="1"/>
  <c r="CG8" i="5" s="1"/>
  <c r="CB14" i="5" s="1"/>
  <c r="BV19" i="5"/>
  <c r="BV18" i="5"/>
  <c r="BV20" i="5"/>
  <c r="BU17" i="5"/>
  <c r="BU21" i="5" s="1"/>
  <c r="BX16" i="5"/>
  <c r="BX13" i="5" s="1"/>
  <c r="BW13" i="5"/>
  <c r="BQ410" i="6"/>
  <c r="BU406" i="6"/>
  <c r="BU408" i="6"/>
  <c r="BU407" i="6"/>
  <c r="BO86" i="1"/>
  <c r="BM11" i="10" s="1"/>
  <c r="BM5" i="10"/>
  <c r="BM6" i="10" s="1"/>
  <c r="BW404" i="6"/>
  <c r="BV401" i="6"/>
  <c r="CE57" i="6"/>
  <c r="CE397" i="6" s="1"/>
  <c r="BZ402" i="6" s="1"/>
  <c r="CI3" i="6"/>
  <c r="CB91" i="4"/>
  <c r="CB93" i="4"/>
  <c r="CB92" i="4"/>
  <c r="CA92" i="4"/>
  <c r="CA91" i="4"/>
  <c r="CA93" i="4"/>
  <c r="CC89" i="4"/>
  <c r="BZ90" i="4"/>
  <c r="BZ94" i="4" s="1"/>
  <c r="CM3" i="4"/>
  <c r="CM82" i="4" s="1"/>
  <c r="CG87" i="4"/>
  <c r="CA3" i="1"/>
  <c r="BP82" i="1"/>
  <c r="BQ85" i="1"/>
  <c r="BQ84" i="1"/>
  <c r="BQ83" i="1"/>
  <c r="BX61" i="1"/>
  <c r="BX73" i="1" s="1"/>
  <c r="BR79" i="1"/>
  <c r="BR78" i="1" s="1"/>
  <c r="BP4" i="10" s="1"/>
  <c r="BV17" i="5" l="1"/>
  <c r="BV21" i="5" s="1"/>
  <c r="BW20" i="5"/>
  <c r="BW18" i="5"/>
  <c r="BW19" i="5"/>
  <c r="BX18" i="5"/>
  <c r="BX19" i="5"/>
  <c r="BX20" i="5"/>
  <c r="BY16" i="5"/>
  <c r="CH3" i="5"/>
  <c r="CH8" i="5" s="1"/>
  <c r="CC14" i="5" s="1"/>
  <c r="BP86" i="1"/>
  <c r="BN5" i="10"/>
  <c r="BN6" i="10" s="1"/>
  <c r="BK7" i="10" s="1"/>
  <c r="BV408" i="6"/>
  <c r="BV407" i="6"/>
  <c r="BV406" i="6"/>
  <c r="BU405" i="6"/>
  <c r="BU409" i="6" s="1"/>
  <c r="BX404" i="6"/>
  <c r="BX401" i="6" s="1"/>
  <c r="BW401" i="6"/>
  <c r="CJ3" i="6"/>
  <c r="CF57" i="6"/>
  <c r="CF397" i="6" s="1"/>
  <c r="CA402" i="6" s="1"/>
  <c r="CB90" i="4"/>
  <c r="CB94" i="4" s="1"/>
  <c r="CN3" i="4"/>
  <c r="CN82" i="4" s="1"/>
  <c r="CH87" i="4"/>
  <c r="CD89" i="4"/>
  <c r="CC86" i="4"/>
  <c r="CA90" i="4"/>
  <c r="CA94" i="4" s="1"/>
  <c r="CB3" i="1"/>
  <c r="BR85" i="1"/>
  <c r="BR83" i="1"/>
  <c r="BR84" i="1"/>
  <c r="BQ82" i="1"/>
  <c r="BY61" i="1"/>
  <c r="BY73" i="1" s="1"/>
  <c r="BS79" i="1"/>
  <c r="BS78" i="1" s="1"/>
  <c r="BQ4" i="10" s="1"/>
  <c r="BW17" i="5" l="1"/>
  <c r="BW21" i="5" s="1"/>
  <c r="CI3" i="5"/>
  <c r="CI8" i="5" s="1"/>
  <c r="CD14" i="5" s="1"/>
  <c r="BZ16" i="5"/>
  <c r="BY13" i="5"/>
  <c r="BX17" i="5"/>
  <c r="BX21" i="5" s="1"/>
  <c r="BY95" i="4"/>
  <c r="BV405" i="6"/>
  <c r="BV409" i="6" s="1"/>
  <c r="BW406" i="6"/>
  <c r="BW408" i="6"/>
  <c r="BW407" i="6"/>
  <c r="BQ86" i="1"/>
  <c r="BO11" i="10" s="1"/>
  <c r="BO5" i="10"/>
  <c r="BO6" i="10" s="1"/>
  <c r="BX408" i="6"/>
  <c r="BX406" i="6"/>
  <c r="BX407" i="6"/>
  <c r="BM87" i="1"/>
  <c r="BN11" i="10"/>
  <c r="CG57" i="6"/>
  <c r="CG397" i="6" s="1"/>
  <c r="CB402" i="6" s="1"/>
  <c r="BY404" i="6" s="1"/>
  <c r="CK3" i="6"/>
  <c r="BR82" i="1"/>
  <c r="CC92" i="4"/>
  <c r="CC93" i="4"/>
  <c r="CC91" i="4"/>
  <c r="CE89" i="4"/>
  <c r="CD86" i="4"/>
  <c r="CO3" i="4"/>
  <c r="CO82" i="4" s="1"/>
  <c r="CI87" i="4"/>
  <c r="CC3" i="1"/>
  <c r="BS85" i="1"/>
  <c r="BS84" i="1"/>
  <c r="BS83" i="1"/>
  <c r="BZ61" i="1"/>
  <c r="BZ73" i="1" s="1"/>
  <c r="BT79" i="1"/>
  <c r="BT78" i="1" s="1"/>
  <c r="BR4" i="10" s="1"/>
  <c r="BO14" i="10" s="1"/>
  <c r="BU22" i="5" l="1"/>
  <c r="BY18" i="5"/>
  <c r="BY20" i="5"/>
  <c r="BY19" i="5"/>
  <c r="CJ3" i="5"/>
  <c r="CJ8" i="5" s="1"/>
  <c r="CE14" i="5" s="1"/>
  <c r="CA16" i="5"/>
  <c r="BZ13" i="5"/>
  <c r="CP3" i="4"/>
  <c r="CP82" i="4" s="1"/>
  <c r="CJ87" i="4"/>
  <c r="BX405" i="6"/>
  <c r="BX409" i="6" s="1"/>
  <c r="BZ404" i="6"/>
  <c r="BY401" i="6"/>
  <c r="BR86" i="1"/>
  <c r="BP11" i="10" s="1"/>
  <c r="BP5" i="10"/>
  <c r="BP6" i="10" s="1"/>
  <c r="BW405" i="6"/>
  <c r="BW409" i="6" s="1"/>
  <c r="CL3" i="6"/>
  <c r="CH57" i="6"/>
  <c r="CH397" i="6" s="1"/>
  <c r="CC402" i="6" s="1"/>
  <c r="CF89" i="4"/>
  <c r="CF86" i="4" s="1"/>
  <c r="CE86" i="4"/>
  <c r="CD92" i="4"/>
  <c r="CD91" i="4"/>
  <c r="CD93" i="4"/>
  <c r="CC90" i="4"/>
  <c r="CC94" i="4" s="1"/>
  <c r="CD3" i="1"/>
  <c r="BT83" i="1"/>
  <c r="BT85" i="1"/>
  <c r="BT84" i="1"/>
  <c r="BS82" i="1"/>
  <c r="CA61" i="1"/>
  <c r="CA73" i="1" s="1"/>
  <c r="BU79" i="1"/>
  <c r="BU78" i="1" s="1"/>
  <c r="BS4" i="10" s="1"/>
  <c r="CB16" i="5" l="1"/>
  <c r="CB13" i="5" s="1"/>
  <c r="CA13" i="5"/>
  <c r="BZ20" i="5"/>
  <c r="BZ19" i="5"/>
  <c r="BZ18" i="5"/>
  <c r="CK3" i="5"/>
  <c r="CK8" i="5" s="1"/>
  <c r="CF14" i="5" s="1"/>
  <c r="BY17" i="5"/>
  <c r="BY21" i="5" s="1"/>
  <c r="CQ3" i="4"/>
  <c r="CQ82" i="4" s="1"/>
  <c r="CK87" i="4"/>
  <c r="BU410" i="6"/>
  <c r="BS86" i="1"/>
  <c r="BQ11" i="10" s="1"/>
  <c r="BQ5" i="10"/>
  <c r="BQ6" i="10" s="1"/>
  <c r="BY406" i="6"/>
  <c r="BY408" i="6"/>
  <c r="BY407" i="6"/>
  <c r="CA404" i="6"/>
  <c r="BZ401" i="6"/>
  <c r="CI57" i="6"/>
  <c r="CM3" i="6"/>
  <c r="CE92" i="4"/>
  <c r="CE91" i="4"/>
  <c r="CE93" i="4"/>
  <c r="CG89" i="4"/>
  <c r="CD90" i="4"/>
  <c r="CD94" i="4" s="1"/>
  <c r="CF91" i="4"/>
  <c r="CF93" i="4"/>
  <c r="CF92" i="4"/>
  <c r="CE3" i="1"/>
  <c r="BU85" i="1"/>
  <c r="BU84" i="1"/>
  <c r="BU83" i="1"/>
  <c r="BT82" i="1"/>
  <c r="CB61" i="1"/>
  <c r="CB73" i="1" s="1"/>
  <c r="BV79" i="1"/>
  <c r="BV78" i="1" s="1"/>
  <c r="BT4" i="10" s="1"/>
  <c r="CI397" i="6" l="1"/>
  <c r="CD402" i="6" s="1"/>
  <c r="BZ17" i="5"/>
  <c r="BZ21" i="5" s="1"/>
  <c r="CA18" i="5"/>
  <c r="CA20" i="5"/>
  <c r="CA19" i="5"/>
  <c r="CC16" i="5"/>
  <c r="CL3" i="5"/>
  <c r="CL8" i="5" s="1"/>
  <c r="CG14" i="5" s="1"/>
  <c r="CB18" i="5"/>
  <c r="CB19" i="5"/>
  <c r="CB20" i="5"/>
  <c r="CR3" i="4"/>
  <c r="CR82" i="4" s="1"/>
  <c r="CL87" i="4"/>
  <c r="BZ408" i="6"/>
  <c r="BZ407" i="6"/>
  <c r="BZ406" i="6"/>
  <c r="BT86" i="1"/>
  <c r="BR5" i="10"/>
  <c r="BR6" i="10" s="1"/>
  <c r="BO7" i="10" s="1"/>
  <c r="CB404" i="6"/>
  <c r="CB401" i="6" s="1"/>
  <c r="CA401" i="6"/>
  <c r="BY405" i="6"/>
  <c r="BY409" i="6" s="1"/>
  <c r="CN3" i="6"/>
  <c r="CJ57" i="6"/>
  <c r="CF90" i="4"/>
  <c r="CF94" i="4" s="1"/>
  <c r="CH89" i="4"/>
  <c r="CG86" i="4"/>
  <c r="CE90" i="4"/>
  <c r="CE94" i="4" s="1"/>
  <c r="CF3" i="1"/>
  <c r="BV85" i="1"/>
  <c r="BV83" i="1"/>
  <c r="BV84" i="1"/>
  <c r="BU82" i="1"/>
  <c r="CC61" i="1"/>
  <c r="CC73" i="1" s="1"/>
  <c r="BW79" i="1"/>
  <c r="BW78" i="1" s="1"/>
  <c r="BU4" i="10" s="1"/>
  <c r="CJ397" i="6" l="1"/>
  <c r="CE402" i="6" s="1"/>
  <c r="CM3" i="5"/>
  <c r="CM8" i="5" s="1"/>
  <c r="CH14" i="5" s="1"/>
  <c r="CA17" i="5"/>
  <c r="CA21" i="5" s="1"/>
  <c r="CB17" i="5"/>
  <c r="CB21" i="5" s="1"/>
  <c r="CC13" i="5"/>
  <c r="CD16" i="5"/>
  <c r="CC95" i="4"/>
  <c r="CS3" i="4"/>
  <c r="CS82" i="4" s="1"/>
  <c r="CM87" i="4"/>
  <c r="BZ405" i="6"/>
  <c r="BZ409" i="6" s="1"/>
  <c r="CA406" i="6"/>
  <c r="CA408" i="6"/>
  <c r="CA407" i="6"/>
  <c r="BQ87" i="1"/>
  <c r="BR11" i="10"/>
  <c r="BU86" i="1"/>
  <c r="BS11" i="10" s="1"/>
  <c r="BS5" i="10"/>
  <c r="BS6" i="10" s="1"/>
  <c r="CB408" i="6"/>
  <c r="CB406" i="6"/>
  <c r="CB407" i="6"/>
  <c r="CK57" i="6"/>
  <c r="CO3" i="6"/>
  <c r="BV82" i="1"/>
  <c r="CG92" i="4"/>
  <c r="CG93" i="4"/>
  <c r="CG91" i="4"/>
  <c r="CI89" i="4"/>
  <c r="CH86" i="4"/>
  <c r="CG3" i="1"/>
  <c r="BW85" i="1"/>
  <c r="BW84" i="1"/>
  <c r="BW83" i="1"/>
  <c r="CD61" i="1"/>
  <c r="CD73" i="1" s="1"/>
  <c r="BX79" i="1"/>
  <c r="BX78" i="1" s="1"/>
  <c r="BV4" i="10" s="1"/>
  <c r="BS14" i="10" s="1"/>
  <c r="CP3" i="6" l="1"/>
  <c r="CK397" i="6"/>
  <c r="CF402" i="6" s="1"/>
  <c r="CC404" i="6" s="1"/>
  <c r="CE16" i="5"/>
  <c r="CD13" i="5"/>
  <c r="CC19" i="5"/>
  <c r="CC18" i="5"/>
  <c r="CC20" i="5"/>
  <c r="BY22" i="5"/>
  <c r="CN3" i="5"/>
  <c r="CT3" i="4"/>
  <c r="CT82" i="4" s="1"/>
  <c r="CN87" i="4"/>
  <c r="CB405" i="6"/>
  <c r="CB409" i="6" s="1"/>
  <c r="CA405" i="6"/>
  <c r="CA409" i="6" s="1"/>
  <c r="BV86" i="1"/>
  <c r="BT11" i="10" s="1"/>
  <c r="BT5" i="10"/>
  <c r="BT6" i="10" s="1"/>
  <c r="CL57" i="6"/>
  <c r="CJ89" i="4"/>
  <c r="CK89" i="4" s="1"/>
  <c r="CI86" i="4"/>
  <c r="CH91" i="4"/>
  <c r="CH93" i="4"/>
  <c r="CH92" i="4"/>
  <c r="CG90" i="4"/>
  <c r="CH3" i="1"/>
  <c r="BX83" i="1"/>
  <c r="BX85" i="1"/>
  <c r="BX84" i="1"/>
  <c r="BW82" i="1"/>
  <c r="CE61" i="1"/>
  <c r="CE73" i="1" s="1"/>
  <c r="BY79" i="1"/>
  <c r="BY78" i="1" s="1"/>
  <c r="BW4" i="10" s="1"/>
  <c r="CD404" i="6" l="1"/>
  <c r="CC401" i="6"/>
  <c r="CC406" i="6" s="1"/>
  <c r="CL397" i="6"/>
  <c r="CG402" i="6" s="1"/>
  <c r="CQ3" i="6"/>
  <c r="CN8" i="5"/>
  <c r="CI14" i="5" s="1"/>
  <c r="CO3" i="5"/>
  <c r="CD20" i="5"/>
  <c r="CD19" i="5"/>
  <c r="CD18" i="5"/>
  <c r="CC17" i="5"/>
  <c r="CC21" i="5" s="1"/>
  <c r="CF16" i="5"/>
  <c r="CF13" i="5" s="1"/>
  <c r="CE13" i="5"/>
  <c r="CU3" i="4"/>
  <c r="CU82" i="4" s="1"/>
  <c r="CO87" i="4"/>
  <c r="CL89" i="4"/>
  <c r="CK86" i="4"/>
  <c r="CG94" i="4"/>
  <c r="BY410" i="6"/>
  <c r="BW86" i="1"/>
  <c r="BU11" i="10" s="1"/>
  <c r="BU5" i="10"/>
  <c r="BU6" i="10" s="1"/>
  <c r="CE404" i="6"/>
  <c r="CD401" i="6"/>
  <c r="CM57" i="6"/>
  <c r="CI91" i="4"/>
  <c r="CI93" i="4"/>
  <c r="CI92" i="4"/>
  <c r="CH90" i="4"/>
  <c r="CH94" i="4" s="1"/>
  <c r="CJ86" i="4"/>
  <c r="CI3" i="1"/>
  <c r="BY85" i="1"/>
  <c r="BY84" i="1"/>
  <c r="BY83" i="1"/>
  <c r="BX82" i="1"/>
  <c r="CF61" i="1"/>
  <c r="CF73" i="1" s="1"/>
  <c r="BZ79" i="1"/>
  <c r="BZ78" i="1" s="1"/>
  <c r="BX4" i="10" s="1"/>
  <c r="CC408" i="6" l="1"/>
  <c r="CM397" i="6"/>
  <c r="CH402" i="6" s="1"/>
  <c r="CC407" i="6"/>
  <c r="CC405" i="6" s="1"/>
  <c r="CC409" i="6" s="1"/>
  <c r="CR3" i="6"/>
  <c r="CO8" i="5"/>
  <c r="CP3" i="5"/>
  <c r="CD17" i="5"/>
  <c r="CD21" i="5" s="1"/>
  <c r="CF18" i="5"/>
  <c r="CF19" i="5"/>
  <c r="CF20" i="5"/>
  <c r="CE20" i="5"/>
  <c r="CE18" i="5"/>
  <c r="CE19" i="5"/>
  <c r="CV3" i="4"/>
  <c r="CV82" i="4" s="1"/>
  <c r="CP87" i="4"/>
  <c r="CK92" i="4"/>
  <c r="CK91" i="4"/>
  <c r="CK93" i="4"/>
  <c r="CM89" i="4"/>
  <c r="CL86" i="4"/>
  <c r="BX86" i="1"/>
  <c r="BV5" i="10"/>
  <c r="BV6" i="10" s="1"/>
  <c r="BS7" i="10" s="1"/>
  <c r="CD408" i="6"/>
  <c r="CD407" i="6"/>
  <c r="CD406" i="6"/>
  <c r="CF404" i="6"/>
  <c r="CF401" i="6" s="1"/>
  <c r="CE401" i="6"/>
  <c r="CN57" i="6"/>
  <c r="CI90" i="4"/>
  <c r="CI94" i="4" s="1"/>
  <c r="CJ91" i="4"/>
  <c r="CJ93" i="4"/>
  <c r="CJ92" i="4"/>
  <c r="CJ3" i="1"/>
  <c r="BZ85" i="1"/>
  <c r="BZ83" i="1"/>
  <c r="BZ84" i="1"/>
  <c r="BY82" i="1"/>
  <c r="CG61" i="1"/>
  <c r="CG73" i="1" s="1"/>
  <c r="CA79" i="1"/>
  <c r="CA78" i="1" s="1"/>
  <c r="BY4" i="10" s="1"/>
  <c r="CJ14" i="5" l="1"/>
  <c r="CG16" i="5" s="1"/>
  <c r="CN397" i="6"/>
  <c r="CI402" i="6" s="1"/>
  <c r="CS3" i="6"/>
  <c r="CP8" i="5"/>
  <c r="CK14" i="5" s="1"/>
  <c r="CQ3" i="5"/>
  <c r="CE17" i="5"/>
  <c r="CE21" i="5" s="1"/>
  <c r="CF17" i="5"/>
  <c r="CF21" i="5" s="1"/>
  <c r="CW3" i="4"/>
  <c r="CW82" i="4" s="1"/>
  <c r="CQ87" i="4"/>
  <c r="CK90" i="4"/>
  <c r="CK94" i="4" s="1"/>
  <c r="CL92" i="4"/>
  <c r="CL91" i="4"/>
  <c r="CL93" i="4"/>
  <c r="CN89" i="4"/>
  <c r="CM86" i="4"/>
  <c r="BY86" i="1"/>
  <c r="BW11" i="10" s="1"/>
  <c r="BW5" i="10"/>
  <c r="BW6" i="10" s="1"/>
  <c r="CF408" i="6"/>
  <c r="CF407" i="6"/>
  <c r="CF406" i="6"/>
  <c r="CD405" i="6"/>
  <c r="CD409" i="6" s="1"/>
  <c r="BU87" i="1"/>
  <c r="BV11" i="10"/>
  <c r="CE406" i="6"/>
  <c r="CE408" i="6"/>
  <c r="CE407" i="6"/>
  <c r="CO57" i="6"/>
  <c r="CO397" i="6" s="1"/>
  <c r="CJ90" i="4"/>
  <c r="CK3" i="1"/>
  <c r="BZ82" i="1"/>
  <c r="CA85" i="1"/>
  <c r="CA84" i="1"/>
  <c r="CA83" i="1"/>
  <c r="CH61" i="1"/>
  <c r="CH73" i="1" s="1"/>
  <c r="CB79" i="1"/>
  <c r="CB78" i="1" s="1"/>
  <c r="BZ4" i="10" s="1"/>
  <c r="BW14" i="10" s="1"/>
  <c r="CH16" i="5" l="1"/>
  <c r="CG13" i="5"/>
  <c r="CG18" i="5" s="1"/>
  <c r="CT3" i="6"/>
  <c r="CJ402" i="6"/>
  <c r="CP57" i="6"/>
  <c r="CC22" i="5"/>
  <c r="CR3" i="5"/>
  <c r="CQ8" i="5"/>
  <c r="CL14" i="5" s="1"/>
  <c r="CH13" i="5"/>
  <c r="CI16" i="5"/>
  <c r="CX3" i="4"/>
  <c r="CX82" i="4" s="1"/>
  <c r="CR87" i="4"/>
  <c r="CO89" i="4"/>
  <c r="CN86" i="4"/>
  <c r="CL90" i="4"/>
  <c r="CL94" i="4" s="1"/>
  <c r="CM91" i="4"/>
  <c r="CM93" i="4"/>
  <c r="CM92" i="4"/>
  <c r="CF405" i="6"/>
  <c r="CF409" i="6" s="1"/>
  <c r="BZ86" i="1"/>
  <c r="BX11" i="10" s="1"/>
  <c r="BX5" i="10"/>
  <c r="BX6" i="10" s="1"/>
  <c r="CE405" i="6"/>
  <c r="CE409" i="6" s="1"/>
  <c r="CG404" i="6"/>
  <c r="CJ94" i="4"/>
  <c r="CL3" i="1"/>
  <c r="CB83" i="1"/>
  <c r="CB85" i="1"/>
  <c r="CB84" i="1"/>
  <c r="CA82" i="1"/>
  <c r="CI61" i="1"/>
  <c r="CI73" i="1" s="1"/>
  <c r="CC79" i="1"/>
  <c r="CC78" i="1" s="1"/>
  <c r="CA4" i="10" s="1"/>
  <c r="CG19" i="5" l="1"/>
  <c r="CG20" i="5"/>
  <c r="CQ57" i="6"/>
  <c r="CP397" i="6"/>
  <c r="CU3" i="6"/>
  <c r="CS3" i="5"/>
  <c r="CR8" i="5"/>
  <c r="CM14" i="5" s="1"/>
  <c r="CJ16" i="5"/>
  <c r="CK16" i="5" s="1"/>
  <c r="CI13" i="5"/>
  <c r="CG17" i="5"/>
  <c r="CG21" i="5" s="1"/>
  <c r="CH20" i="5"/>
  <c r="CH19" i="5"/>
  <c r="CH18" i="5"/>
  <c r="CY3" i="4"/>
  <c r="CY82" i="4" s="1"/>
  <c r="CS87" i="4"/>
  <c r="CP89" i="4"/>
  <c r="CO86" i="4"/>
  <c r="CM90" i="4"/>
  <c r="CM94" i="4" s="1"/>
  <c r="CN92" i="4"/>
  <c r="CN91" i="4"/>
  <c r="CN93" i="4"/>
  <c r="CC410" i="6"/>
  <c r="CA86" i="1"/>
  <c r="BY11" i="10" s="1"/>
  <c r="BY5" i="10"/>
  <c r="BY6" i="10" s="1"/>
  <c r="CH404" i="6"/>
  <c r="CG401" i="6"/>
  <c r="CG95" i="4"/>
  <c r="CM3" i="1"/>
  <c r="CC85" i="1"/>
  <c r="CC84" i="1"/>
  <c r="CC83" i="1"/>
  <c r="CB82" i="1"/>
  <c r="CJ61" i="1"/>
  <c r="CJ73" i="1" s="1"/>
  <c r="CD79" i="1"/>
  <c r="CD78" i="1" s="1"/>
  <c r="CB4" i="10" s="1"/>
  <c r="CV3" i="6" l="1"/>
  <c r="CR57" i="6"/>
  <c r="CQ397" i="6"/>
  <c r="CL16" i="5"/>
  <c r="CK13" i="5"/>
  <c r="CT3" i="5"/>
  <c r="CS8" i="5"/>
  <c r="CN14" i="5" s="1"/>
  <c r="CH17" i="5"/>
  <c r="CH21" i="5" s="1"/>
  <c r="CI19" i="5"/>
  <c r="CI18" i="5"/>
  <c r="CI20" i="5"/>
  <c r="CJ13" i="5"/>
  <c r="CZ3" i="4"/>
  <c r="CZ82" i="4" s="1"/>
  <c r="CT87" i="4"/>
  <c r="CN90" i="4"/>
  <c r="CN94" i="4" s="1"/>
  <c r="CK95" i="4" s="1"/>
  <c r="CQ89" i="4"/>
  <c r="CP86" i="4"/>
  <c r="CO92" i="4"/>
  <c r="CO91" i="4"/>
  <c r="CO93" i="4"/>
  <c r="CB86" i="1"/>
  <c r="BZ5" i="10"/>
  <c r="BZ6" i="10" s="1"/>
  <c r="BW7" i="10" s="1"/>
  <c r="CI404" i="6"/>
  <c r="CH401" i="6"/>
  <c r="CG408" i="6"/>
  <c r="CG406" i="6"/>
  <c r="CG407" i="6"/>
  <c r="CN3" i="1"/>
  <c r="CD85" i="1"/>
  <c r="CD83" i="1"/>
  <c r="CD84" i="1"/>
  <c r="CC82" i="1"/>
  <c r="CK61" i="1"/>
  <c r="CK73" i="1" s="1"/>
  <c r="CE79" i="1"/>
  <c r="CE78" i="1" s="1"/>
  <c r="CC4" i="10" s="1"/>
  <c r="CS57" i="6" l="1"/>
  <c r="CR397" i="6"/>
  <c r="CW3" i="6"/>
  <c r="CK19" i="5"/>
  <c r="CK18" i="5"/>
  <c r="CK20" i="5"/>
  <c r="CM16" i="5"/>
  <c r="CL13" i="5"/>
  <c r="CU3" i="5"/>
  <c r="CT8" i="5"/>
  <c r="CO14" i="5" s="1"/>
  <c r="CJ19" i="5"/>
  <c r="CJ20" i="5"/>
  <c r="CJ18" i="5"/>
  <c r="CI17" i="5"/>
  <c r="CI21" i="5" s="1"/>
  <c r="CO90" i="4"/>
  <c r="CO94" i="4" s="1"/>
  <c r="DA3" i="4"/>
  <c r="CU87" i="4"/>
  <c r="CR89" i="4"/>
  <c r="CQ86" i="4"/>
  <c r="CP92" i="4"/>
  <c r="CP91" i="4"/>
  <c r="CP93" i="4"/>
  <c r="CG405" i="6"/>
  <c r="CG409" i="6" s="1"/>
  <c r="CC86" i="1"/>
  <c r="CA11" i="10" s="1"/>
  <c r="CA5" i="10"/>
  <c r="CA6" i="10" s="1"/>
  <c r="CJ404" i="6"/>
  <c r="CK404" i="6" s="1"/>
  <c r="CI401" i="6"/>
  <c r="BY87" i="1"/>
  <c r="BZ11" i="10"/>
  <c r="CH408" i="6"/>
  <c r="CH407" i="6"/>
  <c r="CH406" i="6"/>
  <c r="CO3" i="1"/>
  <c r="CD82" i="1"/>
  <c r="CE85" i="1"/>
  <c r="CE84" i="1"/>
  <c r="CE83" i="1"/>
  <c r="CL61" i="1"/>
  <c r="CL73" i="1" s="1"/>
  <c r="CF79" i="1"/>
  <c r="CF78" i="1" s="1"/>
  <c r="CD4" i="10" s="1"/>
  <c r="CA14" i="10" s="1"/>
  <c r="CL404" i="6" l="1"/>
  <c r="CK401" i="6"/>
  <c r="CT57" i="6"/>
  <c r="CS397" i="6"/>
  <c r="CM13" i="5"/>
  <c r="CN16" i="5"/>
  <c r="CL18" i="5"/>
  <c r="CL19" i="5"/>
  <c r="CL20" i="5"/>
  <c r="CK17" i="5"/>
  <c r="CK21" i="5" s="1"/>
  <c r="CV3" i="5"/>
  <c r="CU8" i="5"/>
  <c r="CP14" i="5" s="1"/>
  <c r="CJ17" i="5"/>
  <c r="DA82" i="4"/>
  <c r="DB3" i="4"/>
  <c r="CV87" i="4"/>
  <c r="CP90" i="4"/>
  <c r="CP94" i="4" s="1"/>
  <c r="CQ91" i="4"/>
  <c r="CQ93" i="4"/>
  <c r="CQ92" i="4"/>
  <c r="CS89" i="4"/>
  <c r="CR86" i="4"/>
  <c r="CH405" i="6"/>
  <c r="CH409" i="6" s="1"/>
  <c r="CJ401" i="6"/>
  <c r="CD86" i="1"/>
  <c r="CB11" i="10" s="1"/>
  <c r="CB5" i="10"/>
  <c r="CB6" i="10" s="1"/>
  <c r="CI406" i="6"/>
  <c r="CI408" i="6"/>
  <c r="CI407" i="6"/>
  <c r="CF83" i="1"/>
  <c r="CF85" i="1"/>
  <c r="CF84" i="1"/>
  <c r="CE82" i="1"/>
  <c r="CP3" i="1"/>
  <c r="CM61" i="1"/>
  <c r="CM73" i="1" s="1"/>
  <c r="CG79" i="1"/>
  <c r="CG78" i="1" s="1"/>
  <c r="CE4" i="10" s="1"/>
  <c r="CK406" i="6" l="1"/>
  <c r="CK407" i="6"/>
  <c r="CK408" i="6"/>
  <c r="CM404" i="6"/>
  <c r="CL401" i="6"/>
  <c r="CU57" i="6"/>
  <c r="CT397" i="6"/>
  <c r="CY3" i="6"/>
  <c r="CL17" i="5"/>
  <c r="CL21" i="5" s="1"/>
  <c r="CM19" i="5"/>
  <c r="CM20" i="5"/>
  <c r="CM18" i="5"/>
  <c r="CO16" i="5"/>
  <c r="CN13" i="5"/>
  <c r="CW3" i="5"/>
  <c r="CV8" i="5"/>
  <c r="CQ14" i="5" s="1"/>
  <c r="CJ21" i="5"/>
  <c r="DB82" i="4"/>
  <c r="CW87" i="4" s="1"/>
  <c r="DC3" i="4"/>
  <c r="CR91" i="4"/>
  <c r="CR93" i="4"/>
  <c r="CR92" i="4"/>
  <c r="CQ90" i="4"/>
  <c r="CQ94" i="4" s="1"/>
  <c r="CT89" i="4"/>
  <c r="CS86" i="4"/>
  <c r="CE86" i="1"/>
  <c r="CC11" i="10" s="1"/>
  <c r="CC5" i="10"/>
  <c r="CC6" i="10" s="1"/>
  <c r="CI405" i="6"/>
  <c r="CJ407" i="6"/>
  <c r="CJ408" i="6"/>
  <c r="CJ406" i="6"/>
  <c r="CG85" i="1"/>
  <c r="CG84" i="1"/>
  <c r="CG83" i="1"/>
  <c r="CF82" i="1"/>
  <c r="CN61" i="1"/>
  <c r="CN73" i="1" s="1"/>
  <c r="CH79" i="1"/>
  <c r="CH78" i="1" s="1"/>
  <c r="CF4" i="10" s="1"/>
  <c r="CL407" i="6" l="1"/>
  <c r="CL408" i="6"/>
  <c r="CL406" i="6"/>
  <c r="CL405" i="6" s="1"/>
  <c r="CL409" i="6" s="1"/>
  <c r="CN404" i="6"/>
  <c r="CM401" i="6"/>
  <c r="CK405" i="6"/>
  <c r="CK409" i="6" s="1"/>
  <c r="CM17" i="5"/>
  <c r="CM21" i="5" s="1"/>
  <c r="CZ3" i="6"/>
  <c r="DA3" i="6" s="1"/>
  <c r="CV57" i="6"/>
  <c r="CU397" i="6"/>
  <c r="CP16" i="5"/>
  <c r="CO13" i="5"/>
  <c r="CN19" i="5"/>
  <c r="CN20" i="5"/>
  <c r="CN18" i="5"/>
  <c r="CX3" i="5"/>
  <c r="CW8" i="5"/>
  <c r="CR14" i="5" s="1"/>
  <c r="CG22" i="5"/>
  <c r="DD3" i="4"/>
  <c r="DC82" i="4"/>
  <c r="CX87" i="4" s="1"/>
  <c r="CS92" i="4"/>
  <c r="CS91" i="4"/>
  <c r="CS93" i="4"/>
  <c r="CU89" i="4"/>
  <c r="CT86" i="4"/>
  <c r="CR90" i="4"/>
  <c r="CR94" i="4" s="1"/>
  <c r="CO95" i="4" s="1"/>
  <c r="CJ405" i="6"/>
  <c r="CF86" i="1"/>
  <c r="CD5" i="10"/>
  <c r="CD6" i="10" s="1"/>
  <c r="CA7" i="10" s="1"/>
  <c r="CI409" i="6"/>
  <c r="CG82" i="1"/>
  <c r="CH85" i="1"/>
  <c r="CH83" i="1"/>
  <c r="CH84" i="1"/>
  <c r="CO61" i="1"/>
  <c r="CO73" i="1" s="1"/>
  <c r="CI79" i="1"/>
  <c r="CI78" i="1" s="1"/>
  <c r="CG4" i="10" s="1"/>
  <c r="CO404" i="6" l="1"/>
  <c r="CN401" i="6"/>
  <c r="CM406" i="6"/>
  <c r="CM407" i="6"/>
  <c r="CM408" i="6"/>
  <c r="CN17" i="5"/>
  <c r="CN21" i="5" s="1"/>
  <c r="CK22" i="5" s="1"/>
  <c r="CJ409" i="6"/>
  <c r="CW57" i="6"/>
  <c r="CV397" i="6"/>
  <c r="CQ16" i="5"/>
  <c r="CP13" i="5"/>
  <c r="CO19" i="5"/>
  <c r="CO18" i="5"/>
  <c r="CO20" i="5"/>
  <c r="CY3" i="5"/>
  <c r="CX8" i="5"/>
  <c r="CS14" i="5" s="1"/>
  <c r="DE3" i="4"/>
  <c r="DD82" i="4"/>
  <c r="CY87" i="4" s="1"/>
  <c r="CT91" i="4"/>
  <c r="CT93" i="4"/>
  <c r="CT92" i="4"/>
  <c r="CV89" i="4"/>
  <c r="CW89" i="4" s="1"/>
  <c r="CU86" i="4"/>
  <c r="CS90" i="4"/>
  <c r="CS94" i="4" s="1"/>
  <c r="CG86" i="1"/>
  <c r="CE11" i="10" s="1"/>
  <c r="CE5" i="10"/>
  <c r="CE6" i="10" s="1"/>
  <c r="CG410" i="6"/>
  <c r="CC87" i="1"/>
  <c r="CD11" i="10"/>
  <c r="CI85" i="1"/>
  <c r="CI84" i="1"/>
  <c r="CI83" i="1"/>
  <c r="CH82" i="1"/>
  <c r="CP61" i="1"/>
  <c r="CP73" i="1" s="1"/>
  <c r="CJ79" i="1"/>
  <c r="CN406" i="6" l="1"/>
  <c r="CN407" i="6"/>
  <c r="CN408" i="6"/>
  <c r="CM405" i="6"/>
  <c r="CP404" i="6"/>
  <c r="CO401" i="6"/>
  <c r="CO17" i="5"/>
  <c r="CO21" i="5" s="1"/>
  <c r="CX57" i="6"/>
  <c r="CW397" i="6"/>
  <c r="CP19" i="5"/>
  <c r="CP18" i="5"/>
  <c r="CP20" i="5"/>
  <c r="CR16" i="5"/>
  <c r="CQ13" i="5"/>
  <c r="CZ3" i="5"/>
  <c r="CY8" i="5"/>
  <c r="CT14" i="5" s="1"/>
  <c r="CX89" i="4"/>
  <c r="CW86" i="4"/>
  <c r="DF3" i="4"/>
  <c r="DE82" i="4"/>
  <c r="CZ87" i="4" s="1"/>
  <c r="CV86" i="4"/>
  <c r="CU91" i="4"/>
  <c r="CU93" i="4"/>
  <c r="CU92" i="4"/>
  <c r="CT90" i="4"/>
  <c r="CT94" i="4" s="1"/>
  <c r="CH86" i="1"/>
  <c r="CF11" i="10" s="1"/>
  <c r="CF5" i="10"/>
  <c r="CF6" i="10" s="1"/>
  <c r="CJ78" i="1"/>
  <c r="CH4" i="10" s="1"/>
  <c r="CE14" i="10" s="1"/>
  <c r="CK79" i="1"/>
  <c r="CI82" i="1"/>
  <c r="CQ404" i="6" l="1"/>
  <c r="CP401" i="6"/>
  <c r="CO407" i="6"/>
  <c r="CO406" i="6"/>
  <c r="CO405" i="6" s="1"/>
  <c r="CO409" i="6" s="1"/>
  <c r="CO408" i="6"/>
  <c r="CM409" i="6"/>
  <c r="CN405" i="6"/>
  <c r="CN409" i="6" s="1"/>
  <c r="CK410" i="6" s="1"/>
  <c r="CP17" i="5"/>
  <c r="CP21" i="5" s="1"/>
  <c r="DC3" i="6"/>
  <c r="CY57" i="6"/>
  <c r="CX397" i="6"/>
  <c r="CS402" i="6" s="1"/>
  <c r="CS16" i="5"/>
  <c r="CR13" i="5"/>
  <c r="CQ19" i="5"/>
  <c r="CQ18" i="5"/>
  <c r="CQ20" i="5"/>
  <c r="DA3" i="5"/>
  <c r="CZ8" i="5"/>
  <c r="CU14" i="5" s="1"/>
  <c r="CY89" i="4"/>
  <c r="CX86" i="4"/>
  <c r="CW93" i="4"/>
  <c r="CW91" i="4"/>
  <c r="CW92" i="4"/>
  <c r="DG3" i="4"/>
  <c r="DF82" i="4"/>
  <c r="DA87" i="4" s="1"/>
  <c r="CV92" i="4"/>
  <c r="CV93" i="4"/>
  <c r="CV91" i="4"/>
  <c r="CU90" i="4"/>
  <c r="CU94" i="4" s="1"/>
  <c r="CI86" i="1"/>
  <c r="CG11" i="10" s="1"/>
  <c r="CG5" i="10"/>
  <c r="CG6" i="10" s="1"/>
  <c r="CI4" i="10"/>
  <c r="CJ84" i="1"/>
  <c r="CK84" i="1" s="1"/>
  <c r="CJ83" i="1"/>
  <c r="CJ85" i="1"/>
  <c r="CK85" i="1" s="1"/>
  <c r="CK78" i="1"/>
  <c r="CR404" i="6" l="1"/>
  <c r="CQ401" i="6"/>
  <c r="CP408" i="6"/>
  <c r="CP406" i="6"/>
  <c r="CP407" i="6"/>
  <c r="CQ17" i="5"/>
  <c r="CQ21" i="5" s="1"/>
  <c r="CZ57" i="6"/>
  <c r="CY397" i="6"/>
  <c r="CT402" i="6" s="1"/>
  <c r="DD3" i="6"/>
  <c r="CR18" i="5"/>
  <c r="CR20" i="5"/>
  <c r="CR19" i="5"/>
  <c r="CT16" i="5"/>
  <c r="CS13" i="5"/>
  <c r="DB3" i="5"/>
  <c r="DA8" i="5"/>
  <c r="CV14" i="5" s="1"/>
  <c r="CW90" i="4"/>
  <c r="CW94" i="4" s="1"/>
  <c r="CX91" i="4"/>
  <c r="CX93" i="4"/>
  <c r="CX92" i="4"/>
  <c r="CZ89" i="4"/>
  <c r="CY86" i="4"/>
  <c r="DH3" i="4"/>
  <c r="DG82" i="4"/>
  <c r="DB87" i="4" s="1"/>
  <c r="CV90" i="4"/>
  <c r="CJ82" i="1"/>
  <c r="CH5" i="10" s="1"/>
  <c r="CK83" i="1"/>
  <c r="CP405" i="6" l="1"/>
  <c r="CS404" i="6"/>
  <c r="CR401" i="6"/>
  <c r="CQ408" i="6"/>
  <c r="CQ406" i="6"/>
  <c r="CQ405" i="6" s="1"/>
  <c r="CQ409" i="6" s="1"/>
  <c r="CQ407" i="6"/>
  <c r="DE3" i="6"/>
  <c r="DA57" i="6"/>
  <c r="CZ397" i="6"/>
  <c r="CU402" i="6" s="1"/>
  <c r="CT13" i="5"/>
  <c r="CU16" i="5"/>
  <c r="CS18" i="5"/>
  <c r="CS20" i="5"/>
  <c r="CS19" i="5"/>
  <c r="CR17" i="5"/>
  <c r="CR21" i="5" s="1"/>
  <c r="CO22" i="5" s="1"/>
  <c r="DC3" i="5"/>
  <c r="DB8" i="5"/>
  <c r="CW14" i="5" s="1"/>
  <c r="CY93" i="4"/>
  <c r="CY91" i="4"/>
  <c r="CY92" i="4"/>
  <c r="CX90" i="4"/>
  <c r="CX94" i="4" s="1"/>
  <c r="DA89" i="4"/>
  <c r="CZ86" i="4"/>
  <c r="CV94" i="4"/>
  <c r="CS95" i="4" s="1"/>
  <c r="DI3" i="4"/>
  <c r="DH82" i="4"/>
  <c r="DC87" i="4" s="1"/>
  <c r="CI5" i="10"/>
  <c r="CH6" i="10"/>
  <c r="CJ86" i="1"/>
  <c r="CH11" i="10" s="1"/>
  <c r="CK82" i="1"/>
  <c r="CR406" i="6" l="1"/>
  <c r="CR407" i="6"/>
  <c r="CR408" i="6"/>
  <c r="CT404" i="6"/>
  <c r="CS401" i="6"/>
  <c r="CP409" i="6"/>
  <c r="DB57" i="6"/>
  <c r="CV402" i="6"/>
  <c r="DF3" i="6"/>
  <c r="DF397" i="6" s="1"/>
  <c r="CS17" i="5"/>
  <c r="CS21" i="5" s="1"/>
  <c r="CT19" i="5"/>
  <c r="CT18" i="5"/>
  <c r="CT20" i="5"/>
  <c r="CU13" i="5"/>
  <c r="CV16" i="5"/>
  <c r="DD3" i="5"/>
  <c r="DC8" i="5"/>
  <c r="CX14" i="5" s="1"/>
  <c r="DB89" i="4"/>
  <c r="DA86" i="4"/>
  <c r="CZ91" i="4"/>
  <c r="CZ92" i="4"/>
  <c r="CZ93" i="4"/>
  <c r="CY90" i="4"/>
  <c r="CY94" i="4" s="1"/>
  <c r="DJ3" i="4"/>
  <c r="DI82" i="4"/>
  <c r="DD87" i="4" s="1"/>
  <c r="CI6" i="10"/>
  <c r="CE7" i="10"/>
  <c r="CI7" i="10" s="1"/>
  <c r="CK86" i="1"/>
  <c r="CG87" i="1"/>
  <c r="CK87" i="1" s="1"/>
  <c r="CS406" i="6" l="1"/>
  <c r="CS407" i="6"/>
  <c r="CS408" i="6"/>
  <c r="CU404" i="6"/>
  <c r="CT401" i="6"/>
  <c r="CR405" i="6"/>
  <c r="DC57" i="6"/>
  <c r="CW402" i="6"/>
  <c r="CV13" i="5"/>
  <c r="CW16" i="5"/>
  <c r="CU18" i="5"/>
  <c r="CU20" i="5"/>
  <c r="CU19" i="5"/>
  <c r="CT17" i="5"/>
  <c r="CT21" i="5" s="1"/>
  <c r="DE3" i="5"/>
  <c r="DD8" i="5"/>
  <c r="CY14" i="5" s="1"/>
  <c r="DC89" i="4"/>
  <c r="DB86" i="4"/>
  <c r="CZ90" i="4"/>
  <c r="CZ94" i="4" s="1"/>
  <c r="CW95" i="4" s="1"/>
  <c r="DA91" i="4"/>
  <c r="DA93" i="4"/>
  <c r="DA92" i="4"/>
  <c r="DK3" i="4"/>
  <c r="DJ82" i="4"/>
  <c r="DE87" i="4" s="1"/>
  <c r="CT406" i="6" l="1"/>
  <c r="CT407" i="6"/>
  <c r="CT408" i="6"/>
  <c r="CR409" i="6"/>
  <c r="CO410" i="6" s="1"/>
  <c r="CV404" i="6"/>
  <c r="CU401" i="6"/>
  <c r="CS405" i="6"/>
  <c r="CS409" i="6" s="1"/>
  <c r="DD57" i="6"/>
  <c r="DC397" i="6"/>
  <c r="CX402" i="6" s="1"/>
  <c r="CU17" i="5"/>
  <c r="CU21" i="5" s="1"/>
  <c r="CV19" i="5"/>
  <c r="CV20" i="5"/>
  <c r="CV18" i="5"/>
  <c r="CX16" i="5"/>
  <c r="CW13" i="5"/>
  <c r="DF3" i="5"/>
  <c r="DE8" i="5"/>
  <c r="CZ14" i="5" s="1"/>
  <c r="DA90" i="4"/>
  <c r="DA94" i="4" s="1"/>
  <c r="DD89" i="4"/>
  <c r="DC86" i="4"/>
  <c r="DB92" i="4"/>
  <c r="DB91" i="4"/>
  <c r="DB93" i="4"/>
  <c r="DL3" i="4"/>
  <c r="DK82" i="4"/>
  <c r="DF87" i="4" s="1"/>
  <c r="CW404" i="6" l="1"/>
  <c r="CV401" i="6"/>
  <c r="CU406" i="6"/>
  <c r="CU407" i="6"/>
  <c r="CU408" i="6"/>
  <c r="CT405" i="6"/>
  <c r="CT409" i="6" s="1"/>
  <c r="DE57" i="6"/>
  <c r="DD397" i="6"/>
  <c r="CY402" i="6" s="1"/>
  <c r="CW19" i="5"/>
  <c r="CW18" i="5"/>
  <c r="CW20" i="5"/>
  <c r="CY16" i="5"/>
  <c r="CX13" i="5"/>
  <c r="CV17" i="5"/>
  <c r="CV21" i="5" s="1"/>
  <c r="CS22" i="5" s="1"/>
  <c r="DG3" i="5"/>
  <c r="DF8" i="5"/>
  <c r="DA14" i="5" s="1"/>
  <c r="DB90" i="4"/>
  <c r="DB94" i="4" s="1"/>
  <c r="DC91" i="4"/>
  <c r="DC92" i="4"/>
  <c r="DC93" i="4"/>
  <c r="DE89" i="4"/>
  <c r="DD86" i="4"/>
  <c r="DM3" i="4"/>
  <c r="DL82" i="4"/>
  <c r="DG87" i="4" s="1"/>
  <c r="CV406" i="6" l="1"/>
  <c r="CV407" i="6"/>
  <c r="CV408" i="6"/>
  <c r="CU405" i="6"/>
  <c r="CU409" i="6" s="1"/>
  <c r="CX404" i="6"/>
  <c r="CW401" i="6"/>
  <c r="DF57" i="6"/>
  <c r="DE397" i="6"/>
  <c r="CZ402" i="6" s="1"/>
  <c r="DA402" i="6" s="1"/>
  <c r="CZ16" i="5"/>
  <c r="CY13" i="5"/>
  <c r="CX18" i="5"/>
  <c r="CX20" i="5"/>
  <c r="CX19" i="5"/>
  <c r="CW17" i="5"/>
  <c r="CW21" i="5" s="1"/>
  <c r="DH3" i="5"/>
  <c r="DG8" i="5"/>
  <c r="DB14" i="5" s="1"/>
  <c r="DF89" i="4"/>
  <c r="DE86" i="4"/>
  <c r="DD92" i="4"/>
  <c r="DD91" i="4"/>
  <c r="DD93" i="4"/>
  <c r="DC90" i="4"/>
  <c r="DC94" i="4" s="1"/>
  <c r="DN3" i="4"/>
  <c r="DM82" i="4"/>
  <c r="DH87" i="4" s="1"/>
  <c r="CW406" i="6" l="1"/>
  <c r="CW407" i="6"/>
  <c r="CW408" i="6"/>
  <c r="CY404" i="6"/>
  <c r="CV405" i="6"/>
  <c r="CV409" i="6" s="1"/>
  <c r="CS410" i="6" s="1"/>
  <c r="CX17" i="5"/>
  <c r="CX21" i="5" s="1"/>
  <c r="DA16" i="5"/>
  <c r="CZ13" i="5"/>
  <c r="CY19" i="5"/>
  <c r="CY18" i="5"/>
  <c r="CY20" i="5"/>
  <c r="DI3" i="5"/>
  <c r="DH8" i="5"/>
  <c r="DC14" i="5" s="1"/>
  <c r="DG89" i="4"/>
  <c r="DF86" i="4"/>
  <c r="DD90" i="4"/>
  <c r="DD94" i="4" s="1"/>
  <c r="DA95" i="4" s="1"/>
  <c r="DE93" i="4"/>
  <c r="DE91" i="4"/>
  <c r="DE92" i="4"/>
  <c r="DO3" i="4"/>
  <c r="DN82" i="4"/>
  <c r="DI87" i="4" s="1"/>
  <c r="CZ404" i="6" l="1"/>
  <c r="CY401" i="6"/>
  <c r="CX406" i="6"/>
  <c r="CX407" i="6"/>
  <c r="CX408" i="6"/>
  <c r="CW405" i="6"/>
  <c r="CW409" i="6" s="1"/>
  <c r="DB16" i="5"/>
  <c r="DA13" i="5"/>
  <c r="CY17" i="5"/>
  <c r="CY21" i="5" s="1"/>
  <c r="CZ18" i="5"/>
  <c r="CZ20" i="5"/>
  <c r="CZ19" i="5"/>
  <c r="DJ3" i="5"/>
  <c r="DI8" i="5"/>
  <c r="DD14" i="5" s="1"/>
  <c r="DF92" i="4"/>
  <c r="DF93" i="4"/>
  <c r="DF91" i="4"/>
  <c r="DE90" i="4"/>
  <c r="DE94" i="4" s="1"/>
  <c r="DH89" i="4"/>
  <c r="DG86" i="4"/>
  <c r="DP3" i="4"/>
  <c r="DO82" i="4"/>
  <c r="DJ87" i="4" s="1"/>
  <c r="CY406" i="6" l="1"/>
  <c r="CY407" i="6"/>
  <c r="CY408" i="6"/>
  <c r="CX405" i="6"/>
  <c r="CX409" i="6" s="1"/>
  <c r="DA404" i="6"/>
  <c r="CZ401" i="6"/>
  <c r="DC16" i="5"/>
  <c r="DB13" i="5"/>
  <c r="CZ17" i="5"/>
  <c r="CZ21" i="5" s="1"/>
  <c r="CW22" i="5" s="1"/>
  <c r="DA19" i="5"/>
  <c r="DA18" i="5"/>
  <c r="DA20" i="5"/>
  <c r="DK3" i="5"/>
  <c r="DJ8" i="5"/>
  <c r="DE14" i="5" s="1"/>
  <c r="DF90" i="4"/>
  <c r="DF94" i="4" s="1"/>
  <c r="DG91" i="4"/>
  <c r="DG92" i="4"/>
  <c r="DG93" i="4"/>
  <c r="DI89" i="4"/>
  <c r="DH86" i="4"/>
  <c r="DQ3" i="4"/>
  <c r="DP82" i="4"/>
  <c r="DK87" i="4" s="1"/>
  <c r="CY405" i="6" l="1"/>
  <c r="CY409" i="6" s="1"/>
  <c r="CZ407" i="6"/>
  <c r="DA407" i="6" s="1"/>
  <c r="CZ408" i="6"/>
  <c r="DA408" i="6" s="1"/>
  <c r="CZ406" i="6"/>
  <c r="DA401" i="6"/>
  <c r="DB18" i="5"/>
  <c r="DB20" i="5"/>
  <c r="DB19" i="5"/>
  <c r="DA17" i="5"/>
  <c r="DA21" i="5" s="1"/>
  <c r="DD16" i="5"/>
  <c r="DC13" i="5"/>
  <c r="DL3" i="5"/>
  <c r="DK8" i="5"/>
  <c r="DF14" i="5" s="1"/>
  <c r="DJ89" i="4"/>
  <c r="DI86" i="4"/>
  <c r="DG90" i="4"/>
  <c r="DG94" i="4" s="1"/>
  <c r="DH93" i="4"/>
  <c r="DH92" i="4"/>
  <c r="DH91" i="4"/>
  <c r="DR3" i="4"/>
  <c r="DQ82" i="4"/>
  <c r="DL87" i="4" s="1"/>
  <c r="CZ405" i="6" l="1"/>
  <c r="DA406" i="6"/>
  <c r="DC18" i="5"/>
  <c r="DC20" i="5"/>
  <c r="DC19" i="5"/>
  <c r="DE16" i="5"/>
  <c r="DD13" i="5"/>
  <c r="DB17" i="5"/>
  <c r="DB21" i="5" s="1"/>
  <c r="DL8" i="5"/>
  <c r="DG14" i="5" s="1"/>
  <c r="DM3" i="5"/>
  <c r="DH90" i="4"/>
  <c r="DH94" i="4" s="1"/>
  <c r="DE95" i="4" s="1"/>
  <c r="DI91" i="4"/>
  <c r="DI92" i="4"/>
  <c r="DI93" i="4"/>
  <c r="DK89" i="4"/>
  <c r="DJ86" i="4"/>
  <c r="DS3" i="4"/>
  <c r="DR82" i="4"/>
  <c r="DM87" i="4" s="1"/>
  <c r="DA405" i="6" l="1"/>
  <c r="CW410" i="6"/>
  <c r="DF16" i="5"/>
  <c r="DE13" i="5"/>
  <c r="DC17" i="5"/>
  <c r="DC21" i="5" s="1"/>
  <c r="DD18" i="5"/>
  <c r="DD20" i="5"/>
  <c r="DD19" i="5"/>
  <c r="DN3" i="5"/>
  <c r="DM8" i="5"/>
  <c r="DH14" i="5" s="1"/>
  <c r="DJ92" i="4"/>
  <c r="DJ93" i="4"/>
  <c r="DJ91" i="4"/>
  <c r="DL89" i="4"/>
  <c r="DK86" i="4"/>
  <c r="DI90" i="4"/>
  <c r="DI94" i="4" s="1"/>
  <c r="DT3" i="4"/>
  <c r="DS82" i="4"/>
  <c r="DN87" i="4" s="1"/>
  <c r="DA409" i="6" l="1"/>
  <c r="DD17" i="5"/>
  <c r="DD21" i="5" s="1"/>
  <c r="DA22" i="5" s="1"/>
  <c r="DE18" i="5"/>
  <c r="DE20" i="5"/>
  <c r="DE19" i="5"/>
  <c r="DG16" i="5"/>
  <c r="DF13" i="5"/>
  <c r="DO3" i="5"/>
  <c r="DN8" i="5"/>
  <c r="DI14" i="5" s="1"/>
  <c r="DJ90" i="4"/>
  <c r="DJ94" i="4" s="1"/>
  <c r="DK91" i="4"/>
  <c r="DK92" i="4"/>
  <c r="DK93" i="4"/>
  <c r="DM89" i="4"/>
  <c r="DL86" i="4"/>
  <c r="DU3" i="4"/>
  <c r="DT82" i="4"/>
  <c r="DO87" i="4" s="1"/>
  <c r="DA410" i="6" l="1"/>
  <c r="DH16" i="5"/>
  <c r="DG13" i="5"/>
  <c r="DF18" i="5"/>
  <c r="DF20" i="5"/>
  <c r="DF19" i="5"/>
  <c r="DE17" i="5"/>
  <c r="DE21" i="5" s="1"/>
  <c r="DP3" i="5"/>
  <c r="DO8" i="5"/>
  <c r="DJ14" i="5" s="1"/>
  <c r="DN89" i="4"/>
  <c r="DM86" i="4"/>
  <c r="DL92" i="4"/>
  <c r="DL91" i="4"/>
  <c r="DL93" i="4"/>
  <c r="DK90" i="4"/>
  <c r="DK94" i="4" s="1"/>
  <c r="DV3" i="4"/>
  <c r="DU82" i="4"/>
  <c r="DP87" i="4" s="1"/>
  <c r="DG18" i="5" l="1"/>
  <c r="DG20" i="5"/>
  <c r="DG19" i="5"/>
  <c r="DF17" i="5"/>
  <c r="DF21" i="5" s="1"/>
  <c r="DI16" i="5"/>
  <c r="DH13" i="5"/>
  <c r="DQ3" i="5"/>
  <c r="DP8" i="5"/>
  <c r="DK14" i="5" s="1"/>
  <c r="DM91" i="4"/>
  <c r="DM92" i="4"/>
  <c r="DM93" i="4"/>
  <c r="DL90" i="4"/>
  <c r="DL94" i="4" s="1"/>
  <c r="DI95" i="4" s="1"/>
  <c r="DO89" i="4"/>
  <c r="DN86" i="4"/>
  <c r="DW3" i="4"/>
  <c r="DV82" i="4"/>
  <c r="DQ87" i="4" s="1"/>
  <c r="DH18" i="5" l="1"/>
  <c r="DH20" i="5"/>
  <c r="DH19" i="5"/>
  <c r="DJ16" i="5"/>
  <c r="DI13" i="5"/>
  <c r="DG17" i="5"/>
  <c r="DG21" i="5" s="1"/>
  <c r="DR3" i="5"/>
  <c r="DQ8" i="5"/>
  <c r="DL14" i="5" s="1"/>
  <c r="DN92" i="4"/>
  <c r="DN93" i="4"/>
  <c r="DN91" i="4"/>
  <c r="DP89" i="4"/>
  <c r="DO86" i="4"/>
  <c r="DM90" i="4"/>
  <c r="DM94" i="4" s="1"/>
  <c r="DX3" i="4"/>
  <c r="DW82" i="4"/>
  <c r="DR87" i="4" s="1"/>
  <c r="DK16" i="5" l="1"/>
  <c r="DJ13" i="5"/>
  <c r="DI18" i="5"/>
  <c r="DI20" i="5"/>
  <c r="DI19" i="5"/>
  <c r="DH17" i="5"/>
  <c r="DH21" i="5" s="1"/>
  <c r="DE22" i="5" s="1"/>
  <c r="DS3" i="5"/>
  <c r="DR8" i="5"/>
  <c r="DM14" i="5" s="1"/>
  <c r="DN90" i="4"/>
  <c r="DN94" i="4" s="1"/>
  <c r="DO91" i="4"/>
  <c r="DO92" i="4"/>
  <c r="DO93" i="4"/>
  <c r="DQ89" i="4"/>
  <c r="DP86" i="4"/>
  <c r="DY3" i="4"/>
  <c r="DX82" i="4"/>
  <c r="DS87" i="4" s="1"/>
  <c r="DJ18" i="5" l="1"/>
  <c r="DJ20" i="5"/>
  <c r="DJ19" i="5"/>
  <c r="DI17" i="5"/>
  <c r="DI21" i="5" s="1"/>
  <c r="DL16" i="5"/>
  <c r="DK13" i="5"/>
  <c r="DT3" i="5"/>
  <c r="DS8" i="5"/>
  <c r="DN14" i="5" s="1"/>
  <c r="DR89" i="4"/>
  <c r="DQ86" i="4"/>
  <c r="DP92" i="4"/>
  <c r="DP91" i="4"/>
  <c r="DP93" i="4"/>
  <c r="DO90" i="4"/>
  <c r="DO94" i="4" s="1"/>
  <c r="DZ3" i="4"/>
  <c r="DY82" i="4"/>
  <c r="DT87" i="4" s="1"/>
  <c r="DM16" i="5" l="1"/>
  <c r="DL13" i="5"/>
  <c r="DJ17" i="5"/>
  <c r="DJ21" i="5" s="1"/>
  <c r="DK18" i="5"/>
  <c r="DK20" i="5"/>
  <c r="DK19" i="5"/>
  <c r="DU3" i="5"/>
  <c r="DT8" i="5"/>
  <c r="DO14" i="5" s="1"/>
  <c r="DS89" i="4"/>
  <c r="DR86" i="4"/>
  <c r="DP90" i="4"/>
  <c r="DP94" i="4" s="1"/>
  <c r="DM95" i="4" s="1"/>
  <c r="DQ91" i="4"/>
  <c r="DQ92" i="4"/>
  <c r="DQ93" i="4"/>
  <c r="EA3" i="4"/>
  <c r="DZ82" i="4"/>
  <c r="DU87" i="4" s="1"/>
  <c r="DK17" i="5" l="1"/>
  <c r="DK21" i="5" s="1"/>
  <c r="DL18" i="5"/>
  <c r="DL20" i="5"/>
  <c r="DL19" i="5"/>
  <c r="DN16" i="5"/>
  <c r="DM13" i="5"/>
  <c r="DV3" i="5"/>
  <c r="DU8" i="5"/>
  <c r="DP14" i="5" s="1"/>
  <c r="DQ90" i="4"/>
  <c r="DQ94" i="4" s="1"/>
  <c r="DR92" i="4"/>
  <c r="DR93" i="4"/>
  <c r="DR91" i="4"/>
  <c r="DT89" i="4"/>
  <c r="DS86" i="4"/>
  <c r="EB3" i="4"/>
  <c r="EA82" i="4"/>
  <c r="DV87" i="4" s="1"/>
  <c r="DM18" i="5" l="1"/>
  <c r="DM20" i="5"/>
  <c r="DM19" i="5"/>
  <c r="DL17" i="5"/>
  <c r="DL21" i="5" s="1"/>
  <c r="DI22" i="5" s="1"/>
  <c r="DO16" i="5"/>
  <c r="DN13" i="5"/>
  <c r="DW3" i="5"/>
  <c r="DV8" i="5"/>
  <c r="DQ14" i="5" s="1"/>
  <c r="DR90" i="4"/>
  <c r="DR94" i="4" s="1"/>
  <c r="DU89" i="4"/>
  <c r="DT86" i="4"/>
  <c r="DS91" i="4"/>
  <c r="DS92" i="4"/>
  <c r="DS93" i="4"/>
  <c r="EC3" i="4"/>
  <c r="EB82" i="4"/>
  <c r="DW87" i="4" s="1"/>
  <c r="DP16" i="5" l="1"/>
  <c r="DO13" i="5"/>
  <c r="DM17" i="5"/>
  <c r="DM21" i="5" s="1"/>
  <c r="DN18" i="5"/>
  <c r="DN19" i="5"/>
  <c r="DN20" i="5"/>
  <c r="DX3" i="5"/>
  <c r="DW8" i="5"/>
  <c r="DR14" i="5" s="1"/>
  <c r="DT92" i="4"/>
  <c r="DT91" i="4"/>
  <c r="DT93" i="4"/>
  <c r="DS90" i="4"/>
  <c r="DS94" i="4" s="1"/>
  <c r="DV89" i="4"/>
  <c r="DU86" i="4"/>
  <c r="ED3" i="4"/>
  <c r="EC82" i="4"/>
  <c r="DX87" i="4" s="1"/>
  <c r="DN17" i="5" l="1"/>
  <c r="DN21" i="5" s="1"/>
  <c r="DO19" i="5"/>
  <c r="DO18" i="5"/>
  <c r="DO20" i="5"/>
  <c r="DP13" i="5"/>
  <c r="DQ16" i="5"/>
  <c r="DY3" i="5"/>
  <c r="DX8" i="5"/>
  <c r="DS14" i="5" s="1"/>
  <c r="DT90" i="4"/>
  <c r="DT94" i="4" s="1"/>
  <c r="DW89" i="4"/>
  <c r="DV86" i="4"/>
  <c r="DU91" i="4"/>
  <c r="DU92" i="4"/>
  <c r="DU93" i="4"/>
  <c r="DQ95" i="4"/>
  <c r="EE3" i="4"/>
  <c r="ED82" i="4"/>
  <c r="DY87" i="4" s="1"/>
  <c r="DO17" i="5" l="1"/>
  <c r="DO21" i="5" s="1"/>
  <c r="DR16" i="5"/>
  <c r="DQ13" i="5"/>
  <c r="DP18" i="5"/>
  <c r="DP20" i="5"/>
  <c r="DP19" i="5"/>
  <c r="DZ3" i="5"/>
  <c r="DY8" i="5"/>
  <c r="DT14" i="5" s="1"/>
  <c r="DU90" i="4"/>
  <c r="DU94" i="4" s="1"/>
  <c r="DV92" i="4"/>
  <c r="DV93" i="4"/>
  <c r="DV91" i="4"/>
  <c r="DX89" i="4"/>
  <c r="DW86" i="4"/>
  <c r="EF3" i="4"/>
  <c r="EE82" i="4"/>
  <c r="DZ87" i="4" s="1"/>
  <c r="DP17" i="5" l="1"/>
  <c r="DP21" i="5" s="1"/>
  <c r="DM22" i="5" s="1"/>
  <c r="DS16" i="5"/>
  <c r="DR13" i="5"/>
  <c r="DQ18" i="5"/>
  <c r="DQ20" i="5"/>
  <c r="DQ19" i="5"/>
  <c r="EA3" i="5"/>
  <c r="DZ8" i="5"/>
  <c r="DU14" i="5" s="1"/>
  <c r="DY89" i="4"/>
  <c r="DX86" i="4"/>
  <c r="DW93" i="4"/>
  <c r="DW91" i="4"/>
  <c r="DW92" i="4"/>
  <c r="DV90" i="4"/>
  <c r="DV94" i="4" s="1"/>
  <c r="EG3" i="4"/>
  <c r="EF82" i="4"/>
  <c r="EA87" i="4" s="1"/>
  <c r="DQ17" i="5" l="1"/>
  <c r="DQ21" i="5" s="1"/>
  <c r="DT16" i="5"/>
  <c r="DS13" i="5"/>
  <c r="DR18" i="5"/>
  <c r="DR20" i="5"/>
  <c r="DR19" i="5"/>
  <c r="EB3" i="5"/>
  <c r="EA8" i="5"/>
  <c r="DV14" i="5" s="1"/>
  <c r="DW90" i="4"/>
  <c r="DW94" i="4" s="1"/>
  <c r="DX92" i="4"/>
  <c r="DX91" i="4"/>
  <c r="DX93" i="4"/>
  <c r="DZ89" i="4"/>
  <c r="DY86" i="4"/>
  <c r="EH3" i="4"/>
  <c r="EG82" i="4"/>
  <c r="EB87" i="4" s="1"/>
  <c r="DS18" i="5" l="1"/>
  <c r="DS20" i="5"/>
  <c r="DS19" i="5"/>
  <c r="DR17" i="5"/>
  <c r="DR21" i="5" s="1"/>
  <c r="DU16" i="5"/>
  <c r="DT13" i="5"/>
  <c r="EC3" i="5"/>
  <c r="EB8" i="5"/>
  <c r="DW14" i="5" s="1"/>
  <c r="DX90" i="4"/>
  <c r="DX94" i="4" s="1"/>
  <c r="DU95" i="4" s="1"/>
  <c r="DY93" i="4"/>
  <c r="DY91" i="4"/>
  <c r="DY92" i="4"/>
  <c r="EA89" i="4"/>
  <c r="DZ86" i="4"/>
  <c r="EI3" i="4"/>
  <c r="EH82" i="4"/>
  <c r="EC87" i="4" s="1"/>
  <c r="DV16" i="5" l="1"/>
  <c r="DU13" i="5"/>
  <c r="DT18" i="5"/>
  <c r="DT20" i="5"/>
  <c r="DT19" i="5"/>
  <c r="DS17" i="5"/>
  <c r="DS21" i="5" s="1"/>
  <c r="ED3" i="5"/>
  <c r="EC8" i="5"/>
  <c r="DX14" i="5" s="1"/>
  <c r="DZ92" i="4"/>
  <c r="DZ93" i="4"/>
  <c r="DZ91" i="4"/>
  <c r="EB89" i="4"/>
  <c r="EA86" i="4"/>
  <c r="DY90" i="4"/>
  <c r="DY94" i="4" s="1"/>
  <c r="EJ3" i="4"/>
  <c r="EI82" i="4"/>
  <c r="ED87" i="4" s="1"/>
  <c r="DU18" i="5" l="1"/>
  <c r="DU20" i="5"/>
  <c r="DU19" i="5"/>
  <c r="DT17" i="5"/>
  <c r="DT21" i="5" s="1"/>
  <c r="DQ22" i="5" s="1"/>
  <c r="DW16" i="5"/>
  <c r="DV13" i="5"/>
  <c r="EE3" i="5"/>
  <c r="ED8" i="5"/>
  <c r="DY14" i="5" s="1"/>
  <c r="DZ90" i="4"/>
  <c r="DZ94" i="4" s="1"/>
  <c r="EA93" i="4"/>
  <c r="EA92" i="4"/>
  <c r="EA91" i="4"/>
  <c r="EC89" i="4"/>
  <c r="EB86" i="4"/>
  <c r="EK3" i="4"/>
  <c r="EJ82" i="4"/>
  <c r="EE87" i="4" s="1"/>
  <c r="EA90" i="4" l="1"/>
  <c r="EA94" i="4" s="1"/>
  <c r="DV18" i="5"/>
  <c r="DV19" i="5"/>
  <c r="DV20" i="5"/>
  <c r="DX16" i="5"/>
  <c r="DW13" i="5"/>
  <c r="DU17" i="5"/>
  <c r="DU21" i="5" s="1"/>
  <c r="EF3" i="5"/>
  <c r="EE8" i="5"/>
  <c r="DZ14" i="5" s="1"/>
  <c r="ED89" i="4"/>
  <c r="EC86" i="4"/>
  <c r="EB92" i="4"/>
  <c r="EB91" i="4"/>
  <c r="EB93" i="4"/>
  <c r="EL3" i="4"/>
  <c r="EK82" i="4"/>
  <c r="EF87" i="4" s="1"/>
  <c r="DW18" i="5" l="1"/>
  <c r="DW20" i="5"/>
  <c r="DW19" i="5"/>
  <c r="DV17" i="5"/>
  <c r="DV21" i="5" s="1"/>
  <c r="DY16" i="5"/>
  <c r="DX13" i="5"/>
  <c r="EG3" i="5"/>
  <c r="EF8" i="5"/>
  <c r="EA14" i="5" s="1"/>
  <c r="EB90" i="4"/>
  <c r="EB94" i="4" s="1"/>
  <c r="DY95" i="4" s="1"/>
  <c r="EE89" i="4"/>
  <c r="ED86" i="4"/>
  <c r="EC91" i="4"/>
  <c r="EC92" i="4"/>
  <c r="EC93" i="4"/>
  <c r="EM3" i="4"/>
  <c r="EL82" i="4"/>
  <c r="EG87" i="4" s="1"/>
  <c r="DZ16" i="5" l="1"/>
  <c r="DY13" i="5"/>
  <c r="DX18" i="5"/>
  <c r="DX20" i="5"/>
  <c r="DX19" i="5"/>
  <c r="DW17" i="5"/>
  <c r="DW21" i="5" s="1"/>
  <c r="EH3" i="5"/>
  <c r="EG8" i="5"/>
  <c r="EB14" i="5" s="1"/>
  <c r="EC90" i="4"/>
  <c r="EC94" i="4" s="1"/>
  <c r="ED92" i="4"/>
  <c r="ED93" i="4"/>
  <c r="ED91" i="4"/>
  <c r="EF89" i="4"/>
  <c r="EE86" i="4"/>
  <c r="EN3" i="4"/>
  <c r="EM82" i="4"/>
  <c r="EH87" i="4" s="1"/>
  <c r="DX17" i="5" l="1"/>
  <c r="DX21" i="5" s="1"/>
  <c r="DU22" i="5" s="1"/>
  <c r="EA16" i="5"/>
  <c r="DZ13" i="5"/>
  <c r="DY18" i="5"/>
  <c r="DY20" i="5"/>
  <c r="DY19" i="5"/>
  <c r="EI3" i="5"/>
  <c r="EH8" i="5"/>
  <c r="EC14" i="5" s="1"/>
  <c r="EG89" i="4"/>
  <c r="EF86" i="4"/>
  <c r="EE91" i="4"/>
  <c r="EE92" i="4"/>
  <c r="EE93" i="4"/>
  <c r="ED90" i="4"/>
  <c r="ED94" i="4" s="1"/>
  <c r="EO3" i="4"/>
  <c r="EP3" i="4" s="1"/>
  <c r="EQ3" i="4" s="1"/>
  <c r="EN82" i="4"/>
  <c r="EI87" i="4" s="1"/>
  <c r="ER3" i="4" l="1"/>
  <c r="EQ82" i="4"/>
  <c r="DZ18" i="5"/>
  <c r="DZ20" i="5"/>
  <c r="DZ19" i="5"/>
  <c r="DY17" i="5"/>
  <c r="DY21" i="5" s="1"/>
  <c r="EB16" i="5"/>
  <c r="EA13" i="5"/>
  <c r="EJ3" i="5"/>
  <c r="EI8" i="5"/>
  <c r="ED14" i="5" s="1"/>
  <c r="EF92" i="4"/>
  <c r="EF91" i="4"/>
  <c r="EF93" i="4"/>
  <c r="EE90" i="4"/>
  <c r="EE94" i="4" s="1"/>
  <c r="EH89" i="4"/>
  <c r="EG86" i="4"/>
  <c r="EO82" i="4"/>
  <c r="EJ87" i="4" s="1"/>
  <c r="ER82" i="4" l="1"/>
  <c r="EA19" i="5"/>
  <c r="EA18" i="5"/>
  <c r="EA20" i="5"/>
  <c r="EB13" i="5"/>
  <c r="EC16" i="5"/>
  <c r="DZ17" i="5"/>
  <c r="DZ21" i="5" s="1"/>
  <c r="EK3" i="5"/>
  <c r="EJ8" i="5"/>
  <c r="EE14" i="5" s="1"/>
  <c r="EF90" i="4"/>
  <c r="EF94" i="4" s="1"/>
  <c r="EC95" i="4" s="1"/>
  <c r="EG91" i="4"/>
  <c r="EG92" i="4"/>
  <c r="EG93" i="4"/>
  <c r="EI89" i="4"/>
  <c r="EH86" i="4"/>
  <c r="EP82" i="4"/>
  <c r="EK87" i="4" s="1"/>
  <c r="ES82" i="4" l="1"/>
  <c r="ET82" i="4"/>
  <c r="EB19" i="5"/>
  <c r="EB18" i="5"/>
  <c r="EB20" i="5"/>
  <c r="EC13" i="5"/>
  <c r="ED16" i="5"/>
  <c r="EA17" i="5"/>
  <c r="EA21" i="5" s="1"/>
  <c r="EL3" i="5"/>
  <c r="EK8" i="5"/>
  <c r="EF14" i="5" s="1"/>
  <c r="EH92" i="4"/>
  <c r="EH93" i="4"/>
  <c r="EH91" i="4"/>
  <c r="EG90" i="4"/>
  <c r="EG94" i="4" s="1"/>
  <c r="EJ89" i="4"/>
  <c r="EJ86" i="4" s="1"/>
  <c r="EI86" i="4"/>
  <c r="EB17" i="5" l="1"/>
  <c r="EB21" i="5" s="1"/>
  <c r="DY22" i="5" s="1"/>
  <c r="EC19" i="5"/>
  <c r="EC18" i="5"/>
  <c r="EC20" i="5"/>
  <c r="ED13" i="5"/>
  <c r="EE16" i="5"/>
  <c r="EM3" i="5"/>
  <c r="EL8" i="5"/>
  <c r="EG14" i="5" s="1"/>
  <c r="EH90" i="4"/>
  <c r="EH94" i="4" s="1"/>
  <c r="EJ93" i="4"/>
  <c r="EJ92" i="4"/>
  <c r="EJ91" i="4"/>
  <c r="EI91" i="4"/>
  <c r="EI92" i="4"/>
  <c r="EI93" i="4"/>
  <c r="EK89" i="4"/>
  <c r="EL89" i="4" s="1"/>
  <c r="EM89" i="4" l="1"/>
  <c r="EL86" i="4"/>
  <c r="EE13" i="5"/>
  <c r="EF16" i="5"/>
  <c r="ED20" i="5"/>
  <c r="ED18" i="5"/>
  <c r="ED19" i="5"/>
  <c r="EC17" i="5"/>
  <c r="EC21" i="5" s="1"/>
  <c r="EN3" i="5"/>
  <c r="EM8" i="5"/>
  <c r="EH14" i="5" s="1"/>
  <c r="EJ90" i="4"/>
  <c r="EJ94" i="4" s="1"/>
  <c r="EK86" i="4"/>
  <c r="EI90" i="4"/>
  <c r="EI94" i="4" s="1"/>
  <c r="EL91" i="4" l="1"/>
  <c r="EL92" i="4"/>
  <c r="EL93" i="4"/>
  <c r="EN89" i="4"/>
  <c r="EM86" i="4"/>
  <c r="ED17" i="5"/>
  <c r="ED21" i="5" s="1"/>
  <c r="EG95" i="4"/>
  <c r="EF13" i="5"/>
  <c r="EG16" i="5"/>
  <c r="EE19" i="5"/>
  <c r="EE18" i="5"/>
  <c r="EE20" i="5"/>
  <c r="EO3" i="5"/>
  <c r="EN8" i="5"/>
  <c r="EI14" i="5" s="1"/>
  <c r="EK92" i="4"/>
  <c r="EK93" i="4"/>
  <c r="EK91" i="4"/>
  <c r="EN86" i="4" l="1"/>
  <c r="EO89" i="4"/>
  <c r="EM93" i="4"/>
  <c r="EM91" i="4"/>
  <c r="EM90" i="4" s="1"/>
  <c r="EM94" i="4" s="1"/>
  <c r="EM92" i="4"/>
  <c r="EL90" i="4"/>
  <c r="EL94" i="4" s="1"/>
  <c r="EE17" i="5"/>
  <c r="EE21" i="5" s="1"/>
  <c r="EG13" i="5"/>
  <c r="EH16" i="5"/>
  <c r="EF19" i="5"/>
  <c r="EF18" i="5"/>
  <c r="EF20" i="5"/>
  <c r="EO8" i="5"/>
  <c r="EJ14" i="5" s="1"/>
  <c r="EK90" i="4"/>
  <c r="EN92" i="4" l="1"/>
  <c r="EO92" i="4" s="1"/>
  <c r="EN93" i="4"/>
  <c r="EO93" i="4" s="1"/>
  <c r="EN91" i="4"/>
  <c r="EO86" i="4"/>
  <c r="EK14" i="5"/>
  <c r="EO14" i="5" s="1"/>
  <c r="EF17" i="5"/>
  <c r="EF21" i="5" s="1"/>
  <c r="EC22" i="5" s="1"/>
  <c r="EH13" i="5"/>
  <c r="EI16" i="5"/>
  <c r="EG19" i="5"/>
  <c r="EG18" i="5"/>
  <c r="EG20" i="5"/>
  <c r="EK94" i="4"/>
  <c r="EN90" i="4" l="1"/>
  <c r="EO91" i="4"/>
  <c r="EH19" i="5"/>
  <c r="EH18" i="5"/>
  <c r="EH20" i="5"/>
  <c r="EG17" i="5"/>
  <c r="EG21" i="5" s="1"/>
  <c r="EI13" i="5"/>
  <c r="EJ16" i="5"/>
  <c r="EN94" i="4" l="1"/>
  <c r="EO90" i="4"/>
  <c r="EH17" i="5"/>
  <c r="EH21" i="5" s="1"/>
  <c r="EK16" i="5"/>
  <c r="EL16" i="5" s="1"/>
  <c r="EJ13" i="5"/>
  <c r="EI18" i="5"/>
  <c r="EI20" i="5"/>
  <c r="EI19" i="5"/>
  <c r="EM16" i="5" l="1"/>
  <c r="EL13" i="5"/>
  <c r="EO94" i="4"/>
  <c r="EK95" i="4"/>
  <c r="EI17" i="5"/>
  <c r="EI21" i="5" s="1"/>
  <c r="EJ18" i="5"/>
  <c r="EJ20" i="5"/>
  <c r="EJ19" i="5"/>
  <c r="EK13" i="5"/>
  <c r="EL20" i="5" l="1"/>
  <c r="EL18" i="5"/>
  <c r="EL19" i="5"/>
  <c r="EN16" i="5"/>
  <c r="EM13" i="5"/>
  <c r="D98" i="4"/>
  <c r="EO95" i="4"/>
  <c r="EK18" i="5"/>
  <c r="EK19" i="5"/>
  <c r="EK20" i="5"/>
  <c r="EJ17" i="5"/>
  <c r="EJ21" i="5" s="1"/>
  <c r="EG22" i="5" s="1"/>
  <c r="D100" i="4" l="1"/>
  <c r="H5" i="12" s="1"/>
  <c r="F11" i="12"/>
  <c r="EM19" i="5"/>
  <c r="EM20" i="5"/>
  <c r="EM18" i="5"/>
  <c r="EM17" i="5" s="1"/>
  <c r="EM21" i="5" s="1"/>
  <c r="EN13" i="5"/>
  <c r="EO16" i="5"/>
  <c r="EL17" i="5"/>
  <c r="EL21" i="5" s="1"/>
  <c r="EK17" i="5"/>
  <c r="G11" i="12" l="1"/>
  <c r="EN18" i="5"/>
  <c r="EN19" i="5"/>
  <c r="EO19" i="5" s="1"/>
  <c r="EN20" i="5"/>
  <c r="EO20" i="5" s="1"/>
  <c r="EO13" i="5"/>
  <c r="EK21" i="5"/>
  <c r="EN17" i="5" l="1"/>
  <c r="EO18" i="5"/>
  <c r="EN21" i="5" l="1"/>
  <c r="EO17" i="5"/>
  <c r="EO21" i="5" l="1"/>
  <c r="CI11" i="10" s="1"/>
  <c r="EK22" i="5"/>
  <c r="EO22" i="5" l="1"/>
  <c r="D27" i="5" l="1"/>
  <c r="E27" i="5"/>
  <c r="F10" i="12" l="1"/>
  <c r="F13" i="12" s="1"/>
  <c r="G10" i="12" l="1"/>
</calcChain>
</file>

<file path=xl/comments1.xml><?xml version="1.0" encoding="utf-8"?>
<comments xmlns="http://schemas.openxmlformats.org/spreadsheetml/2006/main">
  <authors>
    <author>作者</author>
    <author>rf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C64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KF-B-12</t>
        </r>
        <r>
          <rPr>
            <sz val="9"/>
            <rFont val="宋体"/>
            <family val="3"/>
            <charset val="134"/>
          </rPr>
          <t xml:space="preserve">地下三层库房
</t>
        </r>
      </text>
    </comment>
    <comment ref="M64" authorId="0" shapeId="0">
      <text>
        <r>
          <rPr>
            <sz val="9"/>
            <rFont val="宋体"/>
            <family val="3"/>
            <charset val="134"/>
          </rPr>
          <t>作者:
2011.9.14-2012.3.13</t>
        </r>
      </text>
    </comment>
    <comment ref="V64" authorId="0" shapeId="0">
      <text>
        <r>
          <rPr>
            <sz val="9"/>
            <rFont val="宋体"/>
            <family val="3"/>
            <charset val="134"/>
          </rPr>
          <t>作者:
2012.6.1-11.30</t>
        </r>
      </text>
    </comment>
    <comment ref="CF64" authorId="0" shapeId="0">
      <text>
        <r>
          <rPr>
            <sz val="9"/>
            <rFont val="宋体"/>
            <family val="3"/>
            <charset val="134"/>
          </rPr>
          <t xml:space="preserve">2012.12-2013.5
</t>
        </r>
      </text>
    </comment>
    <comment ref="CL64" authorId="0" shapeId="0">
      <text>
        <r>
          <rPr>
            <sz val="9"/>
            <rFont val="宋体"/>
            <family val="3"/>
            <charset val="134"/>
          </rPr>
          <t xml:space="preserve">2013.6-2013.11
</t>
        </r>
      </text>
    </comment>
    <comment ref="V65" authorId="0" shapeId="0">
      <text>
        <r>
          <rPr>
            <sz val="9"/>
            <rFont val="宋体"/>
            <family val="3"/>
            <charset val="134"/>
          </rPr>
          <t xml:space="preserve">作者:
2012-6-562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F5" authorId="0" shapeId="0">
      <text>
        <r>
          <rPr>
            <sz val="9"/>
            <rFont val="宋体"/>
            <family val="3"/>
            <charset val="134"/>
          </rPr>
          <t>作者:
合同工无</t>
        </r>
      </text>
    </comment>
    <comment ref="I5" authorId="0" shapeId="0">
      <text>
        <r>
          <rPr>
            <sz val="9"/>
            <rFont val="宋体"/>
            <family val="3"/>
            <charset val="134"/>
          </rPr>
          <t>作者:
2011.3.1.1#</t>
        </r>
      </text>
    </comment>
    <comment ref="CC6" authorId="0" shapeId="0">
      <text>
        <r>
          <rPr>
            <sz val="9"/>
            <rFont val="宋体"/>
            <family val="3"/>
            <charset val="134"/>
          </rPr>
          <t>作者:
12.10-74</t>
        </r>
      </text>
    </comment>
  </commentList>
</comments>
</file>

<file path=xl/comments3.xml><?xml version="1.0" encoding="utf-8"?>
<comments xmlns="http://schemas.openxmlformats.org/spreadsheetml/2006/main">
  <authors>
    <author>作者</author>
    <author>rf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I4" authorId="0" shapeId="0">
      <text>
        <r>
          <rPr>
            <sz val="9"/>
            <rFont val="宋体"/>
            <family val="3"/>
            <charset val="134"/>
          </rPr>
          <t>暴菲:
保函在2011.8-271凭证后</t>
        </r>
      </text>
    </comment>
    <comment ref="I6" authorId="0" shapeId="0">
      <text>
        <r>
          <rPr>
            <sz val="9"/>
            <rFont val="宋体"/>
            <family val="3"/>
            <charset val="134"/>
          </rPr>
          <t>作者:
2012.2-78</t>
        </r>
      </text>
    </comment>
    <comment ref="F7" authorId="0" shapeId="0">
      <text>
        <r>
          <rPr>
            <sz val="9"/>
            <rFont val="宋体"/>
            <family val="3"/>
            <charset val="134"/>
          </rPr>
          <t xml:space="preserve">作者:
B01#292.37,C31#20.57,143#73.76
</t>
        </r>
      </text>
    </comment>
    <comment ref="D11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2016.7.18-2016.8.31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D19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2016.6.2-2016.7.31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I28" authorId="0" shapeId="0">
      <text>
        <r>
          <rPr>
            <sz val="9"/>
            <rFont val="宋体"/>
            <family val="3"/>
            <charset val="134"/>
          </rPr>
          <t>作者:
2011.5-188#</t>
        </r>
      </text>
    </comment>
    <comment ref="I37" authorId="0" shapeId="0">
      <text>
        <r>
          <rPr>
            <sz val="9"/>
            <rFont val="宋体"/>
            <family val="3"/>
            <charset val="134"/>
          </rPr>
          <t>作者:
2011.1.24.491#</t>
        </r>
      </text>
    </comment>
    <comment ref="I40" authorId="0" shapeId="0">
      <text>
        <r>
          <rPr>
            <sz val="9"/>
            <rFont val="宋体"/>
            <family val="3"/>
            <charset val="134"/>
          </rPr>
          <t>作者:
2011.9-545</t>
        </r>
      </text>
    </comment>
    <comment ref="D41" authorId="1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2016.9.20-2016.10.19</t>
        </r>
        <r>
          <rPr>
            <sz val="9"/>
            <rFont val="宋体"/>
            <family val="3"/>
            <charset val="134"/>
          </rPr>
          <t>装修</t>
        </r>
      </text>
    </comment>
    <comment ref="I42" authorId="0" shapeId="0">
      <text>
        <r>
          <rPr>
            <sz val="9"/>
            <rFont val="宋体"/>
            <family val="3"/>
            <charset val="134"/>
          </rPr>
          <t>作者:
2011.9-545</t>
        </r>
      </text>
    </comment>
    <comment ref="CH69" authorId="0" shapeId="0">
      <text>
        <r>
          <rPr>
            <sz val="9"/>
            <rFont val="宋体"/>
            <family val="3"/>
            <charset val="134"/>
          </rPr>
          <t>作者:
2.1-2.14</t>
        </r>
      </text>
    </comment>
    <comment ref="I70" authorId="0" shapeId="0">
      <text>
        <r>
          <rPr>
            <sz val="9"/>
            <rFont val="宋体"/>
            <family val="3"/>
            <charset val="134"/>
          </rPr>
          <t>作者:
2012.2-78</t>
        </r>
      </text>
    </comment>
    <comment ref="CB70" authorId="0" shapeId="0">
      <text>
        <r>
          <rPr>
            <sz val="9"/>
            <rFont val="宋体"/>
            <family val="3"/>
            <charset val="134"/>
          </rPr>
          <t>作者:
7-515</t>
        </r>
      </text>
    </comment>
    <comment ref="CE70" authorId="0" shapeId="0">
      <text>
        <r>
          <rPr>
            <sz val="9"/>
            <rFont val="宋体"/>
            <family val="3"/>
            <charset val="134"/>
          </rPr>
          <t>作者:
12.10-429</t>
        </r>
      </text>
    </comment>
  </commentList>
</comments>
</file>

<file path=xl/comments4.xml><?xml version="1.0" encoding="utf-8"?>
<comments xmlns="http://schemas.openxmlformats.org/spreadsheetml/2006/main">
  <authors>
    <author>作者</author>
    <author>lujing4</author>
    <author>rf</author>
    <author>余志强</author>
    <author>lipengcheng</author>
    <author>sony</author>
  </authors>
  <commentList>
    <comment ref="F1" authorId="0" shapeId="0">
      <text>
        <r>
          <rPr>
            <sz val="9"/>
            <rFont val="宋体"/>
            <family val="3"/>
            <charset val="134"/>
          </rPr>
          <t>作者:
实测套内面积</t>
        </r>
      </text>
    </comment>
    <comment ref="I8" authorId="0" shapeId="0">
      <text>
        <r>
          <rPr>
            <sz val="9"/>
            <rFont val="宋体"/>
            <family val="3"/>
            <charset val="134"/>
          </rPr>
          <t>作者:
2011.8-91#</t>
        </r>
      </text>
    </comment>
    <comment ref="F15" authorId="0" shapeId="0">
      <text>
        <r>
          <rPr>
            <sz val="9"/>
            <rFont val="宋体"/>
            <family val="3"/>
            <charset val="134"/>
          </rPr>
          <t xml:space="preserve">从2013.6.1增加1.2平米
</t>
        </r>
      </text>
    </comment>
    <comment ref="C17" authorId="0" shapeId="0">
      <text>
        <r>
          <rPr>
            <sz val="9"/>
            <rFont val="宋体"/>
            <family val="3"/>
            <charset val="134"/>
          </rPr>
          <t>作者:
净销售额的14%，承租人的财务报告中所显示的净销售额是终局并且是决定性的依据，按月计算，按年结算。出租人每月5日前向出租人提交上月销售额报告。租赁年度结束10内，发差额租金付款通知单。</t>
        </r>
      </text>
    </comment>
    <comment ref="I20" authorId="0" shapeId="0">
      <text>
        <r>
          <rPr>
            <sz val="9"/>
            <rFont val="宋体"/>
            <family val="3"/>
            <charset val="134"/>
          </rPr>
          <t>作者:
2011.7-592#</t>
        </r>
      </text>
    </comment>
    <comment ref="F21" authorId="0" shapeId="0">
      <text>
        <r>
          <rPr>
            <sz val="9"/>
            <rFont val="宋体"/>
            <family val="3"/>
            <charset val="134"/>
          </rPr>
          <t>作者:
103#169.45，202-1#260.74</t>
        </r>
      </text>
    </comment>
    <comment ref="C23" authorId="0" shapeId="0">
      <text>
        <r>
          <rPr>
            <sz val="9"/>
            <rFont val="宋体"/>
            <family val="3"/>
            <charset val="134"/>
          </rPr>
          <t>作者:
提成租金,销售净额8%</t>
        </r>
      </text>
    </comment>
    <comment ref="I32" authorId="0" shapeId="0">
      <text>
        <r>
          <rPr>
            <sz val="9"/>
            <rFont val="宋体"/>
            <family val="3"/>
            <charset val="134"/>
          </rPr>
          <t>作者:
2011.9-501</t>
        </r>
      </text>
    </comment>
    <comment ref="G35" authorId="0" shapeId="0">
      <text>
        <r>
          <rPr>
            <sz val="9"/>
            <rFont val="宋体"/>
            <family val="3"/>
            <charset val="134"/>
          </rPr>
          <t>作者:
2010.11.15-2011.9.14,15元;2011.9.15-2012.9.14,17元</t>
        </r>
      </text>
    </comment>
    <comment ref="I36" authorId="0" shapeId="0">
      <text>
        <r>
          <rPr>
            <sz val="9"/>
            <rFont val="宋体"/>
            <family val="3"/>
            <charset val="134"/>
          </rPr>
          <t>作者:
2012.4-274</t>
        </r>
      </text>
    </comment>
    <comment ref="G37" authorId="0" shapeId="0">
      <text>
        <r>
          <rPr>
            <sz val="9"/>
            <rFont val="宋体"/>
            <family val="3"/>
            <charset val="134"/>
          </rPr>
          <t>作者:
2010.11.15-2011.9.14,15元;2011.9.15-2012.9.14,17元</t>
        </r>
      </text>
    </comment>
    <comment ref="I38" authorId="0" shapeId="0">
      <text>
        <r>
          <rPr>
            <sz val="9"/>
            <rFont val="宋体"/>
            <family val="3"/>
            <charset val="134"/>
          </rPr>
          <t>作者:
2012.4-274</t>
        </r>
      </text>
    </comment>
    <comment ref="I40" authorId="0" shapeId="0">
      <text>
        <r>
          <rPr>
            <sz val="9"/>
            <rFont val="宋体"/>
            <family val="3"/>
            <charset val="134"/>
          </rPr>
          <t>作者:
2011.12-594</t>
        </r>
      </text>
    </comment>
    <comment ref="I42" authorId="0" shapeId="0">
      <text>
        <r>
          <rPr>
            <sz val="9"/>
            <rFont val="宋体"/>
            <family val="3"/>
            <charset val="134"/>
          </rPr>
          <t>作者:
2012.1-90</t>
        </r>
      </text>
    </comment>
    <comment ref="I46" authorId="0" shapeId="0">
      <text>
        <r>
          <rPr>
            <sz val="9"/>
            <rFont val="宋体"/>
            <family val="3"/>
            <charset val="134"/>
          </rPr>
          <t>作者:
2012.2-96</t>
        </r>
      </text>
    </comment>
    <comment ref="F49" authorId="0" shapeId="0">
      <text>
        <r>
          <rPr>
            <sz val="9"/>
            <rFont val="宋体"/>
            <family val="3"/>
            <charset val="134"/>
          </rPr>
          <t>作者:
高层1356.96=1329.96+27
低层高区10.68</t>
        </r>
      </text>
    </comment>
    <comment ref="D51" authorId="0" shapeId="0">
      <text>
        <r>
          <rPr>
            <sz val="9"/>
            <rFont val="宋体"/>
            <family val="3"/>
            <charset val="134"/>
          </rPr>
          <t xml:space="preserve">2014年8月签订补充协议：从2014年8月11-2017年8月10日租金单价变更，抽成租金变为17%
</t>
        </r>
      </text>
    </comment>
    <comment ref="I64" authorId="0" shapeId="0">
      <text>
        <r>
          <rPr>
            <sz val="9"/>
            <rFont val="宋体"/>
            <family val="3"/>
            <charset val="134"/>
          </rPr>
          <t xml:space="preserve">2012-11-131#
</t>
        </r>
      </text>
    </comment>
    <comment ref="D65" authorId="0" shapeId="0">
      <text>
        <r>
          <rPr>
            <sz val="9"/>
            <rFont val="宋体"/>
            <family val="3"/>
            <charset val="134"/>
          </rPr>
          <t xml:space="preserve">2012.10.8-2015.10.7于补充协议一修改为2012.10.8-2014.5.31
</t>
        </r>
      </text>
    </comment>
    <comment ref="D67" authorId="1" shapeId="0">
      <text>
        <r>
          <rPr>
            <b/>
            <sz val="9"/>
            <color indexed="81"/>
            <rFont val="Tahoma"/>
            <family val="2"/>
          </rPr>
          <t>2017.11.10</t>
        </r>
        <r>
          <rPr>
            <b/>
            <sz val="9"/>
            <color indexed="81"/>
            <rFont val="宋体"/>
            <family val="3"/>
            <charset val="134"/>
          </rPr>
          <t>交场，</t>
        </r>
        <r>
          <rPr>
            <b/>
            <sz val="9"/>
            <color indexed="81"/>
            <rFont val="Tahoma"/>
            <family val="2"/>
          </rPr>
          <t>8</t>
        </r>
        <r>
          <rPr>
            <b/>
            <sz val="9"/>
            <color indexed="81"/>
            <rFont val="宋体"/>
            <family val="3"/>
            <charset val="134"/>
          </rPr>
          <t>年</t>
        </r>
      </text>
    </comment>
    <comment ref="I77" authorId="0" shapeId="0">
      <text>
        <r>
          <rPr>
            <sz val="9"/>
            <rFont val="宋体"/>
            <family val="3"/>
            <charset val="134"/>
          </rPr>
          <t>作者:
2011.8-91#</t>
        </r>
      </text>
    </comment>
    <comment ref="B82" authorId="0" shapeId="0">
      <text>
        <r>
          <rPr>
            <sz val="9"/>
            <rFont val="宋体"/>
            <family val="3"/>
            <charset val="134"/>
          </rPr>
          <t>zhaocong:
NC中租户商铺65-01</t>
        </r>
      </text>
    </comment>
    <comment ref="I85" authorId="0" shapeId="0">
      <text>
        <r>
          <rPr>
            <sz val="9"/>
            <rFont val="宋体"/>
            <family val="3"/>
            <charset val="134"/>
          </rPr>
          <t>作者:
2011.11-150</t>
        </r>
      </text>
    </comment>
    <comment ref="I93" authorId="0" shapeId="0">
      <text>
        <r>
          <rPr>
            <sz val="9"/>
            <rFont val="宋体"/>
            <family val="3"/>
            <charset val="134"/>
          </rPr>
          <t>作者:
2011.6-205#</t>
        </r>
      </text>
    </comment>
    <comment ref="I95" authorId="0" shapeId="0">
      <text>
        <r>
          <rPr>
            <sz val="9"/>
            <rFont val="宋体"/>
            <family val="3"/>
            <charset val="134"/>
          </rPr>
          <t>作者:
2011.11-150</t>
        </r>
      </text>
    </comment>
    <comment ref="I99" authorId="0" shapeId="0">
      <text>
        <r>
          <rPr>
            <sz val="9"/>
            <rFont val="宋体"/>
            <family val="3"/>
            <charset val="134"/>
          </rPr>
          <t>作者:
2011.7-548#</t>
        </r>
      </text>
    </comment>
    <comment ref="I112" authorId="0" shapeId="0">
      <text>
        <r>
          <rPr>
            <sz val="9"/>
            <rFont val="宋体"/>
            <family val="3"/>
            <charset val="134"/>
          </rPr>
          <t>作者:
2010.11.16.308#</t>
        </r>
      </text>
    </comment>
    <comment ref="D124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2016.4.15-2016.5.14</t>
        </r>
        <r>
          <rPr>
            <sz val="9"/>
            <rFont val="宋体"/>
            <family val="3"/>
            <charset val="134"/>
          </rPr>
          <t xml:space="preserve">装修免租期
</t>
        </r>
      </text>
    </comment>
    <comment ref="I135" authorId="0" shapeId="0">
      <text>
        <r>
          <rPr>
            <sz val="9"/>
            <rFont val="宋体"/>
            <family val="3"/>
            <charset val="134"/>
          </rPr>
          <t>作者:
2011.9-415</t>
        </r>
      </text>
    </comment>
    <comment ref="I139" authorId="0" shapeId="0">
      <text>
        <r>
          <rPr>
            <sz val="9"/>
            <rFont val="宋体"/>
            <family val="3"/>
            <charset val="134"/>
          </rPr>
          <t>作者:
2011.12-60</t>
        </r>
      </text>
    </comment>
    <comment ref="F140" authorId="3" shapeId="0">
      <text>
        <r>
          <rPr>
            <b/>
            <sz val="9"/>
            <color indexed="81"/>
            <rFont val="宋体"/>
            <family val="3"/>
            <charset val="134"/>
          </rPr>
          <t>余志强:</t>
        </r>
        <r>
          <rPr>
            <sz val="9"/>
            <color indexed="81"/>
            <rFont val="宋体"/>
            <family val="3"/>
            <charset val="134"/>
          </rPr>
          <t xml:space="preserve">
17.06.12起面积由296缩减为166.3</t>
        </r>
      </text>
    </comment>
    <comment ref="I141" authorId="0" shapeId="0">
      <text>
        <r>
          <rPr>
            <sz val="9"/>
            <rFont val="宋体"/>
            <family val="3"/>
            <charset val="134"/>
          </rPr>
          <t>作者:
2011.9-546</t>
        </r>
      </text>
    </comment>
    <comment ref="I143" authorId="0" shapeId="0">
      <text>
        <r>
          <rPr>
            <sz val="9"/>
            <rFont val="宋体"/>
            <family val="3"/>
            <charset val="134"/>
          </rPr>
          <t>作者:
2011.12-60</t>
        </r>
      </text>
    </comment>
    <comment ref="I145" authorId="0" shapeId="0">
      <text>
        <r>
          <rPr>
            <sz val="9"/>
            <rFont val="宋体"/>
            <family val="3"/>
            <charset val="134"/>
          </rPr>
          <t>作者:
2011.11-284</t>
        </r>
      </text>
    </comment>
    <comment ref="I147" authorId="0" shapeId="0">
      <text>
        <r>
          <rPr>
            <sz val="9"/>
            <rFont val="宋体"/>
            <family val="3"/>
            <charset val="134"/>
          </rPr>
          <t>作者:
2011.11-284</t>
        </r>
      </text>
    </comment>
    <comment ref="I149" authorId="0" shapeId="0">
      <text>
        <r>
          <rPr>
            <sz val="9"/>
            <rFont val="宋体"/>
            <family val="3"/>
            <charset val="134"/>
          </rPr>
          <t>作者:
2011.9-485</t>
        </r>
      </text>
    </comment>
    <comment ref="I154" authorId="0" shapeId="0">
      <text>
        <r>
          <rPr>
            <sz val="9"/>
            <rFont val="宋体"/>
            <family val="3"/>
            <charset val="134"/>
          </rPr>
          <t xml:space="preserve">由204转入
</t>
        </r>
      </text>
    </comment>
    <comment ref="I163" authorId="0" shapeId="0">
      <text>
        <r>
          <rPr>
            <sz val="9"/>
            <rFont val="宋体"/>
            <family val="3"/>
            <charset val="134"/>
          </rPr>
          <t>作者:
2011.6-205#</t>
        </r>
      </text>
    </comment>
    <comment ref="J167" authorId="0" shapeId="0">
      <text>
        <r>
          <rPr>
            <sz val="9"/>
            <rFont val="宋体"/>
            <family val="3"/>
            <charset val="134"/>
          </rPr>
          <t>作者:
2011.6-150#</t>
        </r>
      </text>
    </comment>
    <comment ref="I169" authorId="0" shapeId="0">
      <text>
        <r>
          <rPr>
            <sz val="9"/>
            <rFont val="宋体"/>
            <family val="3"/>
            <charset val="134"/>
          </rPr>
          <t>作者:
2012.4-98</t>
        </r>
      </text>
    </comment>
    <comment ref="I174" authorId="0" shapeId="0">
      <text>
        <r>
          <rPr>
            <sz val="9"/>
            <rFont val="宋体"/>
            <family val="3"/>
            <charset val="134"/>
          </rPr>
          <t>作者:
2011.6-378#</t>
        </r>
      </text>
    </comment>
    <comment ref="I175" authorId="0" shapeId="0">
      <text>
        <r>
          <rPr>
            <sz val="9"/>
            <rFont val="宋体"/>
            <family val="3"/>
            <charset val="134"/>
          </rPr>
          <t>作者:
2010.12.10.222#</t>
        </r>
      </text>
    </comment>
    <comment ref="I177" authorId="0" shapeId="0">
      <text>
        <r>
          <rPr>
            <sz val="9"/>
            <rFont val="宋体"/>
            <family val="3"/>
            <charset val="134"/>
          </rPr>
          <t>作者:
2010.12.10.222#</t>
        </r>
      </text>
    </comment>
    <comment ref="I180" authorId="0" shapeId="0">
      <text>
        <r>
          <rPr>
            <sz val="9"/>
            <rFont val="宋体"/>
            <family val="3"/>
            <charset val="134"/>
          </rPr>
          <t>作者:
2011.8-65#</t>
        </r>
      </text>
    </comment>
    <comment ref="I184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85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免租期</t>
        </r>
        <r>
          <rPr>
            <sz val="9"/>
            <rFont val="Tahoma"/>
            <family val="2"/>
          </rPr>
          <t>2015.11.18-2016.03.17</t>
        </r>
      </text>
    </comment>
    <comment ref="I186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87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2016.4.15-2016.5.14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I188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89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免租期</t>
        </r>
        <r>
          <rPr>
            <sz val="9"/>
            <rFont val="Tahoma"/>
            <family val="2"/>
          </rPr>
          <t>2015.11.18-2016.03.17</t>
        </r>
      </text>
    </comment>
    <comment ref="I190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D191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family val="3"/>
            <charset val="134"/>
          </rPr>
          <t>免租期</t>
        </r>
        <r>
          <rPr>
            <sz val="9"/>
            <rFont val="Tahoma"/>
            <family val="2"/>
          </rPr>
          <t>2015.12.15-2016.03.13</t>
        </r>
      </text>
    </comment>
    <comment ref="I192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I194" authorId="0" shapeId="0">
      <text>
        <r>
          <rPr>
            <sz val="9"/>
            <rFont val="宋体"/>
            <family val="3"/>
            <charset val="134"/>
          </rPr>
          <t>作者:
2011.7-405#</t>
        </r>
      </text>
    </comment>
    <comment ref="F203" authorId="0" shapeId="0">
      <text>
        <r>
          <rPr>
            <sz val="9"/>
            <rFont val="宋体"/>
            <family val="3"/>
            <charset val="134"/>
          </rPr>
          <t>作者:
变更租赁面积171.5变到279.69</t>
        </r>
      </text>
    </comment>
    <comment ref="I203" authorId="0" shapeId="0">
      <text>
        <r>
          <rPr>
            <sz val="9"/>
            <rFont val="宋体"/>
            <family val="3"/>
            <charset val="134"/>
          </rPr>
          <t>作者:
2011.1.11.129#之前押金172143元</t>
        </r>
      </text>
    </comment>
    <comment ref="D211" authorId="4" shapeId="0">
      <text>
        <r>
          <rPr>
            <b/>
            <sz val="9"/>
            <rFont val="Tahoma"/>
            <family val="2"/>
          </rPr>
          <t>lipengcheng:</t>
        </r>
        <r>
          <rPr>
            <sz val="9"/>
            <rFont val="Tahoma"/>
            <family val="2"/>
          </rPr>
          <t xml:space="preserve">
15.12.15-16.02.12</t>
        </r>
        <r>
          <rPr>
            <sz val="9"/>
            <rFont val="宋体"/>
            <family val="3"/>
            <charset val="134"/>
          </rPr>
          <t>免租期</t>
        </r>
      </text>
    </comment>
    <comment ref="I220" authorId="0" shapeId="0">
      <text>
        <r>
          <rPr>
            <sz val="9"/>
            <rFont val="宋体"/>
            <family val="3"/>
            <charset val="134"/>
          </rPr>
          <t>作者:
2011.12-334</t>
        </r>
      </text>
    </comment>
    <comment ref="I234" authorId="0" shapeId="0">
      <text>
        <r>
          <rPr>
            <sz val="9"/>
            <rFont val="宋体"/>
            <family val="3"/>
            <charset val="134"/>
          </rPr>
          <t>作者:
2011.10-348</t>
        </r>
      </text>
    </comment>
    <comment ref="I239" authorId="0" shapeId="0">
      <text>
        <r>
          <rPr>
            <sz val="9"/>
            <rFont val="宋体"/>
            <family val="3"/>
            <charset val="134"/>
          </rPr>
          <t>作者:
2010.12.3.82#</t>
        </r>
      </text>
    </comment>
    <comment ref="I242" authorId="0" shapeId="0">
      <text>
        <r>
          <rPr>
            <sz val="9"/>
            <rFont val="宋体"/>
            <family val="3"/>
            <charset val="134"/>
          </rPr>
          <t>作者:
2011.8-64#</t>
        </r>
      </text>
    </comment>
    <comment ref="C252" authorId="1" shapeId="0">
      <text>
        <r>
          <rPr>
            <b/>
            <sz val="9"/>
            <color indexed="81"/>
            <rFont val="宋体"/>
            <family val="3"/>
            <charset val="134"/>
          </rPr>
          <t>原为陈小龙</t>
        </r>
        <r>
          <rPr>
            <b/>
            <sz val="9"/>
            <color indexed="81"/>
            <rFont val="Tahoma"/>
            <family val="2"/>
          </rPr>
          <t>2017.09.01</t>
        </r>
        <r>
          <rPr>
            <b/>
            <sz val="9"/>
            <color indexed="81"/>
            <rFont val="宋体"/>
            <family val="3"/>
            <charset val="134"/>
          </rPr>
          <t>变更</t>
        </r>
      </text>
    </comment>
    <comment ref="U254" authorId="0" shapeId="0">
      <text>
        <r>
          <rPr>
            <sz val="9"/>
            <rFont val="宋体"/>
            <family val="3"/>
            <charset val="134"/>
          </rPr>
          <t xml:space="preserve">作者:
2012.5.25-6.24
</t>
        </r>
      </text>
    </comment>
    <comment ref="V254" authorId="0" shapeId="0">
      <text>
        <r>
          <rPr>
            <sz val="9"/>
            <rFont val="宋体"/>
            <family val="3"/>
            <charset val="134"/>
          </rPr>
          <t>作者:
6.25-6.30</t>
        </r>
      </text>
    </comment>
    <comment ref="U255" authorId="0" shapeId="0">
      <text>
        <r>
          <rPr>
            <sz val="9"/>
            <rFont val="宋体"/>
            <family val="3"/>
            <charset val="134"/>
          </rPr>
          <t>作者:
2012-6-472</t>
        </r>
      </text>
    </comment>
    <comment ref="V255" authorId="0" shapeId="0">
      <text>
        <r>
          <rPr>
            <sz val="9"/>
            <rFont val="宋体"/>
            <family val="3"/>
            <charset val="134"/>
          </rPr>
          <t>作者:
2012-7-338</t>
        </r>
      </text>
    </comment>
    <comment ref="W255" authorId="0" shapeId="0">
      <text>
        <r>
          <rPr>
            <sz val="9"/>
            <rFont val="宋体"/>
            <family val="3"/>
            <charset val="134"/>
          </rPr>
          <t>作者:
7-338</t>
        </r>
      </text>
    </comment>
    <comment ref="CB255" authorId="0" shapeId="0">
      <text>
        <r>
          <rPr>
            <sz val="9"/>
            <rFont val="宋体"/>
            <family val="3"/>
            <charset val="134"/>
          </rPr>
          <t>作者:
7-340</t>
        </r>
      </text>
    </comment>
    <comment ref="CE255" authorId="0" shapeId="0">
      <text>
        <r>
          <rPr>
            <sz val="9"/>
            <rFont val="宋体"/>
            <family val="3"/>
            <charset val="134"/>
          </rPr>
          <t>作者:
12.10-237</t>
        </r>
      </text>
    </comment>
    <comment ref="I275" authorId="0" shapeId="0">
      <text>
        <r>
          <rPr>
            <sz val="9"/>
            <rFont val="宋体"/>
            <family val="3"/>
            <charset val="134"/>
          </rPr>
          <t>作者:
2011.2.24.132#</t>
        </r>
      </text>
    </comment>
    <comment ref="D285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2016.6.15-2016.7.14</t>
        </r>
        <r>
          <rPr>
            <sz val="9"/>
            <rFont val="宋体"/>
            <family val="3"/>
            <charset val="134"/>
          </rPr>
          <t xml:space="preserve">装修
</t>
        </r>
      </text>
    </comment>
    <comment ref="D299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2016.7.8-2016.8.6</t>
        </r>
        <r>
          <rPr>
            <sz val="9"/>
            <rFont val="宋体"/>
            <family val="3"/>
            <charset val="134"/>
          </rPr>
          <t xml:space="preserve">装修免租
</t>
        </r>
      </text>
    </comment>
    <comment ref="CC311" authorId="0" shapeId="0">
      <text>
        <r>
          <rPr>
            <sz val="9"/>
            <rFont val="宋体"/>
            <family val="3"/>
            <charset val="134"/>
          </rPr>
          <t>作者:
抽成+3541.7
12.10-422</t>
        </r>
      </text>
    </comment>
    <comment ref="CE311" authorId="0" shapeId="0">
      <text>
        <r>
          <rPr>
            <sz val="9"/>
            <rFont val="宋体"/>
            <family val="3"/>
            <charset val="134"/>
          </rPr>
          <t>作者:
12.10-237</t>
        </r>
      </text>
    </comment>
    <comment ref="CF311" authorId="0" shapeId="0">
      <text>
        <r>
          <rPr>
            <sz val="9"/>
            <rFont val="宋体"/>
            <family val="3"/>
            <charset val="134"/>
          </rPr>
          <t>作者:
12.10-237</t>
        </r>
      </text>
    </comment>
    <comment ref="CB315" authorId="0" shapeId="0">
      <text>
        <r>
          <rPr>
            <sz val="9"/>
            <rFont val="宋体"/>
            <family val="3"/>
            <charset val="134"/>
          </rPr>
          <t>作者:
8-186</t>
        </r>
      </text>
    </comment>
    <comment ref="CD315" authorId="0" shapeId="0">
      <text>
        <r>
          <rPr>
            <sz val="9"/>
            <rFont val="宋体"/>
            <family val="3"/>
            <charset val="134"/>
          </rPr>
          <t>作者:
12.10-173</t>
        </r>
      </text>
    </comment>
    <comment ref="CE315" authorId="0" shapeId="0">
      <text>
        <r>
          <rPr>
            <sz val="9"/>
            <rFont val="宋体"/>
            <family val="3"/>
            <charset val="134"/>
          </rPr>
          <t>作者:
12.10-419</t>
        </r>
      </text>
    </comment>
    <comment ref="I316" authorId="0" shapeId="0">
      <text>
        <r>
          <rPr>
            <sz val="9"/>
            <rFont val="宋体"/>
            <family val="3"/>
            <charset val="134"/>
          </rPr>
          <t>2009.12.20-2011.12.19</t>
        </r>
      </text>
    </comment>
    <comment ref="D318" authorId="2" shapeId="0">
      <text>
        <r>
          <rPr>
            <b/>
            <sz val="9"/>
            <rFont val="Tahoma"/>
            <family val="2"/>
          </rPr>
          <t>rf:</t>
        </r>
        <r>
          <rPr>
            <sz val="9"/>
            <rFont val="Tahoma"/>
            <family val="2"/>
          </rPr>
          <t xml:space="preserve">
2016.3.1-2016.3.30</t>
        </r>
        <r>
          <rPr>
            <sz val="9"/>
            <rFont val="宋体"/>
            <family val="3"/>
            <charset val="134"/>
          </rPr>
          <t>装修免租期</t>
        </r>
      </text>
    </comment>
    <comment ref="F342" authorId="3" shapeId="0">
      <text>
        <r>
          <rPr>
            <b/>
            <sz val="9"/>
            <color indexed="81"/>
            <rFont val="宋体"/>
            <family val="3"/>
            <charset val="134"/>
          </rPr>
          <t>余志强:</t>
        </r>
        <r>
          <rPr>
            <sz val="9"/>
            <color indexed="81"/>
            <rFont val="宋体"/>
            <family val="3"/>
            <charset val="134"/>
          </rPr>
          <t xml:space="preserve">
17.06.01商铺由502-7变更为502-6、7，面积由45.02增加为60</t>
        </r>
      </text>
    </comment>
    <comment ref="F348" authorId="0" shapeId="0">
      <text>
        <r>
          <rPr>
            <sz val="9"/>
            <rFont val="宋体"/>
            <family val="3"/>
            <charset val="134"/>
          </rPr>
          <t>Administrator:
原998.88，后增加到1015.50</t>
        </r>
      </text>
    </comment>
    <comment ref="I351" authorId="0" shapeId="0">
      <text>
        <r>
          <rPr>
            <sz val="9"/>
            <rFont val="宋体"/>
            <family val="3"/>
            <charset val="134"/>
          </rPr>
          <t>作者:
2011.8-172#</t>
        </r>
      </text>
    </comment>
    <comment ref="C354" authorId="0" shapeId="0">
      <text>
        <r>
          <rPr>
            <sz val="9"/>
            <rFont val="宋体"/>
            <family val="3"/>
            <charset val="134"/>
          </rPr>
          <t xml:space="preserve">作者:
第二年(12个月)首月20日前结算净票房营业额＝总票房－(总票房*5%电影基金)-[(总票房-总票房*5%电影基金)-总票房*3.36%营业税及附加]，每月10前提交上月票房营业额报表
</t>
        </r>
      </text>
    </comment>
    <comment ref="F354" authorId="0" shapeId="0">
      <text>
        <r>
          <rPr>
            <sz val="9"/>
            <rFont val="宋体"/>
            <family val="3"/>
            <charset val="134"/>
          </rPr>
          <t>作者:
5层729.6，6层3336.2
补充协议二2011.3.1增加3层面积767平米</t>
        </r>
      </text>
    </comment>
    <comment ref="I358" authorId="0" shapeId="0">
      <text>
        <r>
          <rPr>
            <sz val="9"/>
            <rFont val="宋体"/>
            <family val="3"/>
            <charset val="134"/>
          </rPr>
          <t xml:space="preserve">增加3504.01
</t>
        </r>
      </text>
    </comment>
    <comment ref="I362" authorId="0" shapeId="0">
      <text>
        <r>
          <rPr>
            <sz val="9"/>
            <rFont val="宋体"/>
            <family val="3"/>
            <charset val="134"/>
          </rPr>
          <t>作者:
2010.12.9.183#</t>
        </r>
      </text>
    </comment>
    <comment ref="I364" authorId="0" shapeId="0">
      <text>
        <r>
          <rPr>
            <sz val="9"/>
            <rFont val="宋体"/>
            <family val="3"/>
            <charset val="134"/>
          </rPr>
          <t>作者:
2010.12.9.183#</t>
        </r>
      </text>
    </comment>
    <comment ref="D366" authorId="5" shapeId="0">
      <text>
        <r>
          <rPr>
            <b/>
            <sz val="9"/>
            <color indexed="81"/>
            <rFont val="宋体"/>
            <family val="3"/>
            <charset val="134"/>
          </rPr>
          <t>sony:</t>
        </r>
        <r>
          <rPr>
            <sz val="9"/>
            <color indexed="81"/>
            <rFont val="宋体"/>
            <family val="3"/>
            <charset val="134"/>
          </rPr>
          <t xml:space="preserve">
2017.11.1-2019.10.31年租金180万；2019.11.1-2021.10.31年租金190万</t>
        </r>
      </text>
    </comment>
    <comment ref="I367" authorId="0" shapeId="0">
      <text>
        <r>
          <rPr>
            <sz val="9"/>
            <rFont val="宋体"/>
            <family val="3"/>
            <charset val="134"/>
          </rPr>
          <t>作者:
2011.7-142#</t>
        </r>
      </text>
    </comment>
    <comment ref="I369" authorId="0" shapeId="0">
      <text>
        <r>
          <rPr>
            <sz val="9"/>
            <rFont val="宋体"/>
            <family val="3"/>
            <charset val="134"/>
          </rPr>
          <t>作者:
2011.8-597#</t>
        </r>
      </text>
    </comment>
    <comment ref="I371" authorId="0" shapeId="0">
      <text>
        <r>
          <rPr>
            <sz val="9"/>
            <rFont val="宋体"/>
            <family val="3"/>
            <charset val="134"/>
          </rPr>
          <t>作者:
2011.11-317</t>
        </r>
      </text>
    </comment>
    <comment ref="I373" authorId="0" shapeId="0">
      <text>
        <r>
          <rPr>
            <sz val="9"/>
            <rFont val="宋体"/>
            <family val="3"/>
            <charset val="134"/>
          </rPr>
          <t>作者:
2011.11-317</t>
        </r>
      </text>
    </comment>
    <comment ref="I375" authorId="0" shapeId="0">
      <text>
        <r>
          <rPr>
            <sz val="9"/>
            <rFont val="宋体"/>
            <family val="3"/>
            <charset val="134"/>
          </rPr>
          <t>作者:
2011.8-590#</t>
        </r>
      </text>
    </comment>
    <comment ref="I377" authorId="0" shapeId="0">
      <text>
        <r>
          <rPr>
            <sz val="9"/>
            <rFont val="宋体"/>
            <family val="3"/>
            <charset val="134"/>
          </rPr>
          <t>作者:
2011.8-590#</t>
        </r>
      </text>
    </comment>
    <comment ref="I387" authorId="0" shapeId="0">
      <text>
        <r>
          <rPr>
            <sz val="9"/>
            <rFont val="宋体"/>
            <family val="3"/>
            <charset val="134"/>
          </rPr>
          <t>作者:
2011.11-316</t>
        </r>
      </text>
    </comment>
    <comment ref="I389" authorId="0" shapeId="0">
      <text>
        <r>
          <rPr>
            <sz val="9"/>
            <rFont val="宋体"/>
            <family val="3"/>
            <charset val="134"/>
          </rPr>
          <t>作者:
2012.1-373</t>
        </r>
      </text>
    </comment>
    <comment ref="I391" authorId="0" shapeId="0">
      <text>
        <r>
          <rPr>
            <sz val="9"/>
            <rFont val="宋体"/>
            <family val="3"/>
            <charset val="134"/>
          </rPr>
          <t>作者:
2012.1-373</t>
        </r>
      </text>
    </comment>
    <comment ref="I393" authorId="0" shapeId="0">
      <text>
        <r>
          <rPr>
            <sz val="9"/>
            <rFont val="宋体"/>
            <family val="3"/>
            <charset val="134"/>
          </rPr>
          <t>作者:
2011.8-602#</t>
        </r>
      </text>
    </comment>
  </commentList>
</comments>
</file>

<file path=xl/sharedStrings.xml><?xml version="1.0" encoding="utf-8"?>
<sst xmlns="http://schemas.openxmlformats.org/spreadsheetml/2006/main" count="2019" uniqueCount="1440">
  <si>
    <t>商铺号</t>
  </si>
  <si>
    <t>商铺名称</t>
  </si>
  <si>
    <t>租赁期限</t>
  </si>
  <si>
    <t>面积</t>
  </si>
  <si>
    <t>平均单价</t>
  </si>
  <si>
    <t>押金</t>
  </si>
  <si>
    <t>租金合计</t>
  </si>
  <si>
    <r>
      <t>(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华文新魏"/>
        <family val="3"/>
        <charset val="134"/>
      </rPr>
      <t>)</t>
    </r>
  </si>
  <si>
    <r>
      <t>(元/天/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华文新魏"/>
        <family val="3"/>
        <charset val="134"/>
      </rPr>
      <t>)</t>
    </r>
  </si>
  <si>
    <t>富力广场东南侧外墙3-5层</t>
  </si>
  <si>
    <t>北京北广传媒城市电视有限公司</t>
  </si>
  <si>
    <t>2011.11.1-2021.10.31</t>
  </si>
  <si>
    <t>通用磨坊贸易（上海）有限公司</t>
  </si>
  <si>
    <t>北京为之味餐饮有限公司</t>
  </si>
  <si>
    <t>北京三鼎原商贸有限公司</t>
  </si>
  <si>
    <t>绫致时装（天津）有限公司</t>
  </si>
  <si>
    <t>北京大食代餐饮有限公司</t>
  </si>
  <si>
    <t>北京美特肖普商贸有限公司</t>
  </si>
  <si>
    <t>江南布衣服饰（北京）有限公司</t>
  </si>
  <si>
    <t>罗克（北京）服饰有限公司</t>
  </si>
  <si>
    <t>2017.4.10-2018.4.9</t>
  </si>
  <si>
    <t>2011.09.01-2023.08.31</t>
  </si>
  <si>
    <t>2008.08.30-2018.08.29</t>
  </si>
  <si>
    <t>2014.12.20-2019.12.19</t>
  </si>
  <si>
    <t>2016.7.18-2020.7.17</t>
  </si>
  <si>
    <t>2015.2.10-2019.2.9</t>
  </si>
  <si>
    <t>2014.12.15-2018.12.14</t>
  </si>
  <si>
    <t>2016.6.2-2021.6.1</t>
  </si>
  <si>
    <t>2016.9.20-2018.9.19</t>
  </si>
  <si>
    <t>2008.07.14-2018.09.12</t>
  </si>
  <si>
    <t>北京爱慕服饰销售有限公司</t>
  </si>
  <si>
    <t>百丽鞋业（北京）有限公司</t>
    <phoneticPr fontId="11" type="noConversion"/>
  </si>
  <si>
    <t>2017.09.16-2018.09.15</t>
    <phoneticPr fontId="11" type="noConversion"/>
  </si>
  <si>
    <t>2016.5.1-2018.4.30</t>
  </si>
  <si>
    <t>2015.10.19-2018.10.18</t>
  </si>
  <si>
    <t>一层05</t>
  </si>
  <si>
    <t>北京络克风尚贸易有限公司</t>
  </si>
  <si>
    <t>一层07</t>
  </si>
  <si>
    <t>北京博盛华洋商贸有限公司</t>
  </si>
  <si>
    <t>一层08-09</t>
    <phoneticPr fontId="11" type="noConversion"/>
  </si>
  <si>
    <t>北京京广盈通贸易有限公司</t>
    <phoneticPr fontId="13" type="noConversion"/>
  </si>
  <si>
    <t>一层10</t>
  </si>
  <si>
    <t>北京京广盈通贸易有限公司</t>
  </si>
  <si>
    <t>北京世纪超科科技有限公司</t>
  </si>
  <si>
    <t>一层17</t>
  </si>
  <si>
    <t>北京好美洋生物技术有限公司</t>
    <phoneticPr fontId="11" type="noConversion"/>
  </si>
  <si>
    <t>2017.09.20-2018.09.19</t>
    <phoneticPr fontId="11" type="noConversion"/>
  </si>
  <si>
    <t>一层18</t>
  </si>
  <si>
    <t>北京尊贵视力商贸有限公司</t>
  </si>
  <si>
    <t>一层20</t>
  </si>
  <si>
    <t>一层101</t>
  </si>
  <si>
    <t>2008.08.01-2018.07.31</t>
  </si>
  <si>
    <t>一层102</t>
    <phoneticPr fontId="11" type="noConversion"/>
  </si>
  <si>
    <t>二层202-1/103</t>
  </si>
  <si>
    <t>北京屈臣氏个人用品连锁商品有限公司</t>
  </si>
  <si>
    <t>一层104-107\108.108A</t>
  </si>
  <si>
    <t>飒拉商业(北京)有限公司</t>
  </si>
  <si>
    <t>2010.07.15-2022.07.14</t>
  </si>
  <si>
    <t>一层110</t>
  </si>
  <si>
    <t>一层110-1</t>
  </si>
  <si>
    <t>上海吉茶餐饮管理有限公司北京分公司</t>
    <phoneticPr fontId="11" type="noConversion"/>
  </si>
  <si>
    <t>一层/二层-1-2</t>
  </si>
  <si>
    <t>绫致时装（天津）有限公司北京双井销售部</t>
  </si>
  <si>
    <t>2015.6.15-2021.6.14</t>
  </si>
  <si>
    <t>一层112</t>
  </si>
  <si>
    <t>广州赫斯汀服饰有限公司</t>
  </si>
  <si>
    <t>2017.4.1-2020.3.31</t>
  </si>
  <si>
    <t>一层113-114</t>
  </si>
  <si>
    <t>一层115</t>
  </si>
  <si>
    <t>鹏卫齐商业（上海）有限公司</t>
  </si>
  <si>
    <t>2015.5.1-2019.3.1</t>
  </si>
  <si>
    <t>一层116</t>
  </si>
  <si>
    <t>一层117</t>
  </si>
  <si>
    <t>2015.10.09-2018.10.08</t>
  </si>
  <si>
    <t>一层119</t>
  </si>
  <si>
    <t>2015.6.30-2018.6.29</t>
  </si>
  <si>
    <t>一层120</t>
  </si>
  <si>
    <t>一层121-4</t>
  </si>
  <si>
    <t>麦西姆杜特商业（上海）有限公司</t>
  </si>
  <si>
    <t>2011.09.01-2021.08.31</t>
  </si>
  <si>
    <t>一层125-1-2-02</t>
    <phoneticPr fontId="11" type="noConversion"/>
  </si>
  <si>
    <t>2017.10.23-2018.10.22</t>
    <phoneticPr fontId="11" type="noConversion"/>
  </si>
  <si>
    <t>一层128/二层220-222</t>
  </si>
  <si>
    <t>西雅衣家(中国)商业有限公司</t>
  </si>
  <si>
    <t>2008.10.24-2018.10.23</t>
  </si>
  <si>
    <t>一层130</t>
  </si>
  <si>
    <t>一层131/二层223</t>
  </si>
  <si>
    <t>北京必胜客比萨饼有限公司</t>
  </si>
  <si>
    <t>一层132、133</t>
  </si>
  <si>
    <t>北京周大福珠宝金行有限公司</t>
  </si>
  <si>
    <t>一层134-137</t>
  </si>
  <si>
    <t>丝芙兰(北京)化妆品销售有限公司</t>
  </si>
  <si>
    <t>一层140</t>
  </si>
  <si>
    <t>一层141-02</t>
  </si>
  <si>
    <t>北京美道宏业服饰有限公司</t>
    <phoneticPr fontId="11" type="noConversion"/>
  </si>
  <si>
    <t>一层142-1</t>
  </si>
  <si>
    <t>施华洛世奇（上海）贸易有限公司北京分公司</t>
  </si>
  <si>
    <t>一层142-2</t>
  </si>
  <si>
    <t>一层148</t>
  </si>
  <si>
    <t xml:space="preserve">北京星巴克咖啡有限公司 </t>
    <phoneticPr fontId="11" type="noConversion"/>
  </si>
  <si>
    <t>2017.11.10-2025.11.09</t>
    <phoneticPr fontId="11" type="noConversion"/>
  </si>
  <si>
    <t>一层149</t>
  </si>
  <si>
    <t>北京康美娜企业管理有限公司</t>
  </si>
  <si>
    <t>2015.8.5-2018.8.4</t>
  </si>
  <si>
    <t>北京全城热恋商场有限公司</t>
  </si>
  <si>
    <t>二层65</t>
  </si>
  <si>
    <t>北京清颜雅韵美容有限责任公司</t>
  </si>
  <si>
    <t>2015.3.10-2021.3.9</t>
  </si>
  <si>
    <t>二层201-1</t>
  </si>
  <si>
    <t>北京崇德商贸有限公司</t>
  </si>
  <si>
    <t>二层201-2</t>
  </si>
  <si>
    <t>二层203</t>
  </si>
  <si>
    <t>百丽鞋业（北京）有限公司</t>
  </si>
  <si>
    <t>二层204</t>
    <phoneticPr fontId="11" type="noConversion"/>
  </si>
  <si>
    <t>北京傲妮商贸有限公司</t>
    <phoneticPr fontId="11" type="noConversion"/>
  </si>
  <si>
    <t>二层205</t>
  </si>
  <si>
    <t>二层206、207-1</t>
  </si>
  <si>
    <t>2015.7.27-2018.7.26</t>
  </si>
  <si>
    <t>二层210</t>
  </si>
  <si>
    <t>2015.6.11-2018.6.10</t>
  </si>
  <si>
    <t>二层212</t>
  </si>
  <si>
    <t>二层213</t>
  </si>
  <si>
    <t>江苏飞耐时户外用品有限公司</t>
    <phoneticPr fontId="11" type="noConversion"/>
  </si>
  <si>
    <t>2017.09.01-2018.08.31</t>
    <phoneticPr fontId="11" type="noConversion"/>
  </si>
  <si>
    <t>二层214-1</t>
  </si>
  <si>
    <t>广州达衣岩服饰有限公司</t>
  </si>
  <si>
    <t>2015.7.17-2018.7.16</t>
  </si>
  <si>
    <t>二层215</t>
  </si>
  <si>
    <t>北京阿桑娜商贸有限公司</t>
  </si>
  <si>
    <t>二层216</t>
  </si>
  <si>
    <t>二层217</t>
  </si>
  <si>
    <t>北京意丰歌服饰有限公司</t>
    <phoneticPr fontId="11" type="noConversion"/>
  </si>
  <si>
    <t>2017.08.02-2018.08.01</t>
    <phoneticPr fontId="11" type="noConversion"/>
  </si>
  <si>
    <t>二层219</t>
  </si>
  <si>
    <t>北京斯科塞斯商贸有限公司</t>
    <phoneticPr fontId="11" type="noConversion"/>
  </si>
  <si>
    <t>二层224-225</t>
  </si>
  <si>
    <t>二层226</t>
  </si>
  <si>
    <t>东莞市卡蔓时装有限公司</t>
  </si>
  <si>
    <t>二层227</t>
  </si>
  <si>
    <t>二层228</t>
  </si>
  <si>
    <t>二层230</t>
  </si>
  <si>
    <t>上海西歌实业有限公司</t>
    <phoneticPr fontId="11" type="noConversion"/>
  </si>
  <si>
    <t>二层231</t>
  </si>
  <si>
    <t>广州市弘上服装有限公司</t>
  </si>
  <si>
    <t>2016.4.15-2018.4.14</t>
  </si>
  <si>
    <t>二层232</t>
  </si>
  <si>
    <t>二层233</t>
  </si>
  <si>
    <t>日播创美服饰(北京)有限公司</t>
  </si>
  <si>
    <t>二层234</t>
    <phoneticPr fontId="11" type="noConversion"/>
  </si>
  <si>
    <t>德津实业发展（深圳）有限公司</t>
    <phoneticPr fontId="11" type="noConversion"/>
  </si>
  <si>
    <t>2017.10.09-2019.04.08</t>
    <phoneticPr fontId="11" type="noConversion"/>
  </si>
  <si>
    <t>二层235-01</t>
  </si>
  <si>
    <t>上海卓新服饰有限公司北京第六分店</t>
  </si>
  <si>
    <t>2015.9.18-2018.9.17</t>
  </si>
  <si>
    <t>二层236-237</t>
  </si>
  <si>
    <t>绫致时装（天津）有限公司(ONLY)</t>
  </si>
  <si>
    <t>二层238-1</t>
  </si>
  <si>
    <t>深圳市天尚服装有限公司</t>
  </si>
  <si>
    <t>二层238-2</t>
  </si>
  <si>
    <t>上海丝绸集团品牌发展有限公司</t>
  </si>
  <si>
    <t>2017.5.20-2019.5.19</t>
  </si>
  <si>
    <t>二层239</t>
  </si>
  <si>
    <t>二层240-241</t>
    <phoneticPr fontId="11" type="noConversion"/>
  </si>
  <si>
    <t>绫致时装（天津）有限公司</t>
    <phoneticPr fontId="11" type="noConversion"/>
  </si>
  <si>
    <t>二层248</t>
  </si>
  <si>
    <t>二层249</t>
  </si>
  <si>
    <t>北京市豪情万履商贸有限责任公司</t>
  </si>
  <si>
    <t>2016.9.20-2020.9.19</t>
  </si>
  <si>
    <t>二层250</t>
  </si>
  <si>
    <t>二层251</t>
  </si>
  <si>
    <t>上海集熙服饰有限公司</t>
    <phoneticPr fontId="11" type="noConversion"/>
  </si>
  <si>
    <t>二层252</t>
  </si>
  <si>
    <t>北京艾瑞美时尚发饰品有限公司</t>
  </si>
  <si>
    <t>二层256-03</t>
  </si>
  <si>
    <t>二层257</t>
    <phoneticPr fontId="11" type="noConversion"/>
  </si>
  <si>
    <t>北京华宇时代钟表有限公司</t>
    <phoneticPr fontId="11" type="noConversion"/>
  </si>
  <si>
    <t>2017.09.08-2018.09.07</t>
    <phoneticPr fontId="11" type="noConversion"/>
  </si>
  <si>
    <t>二层259</t>
  </si>
  <si>
    <t>北京基业天成科贸有限公司</t>
  </si>
  <si>
    <t>二层261</t>
  </si>
  <si>
    <t>北京瑶娴一族商贸有限公司</t>
  </si>
  <si>
    <t>三层301</t>
  </si>
  <si>
    <t>上海臻悦服饰股份有限公司</t>
  </si>
  <si>
    <t>三层302-2</t>
  </si>
  <si>
    <t>三层303-2-1b-01</t>
  </si>
  <si>
    <t>赫赫商贸（北京）有限公司</t>
  </si>
  <si>
    <t>三层303-1a,303-1b</t>
  </si>
  <si>
    <t>三层303-2-1a</t>
  </si>
  <si>
    <t>2017.11.01-2018.10.31</t>
    <phoneticPr fontId="11" type="noConversion"/>
  </si>
  <si>
    <t>三层304a</t>
  </si>
  <si>
    <t>三层304b-1、2、3</t>
  </si>
  <si>
    <t>2015.11.18-2020.11.17</t>
  </si>
  <si>
    <t>三层304b-4-1</t>
  </si>
  <si>
    <t>2016.4.15-2020.11.17</t>
  </si>
  <si>
    <t>三层304b-5</t>
  </si>
  <si>
    <t>三层304b-6-7</t>
  </si>
  <si>
    <t>2015.12.15-2019.12.14</t>
  </si>
  <si>
    <t>三层304b-8-9</t>
  </si>
  <si>
    <t>三层305-308</t>
  </si>
  <si>
    <t>2014.12.15-2019.12.14</t>
  </si>
  <si>
    <t>三层309</t>
  </si>
  <si>
    <t>华欧御泰（北京）贸易有限公司第二分公司</t>
  </si>
  <si>
    <t>三层310a、310b、311</t>
  </si>
  <si>
    <t>北京集盒商贸有限公司</t>
  </si>
  <si>
    <t>三层312-313</t>
  </si>
  <si>
    <t>三层314-315</t>
  </si>
  <si>
    <t>云海肴（北京）餐饮管理有限公司</t>
  </si>
  <si>
    <t>2016.02.01-2020.01.31</t>
  </si>
  <si>
    <t>三层316-b/317</t>
  </si>
  <si>
    <t>胜博殿餐饮管理（北京）有限公司</t>
  </si>
  <si>
    <t>三层316a-318-320</t>
  </si>
  <si>
    <t>2015.4.25-2019.4.24</t>
  </si>
  <si>
    <t>三层323-326</t>
  </si>
  <si>
    <t>三层327-330-330b</t>
  </si>
  <si>
    <t>三层302内330a</t>
    <phoneticPr fontId="11" type="noConversion"/>
  </si>
  <si>
    <t xml:space="preserve">石家庄大慈贸易有限公司 </t>
    <phoneticPr fontId="11" type="noConversion"/>
  </si>
  <si>
    <t>2017.10.25-2018.10.24</t>
    <phoneticPr fontId="11" type="noConversion"/>
  </si>
  <si>
    <t>三层331</t>
    <phoneticPr fontId="11" type="noConversion"/>
  </si>
  <si>
    <t>众信旅游集团股份有限公司</t>
    <phoneticPr fontId="11" type="noConversion"/>
  </si>
  <si>
    <t>2017.9.20-2018.9.19</t>
    <phoneticPr fontId="11" type="noConversion"/>
  </si>
  <si>
    <t>三层332</t>
    <phoneticPr fontId="11" type="noConversion"/>
  </si>
  <si>
    <t>北京佳群餐饮管理有限公司</t>
  </si>
  <si>
    <t>三层333-334</t>
  </si>
  <si>
    <t>三层335-337</t>
  </si>
  <si>
    <t>三层338</t>
  </si>
  <si>
    <t>北京盛益兴商贸有限公司</t>
  </si>
  <si>
    <t>三层340</t>
  </si>
  <si>
    <t>北京安华壹号文化创意产业有限公司</t>
  </si>
  <si>
    <t>三层341</t>
  </si>
  <si>
    <t>三层342-343</t>
  </si>
  <si>
    <t>佛山星期六鞋业有限公司</t>
    <phoneticPr fontId="11" type="noConversion"/>
  </si>
  <si>
    <t>三层344-345</t>
  </si>
  <si>
    <t>三层346</t>
  </si>
  <si>
    <t>斯泽塔塞眼镜贸易（北京）有限公司</t>
  </si>
  <si>
    <t>三层347</t>
  </si>
  <si>
    <t>三层348</t>
  </si>
  <si>
    <t>北京水果先生果品销售有限公司</t>
  </si>
  <si>
    <t>三层349</t>
  </si>
  <si>
    <t>三层350-351</t>
  </si>
  <si>
    <t>三层353</t>
  </si>
  <si>
    <t>鱼果果食品（北京）有限公司</t>
  </si>
  <si>
    <t>三层354-355</t>
  </si>
  <si>
    <t>2015.09.16-2018.09.15</t>
  </si>
  <si>
    <t>三层362</t>
  </si>
  <si>
    <t>北京合众号食品科技有限公司</t>
    <phoneticPr fontId="11" type="noConversion"/>
  </si>
  <si>
    <t>三层368</t>
  </si>
  <si>
    <t>北京名赫小可乐餐饮管理有限公司</t>
    <phoneticPr fontId="11" type="noConversion"/>
  </si>
  <si>
    <t>四层401</t>
  </si>
  <si>
    <t>四层402</t>
  </si>
  <si>
    <t>四层403</t>
  </si>
  <si>
    <t>北京太平鸟服饰有限公司</t>
  </si>
  <si>
    <t>2017.3.13-2019.3.12</t>
  </si>
  <si>
    <t>四层405-409</t>
  </si>
  <si>
    <t>2015.5.15-2018.4.30</t>
  </si>
  <si>
    <t>四层410a,410b,411-413</t>
    <phoneticPr fontId="11" type="noConversion"/>
  </si>
  <si>
    <t>北京帕皮科创教育科技有限公司</t>
    <phoneticPr fontId="11" type="noConversion"/>
  </si>
  <si>
    <t>2017.11.01-2020.10.31</t>
    <phoneticPr fontId="11" type="noConversion"/>
  </si>
  <si>
    <t>四层414,415-1</t>
    <phoneticPr fontId="11" type="noConversion"/>
  </si>
  <si>
    <t>北京卓美时代国际文化有限公司</t>
    <phoneticPr fontId="11" type="noConversion"/>
  </si>
  <si>
    <t>2017.11.01-2019.12.17</t>
    <phoneticPr fontId="11" type="noConversion"/>
  </si>
  <si>
    <t>四层415-2-416</t>
    <phoneticPr fontId="11" type="noConversion"/>
  </si>
  <si>
    <t>哈啰功夫文化传播（北京）有限公司</t>
    <phoneticPr fontId="11" type="noConversion"/>
  </si>
  <si>
    <t>2018.1.1-2020.12.31</t>
    <phoneticPr fontId="11" type="noConversion"/>
  </si>
  <si>
    <t>四层417-418、429-1</t>
  </si>
  <si>
    <t>北京卓美时代国际文化有限公司</t>
  </si>
  <si>
    <t>北京市西单麻辣诱惑餐饮有限公司</t>
  </si>
  <si>
    <t>四层435</t>
  </si>
  <si>
    <t>倍乐生商贸（中国）有限公司</t>
  </si>
  <si>
    <t>四层441</t>
  </si>
  <si>
    <t>四层442a</t>
  </si>
  <si>
    <t>四层442b-1</t>
  </si>
  <si>
    <t>北京柯妤时尚贸易有限公司</t>
    <phoneticPr fontId="11" type="noConversion"/>
  </si>
  <si>
    <t>四层442b-2</t>
  </si>
  <si>
    <t>四层444</t>
  </si>
  <si>
    <t>北京进巍美甲有限公司</t>
  </si>
  <si>
    <t>四层447</t>
  </si>
  <si>
    <t>北京山居客至文化传媒有限公司</t>
  </si>
  <si>
    <t>四层448</t>
  </si>
  <si>
    <t>四层449</t>
  </si>
  <si>
    <t>北京润之华星茶业有限公司</t>
  </si>
  <si>
    <t>四层450</t>
  </si>
  <si>
    <t>四层451、452、454、455</t>
  </si>
  <si>
    <t>四层458</t>
  </si>
  <si>
    <t>深圳市乐活电子商务有限公司</t>
  </si>
  <si>
    <t>四层459、460、461</t>
  </si>
  <si>
    <t>北京丽家丽婴婴童用品有限公司</t>
  </si>
  <si>
    <t>四层462</t>
  </si>
  <si>
    <t>2016.7.8-2018.9.22</t>
  </si>
  <si>
    <t>四层463</t>
  </si>
  <si>
    <t>四层464-465</t>
  </si>
  <si>
    <t>五层502-1</t>
  </si>
  <si>
    <t>2015.6.20-2018.6.19</t>
  </si>
  <si>
    <t>五层502-1b、502-2</t>
  </si>
  <si>
    <t>北京徐凯美发美容有限公司</t>
  </si>
  <si>
    <t>2015.7.1-2020.6.30</t>
  </si>
  <si>
    <t>五层502-3a-a</t>
  </si>
  <si>
    <t>北京茜美企业管理有限公司</t>
  </si>
  <si>
    <t>五层502-3a-2</t>
  </si>
  <si>
    <t>北京真朴教育科技发展有限公司</t>
  </si>
  <si>
    <t>2016.5.15-2020.5.14</t>
  </si>
  <si>
    <t>五层502-3b-1-2</t>
  </si>
  <si>
    <t>2013.7.15-2018.7.14</t>
  </si>
  <si>
    <t>五层502-3c</t>
  </si>
  <si>
    <t>五层502-3d</t>
  </si>
  <si>
    <t>五层502-4、502-11</t>
  </si>
  <si>
    <t>2015.7.23-2020.6.30</t>
  </si>
  <si>
    <t>五层502-5</t>
  </si>
  <si>
    <t>2015.7.23-2018.7.22</t>
  </si>
  <si>
    <t>五层502-6、502-7</t>
    <phoneticPr fontId="11" type="noConversion"/>
  </si>
  <si>
    <t>北京香满堂餐饮管理有限公司</t>
  </si>
  <si>
    <t>五层502-8</t>
  </si>
  <si>
    <t>纤活日记（北京）餐饮管理有限公司</t>
  </si>
  <si>
    <t>五层502-9</t>
  </si>
  <si>
    <t>北京今日亮陶艺文化有限公司</t>
  </si>
  <si>
    <t>五层504-525</t>
  </si>
  <si>
    <t>五层530-535</t>
  </si>
  <si>
    <t>北京市柏斯琴行有限公司</t>
  </si>
  <si>
    <t>2008.03.01-2028.02.28</t>
  </si>
  <si>
    <t>七层</t>
  </si>
  <si>
    <t>北京港丽餐饮管理有限公司</t>
  </si>
  <si>
    <t>2012.5.15-2020.5.14</t>
  </si>
  <si>
    <t>八层901</t>
  </si>
  <si>
    <t>九层1001</t>
  </si>
  <si>
    <t>十层B1001</t>
    <phoneticPr fontId="11" type="noConversion"/>
  </si>
  <si>
    <t>北京渝信紫龙餐饮有限公司</t>
    <phoneticPr fontId="11" type="noConversion"/>
  </si>
  <si>
    <t>十一层B1101</t>
  </si>
  <si>
    <t>富力广场东侧楼体招牌位E03</t>
  </si>
  <si>
    <t>富力广场东侧楼体招牌位E04</t>
  </si>
  <si>
    <t>富力广场东侧楼体招牌位E05</t>
  </si>
  <si>
    <t>北京丽家丽婴婴童用品股份有限公司</t>
  </si>
  <si>
    <t>富力广场东侧楼体招牌位E06</t>
  </si>
  <si>
    <t>富力广场东侧楼体招牌位E07</t>
  </si>
  <si>
    <t>富力广场东侧楼体招牌位E08</t>
  </si>
  <si>
    <t>富力广场东侧楼体招牌位E09</t>
  </si>
  <si>
    <t>北京思远优觅文化传播有限公司</t>
  </si>
  <si>
    <t>富力广场东侧楼体招牌位E10</t>
  </si>
  <si>
    <t>富力广场东侧楼体招牌位E11</t>
  </si>
  <si>
    <t>西藏汉拿山餐饮管理有限公司北京双井分店</t>
  </si>
  <si>
    <t>富力广场东侧楼体招牌位E12</t>
  </si>
  <si>
    <t>65号商用物业地下二层71-73/75-77/95-97停车位</t>
  </si>
  <si>
    <t>北京美车堂汽车有限公司</t>
  </si>
  <si>
    <t>2017.11.25-2018.11.24</t>
    <phoneticPr fontId="11" type="noConversion"/>
  </si>
  <si>
    <t>一层11号</t>
    <phoneticPr fontId="13" type="noConversion"/>
  </si>
  <si>
    <t>2017.11.23-2018.11.22</t>
    <phoneticPr fontId="11" type="noConversion"/>
  </si>
  <si>
    <t>2017.09.16-2018.09.15</t>
    <phoneticPr fontId="13" type="noConversion"/>
  </si>
  <si>
    <t>四层421</t>
    <phoneticPr fontId="13" type="noConversion"/>
  </si>
  <si>
    <t>四层436</t>
    <phoneticPr fontId="13" type="noConversion"/>
  </si>
  <si>
    <t>北京玖乐教育科技有限公司</t>
    <phoneticPr fontId="13" type="noConversion"/>
  </si>
  <si>
    <t>2017.11.20 - 2018.11.19</t>
    <phoneticPr fontId="13" type="noConversion"/>
  </si>
  <si>
    <t>二层229</t>
    <phoneticPr fontId="13" type="noConversion"/>
  </si>
  <si>
    <t>2017.11.15-2019.11.14</t>
    <phoneticPr fontId="13" type="noConversion"/>
  </si>
  <si>
    <t>四层422-424</t>
    <phoneticPr fontId="13" type="noConversion"/>
  </si>
  <si>
    <t>智童启德（北京）教育科技有限公司</t>
    <phoneticPr fontId="13" type="noConversion"/>
  </si>
  <si>
    <t>2017.10.01-2018.09.30</t>
    <phoneticPr fontId="13" type="noConversion"/>
  </si>
  <si>
    <t>四层430-431</t>
    <phoneticPr fontId="13" type="noConversion"/>
  </si>
  <si>
    <t>2017.09.25-2018.09.24</t>
    <phoneticPr fontId="13" type="noConversion"/>
  </si>
  <si>
    <t>四层459、460、461</t>
    <phoneticPr fontId="13" type="noConversion"/>
  </si>
  <si>
    <t>2018.09.23-2020.09.22</t>
    <phoneticPr fontId="13" type="noConversion"/>
  </si>
  <si>
    <t>三层302内322a号</t>
    <phoneticPr fontId="13" type="noConversion"/>
  </si>
  <si>
    <t>泛洋汇聚（北京）商贸有限公司</t>
    <phoneticPr fontId="13" type="noConversion"/>
  </si>
  <si>
    <t>2017.12.8-2018.12.7</t>
    <phoneticPr fontId="13" type="noConversion"/>
  </si>
  <si>
    <t>序号</t>
    <phoneticPr fontId="3" type="noConversion"/>
  </si>
  <si>
    <t>2018年3季度</t>
    <phoneticPr fontId="3" type="noConversion"/>
  </si>
  <si>
    <t>2018年4季度</t>
    <phoneticPr fontId="3" type="noConversion"/>
  </si>
  <si>
    <t>2019年1季度</t>
    <phoneticPr fontId="3" type="noConversion"/>
  </si>
  <si>
    <t>2019年2季度</t>
    <phoneticPr fontId="3" type="noConversion"/>
  </si>
  <si>
    <t>2019年3季度</t>
    <phoneticPr fontId="3" type="noConversion"/>
  </si>
  <si>
    <t>2019年4季度</t>
    <phoneticPr fontId="3" type="noConversion"/>
  </si>
  <si>
    <t>2020年1季度</t>
    <phoneticPr fontId="3" type="noConversion"/>
  </si>
  <si>
    <t>2020年2季度</t>
    <phoneticPr fontId="3" type="noConversion"/>
  </si>
  <si>
    <t>2020年3季度</t>
    <phoneticPr fontId="3" type="noConversion"/>
  </si>
  <si>
    <t>2020年4季度</t>
    <phoneticPr fontId="3" type="noConversion"/>
  </si>
  <si>
    <t>2021年1季度</t>
    <phoneticPr fontId="3" type="noConversion"/>
  </si>
  <si>
    <t>2021年2季度</t>
    <phoneticPr fontId="3" type="noConversion"/>
  </si>
  <si>
    <t>2021年3季度</t>
    <phoneticPr fontId="3" type="noConversion"/>
  </si>
  <si>
    <t>2021年4季度</t>
    <phoneticPr fontId="3" type="noConversion"/>
  </si>
  <si>
    <t>2023年1季度</t>
    <phoneticPr fontId="3" type="noConversion"/>
  </si>
  <si>
    <t>2023年2季度</t>
    <phoneticPr fontId="3" type="noConversion"/>
  </si>
  <si>
    <t>2023年3季度</t>
    <phoneticPr fontId="3" type="noConversion"/>
  </si>
  <si>
    <t>2023年4季度</t>
    <phoneticPr fontId="3" type="noConversion"/>
  </si>
  <si>
    <t>2031年1季度</t>
    <phoneticPr fontId="3" type="noConversion"/>
  </si>
  <si>
    <t>2031年2季度</t>
    <phoneticPr fontId="3" type="noConversion"/>
  </si>
  <si>
    <t>2031年3季度</t>
    <phoneticPr fontId="3" type="noConversion"/>
  </si>
  <si>
    <t>2031年4季度</t>
    <phoneticPr fontId="3" type="noConversion"/>
  </si>
  <si>
    <t>2032年1季度</t>
    <phoneticPr fontId="3" type="noConversion"/>
  </si>
  <si>
    <t>2032年2季度</t>
    <phoneticPr fontId="3" type="noConversion"/>
  </si>
  <si>
    <t>2032年3季度</t>
    <phoneticPr fontId="3" type="noConversion"/>
  </si>
  <si>
    <t>2032年4季度</t>
    <phoneticPr fontId="3" type="noConversion"/>
  </si>
  <si>
    <t>2034年1季度</t>
    <phoneticPr fontId="3" type="noConversion"/>
  </si>
  <si>
    <t>2034年2季度</t>
    <phoneticPr fontId="3" type="noConversion"/>
  </si>
  <si>
    <t>2034年3季度</t>
    <phoneticPr fontId="3" type="noConversion"/>
  </si>
  <si>
    <t>2034年4季度</t>
    <phoneticPr fontId="3" type="noConversion"/>
  </si>
  <si>
    <t>2035年1季度</t>
    <phoneticPr fontId="3" type="noConversion"/>
  </si>
  <si>
    <t>2035年2季度</t>
    <phoneticPr fontId="3" type="noConversion"/>
  </si>
  <si>
    <t>2035年3季度</t>
    <phoneticPr fontId="3" type="noConversion"/>
  </si>
  <si>
    <t>2035年4季度</t>
    <phoneticPr fontId="3" type="noConversion"/>
  </si>
  <si>
    <t>所在楼层</t>
    <phoneticPr fontId="3" type="noConversion"/>
  </si>
  <si>
    <t>2017.09.16-2018.9.5</t>
    <phoneticPr fontId="11" type="noConversion"/>
  </si>
  <si>
    <t>平均租金（年）</t>
    <phoneticPr fontId="3" type="noConversion"/>
  </si>
  <si>
    <t>2017.9.29-2018.8.28</t>
    <phoneticPr fontId="11" type="noConversion"/>
  </si>
  <si>
    <t>-3</t>
    <phoneticPr fontId="3" type="noConversion"/>
  </si>
  <si>
    <t>3-5</t>
    <phoneticPr fontId="3" type="noConversion"/>
  </si>
  <si>
    <t>2017.9.1-2018.8.31</t>
    <phoneticPr fontId="11" type="noConversion"/>
  </si>
  <si>
    <t>2017.8.19-2018.8.18</t>
    <phoneticPr fontId="3" type="noConversion"/>
  </si>
  <si>
    <t>2017.7.9-2018.7.8</t>
    <phoneticPr fontId="3" type="noConversion"/>
  </si>
  <si>
    <t>2017.9.1-2018.8.31</t>
    <phoneticPr fontId="11" type="noConversion"/>
  </si>
  <si>
    <t>2017.9.1-2018.8.31</t>
    <phoneticPr fontId="11" type="noConversion"/>
  </si>
  <si>
    <t>2017.8.6-2018.8.5</t>
    <phoneticPr fontId="3" type="noConversion"/>
  </si>
  <si>
    <t>2017.9.6-2018.9.5</t>
    <phoneticPr fontId="11" type="noConversion"/>
  </si>
  <si>
    <t>2017.8.1-2018.7.31</t>
    <phoneticPr fontId="11" type="noConversion"/>
  </si>
  <si>
    <t>2017.09.11-2018.09.10</t>
    <phoneticPr fontId="3" type="noConversion"/>
  </si>
  <si>
    <t>2017.11.11-2018.11.10</t>
    <phoneticPr fontId="11" type="noConversion"/>
  </si>
  <si>
    <t>2017.9.1-2018.8.31</t>
    <phoneticPr fontId="11" type="noConversion"/>
  </si>
  <si>
    <t>2017.11.18-2018.10.7</t>
    <phoneticPr fontId="11" type="noConversion"/>
  </si>
  <si>
    <t>-3</t>
    <phoneticPr fontId="3" type="noConversion"/>
  </si>
  <si>
    <t>2017.12.4-2018.12.3</t>
    <phoneticPr fontId="3" type="noConversion"/>
  </si>
  <si>
    <t>2017.11.6-2018.11.5</t>
    <phoneticPr fontId="3" type="noConversion"/>
  </si>
  <si>
    <t>2017.10.10-2018.10.9</t>
    <phoneticPr fontId="11" type="noConversion"/>
  </si>
  <si>
    <t>2017.05.01-2018.04.30</t>
    <phoneticPr fontId="3" type="noConversion"/>
  </si>
  <si>
    <t>2017.9.1-2018.8.31</t>
    <phoneticPr fontId="11" type="noConversion"/>
  </si>
  <si>
    <t>2017.8.15-2018.8.14</t>
    <phoneticPr fontId="11" type="noConversion"/>
  </si>
  <si>
    <t>2017.6.12-2018.6.11</t>
    <phoneticPr fontId="11" type="noConversion"/>
  </si>
  <si>
    <t>-1</t>
    <phoneticPr fontId="3" type="noConversion"/>
  </si>
  <si>
    <t>2017.12.14-2018.06.13</t>
    <phoneticPr fontId="11" type="noConversion"/>
  </si>
  <si>
    <t>2017.6.1-2021.5.31</t>
    <phoneticPr fontId="3" type="noConversion"/>
  </si>
  <si>
    <t>2017.11.01-2018.04.30</t>
    <phoneticPr fontId="13" type="noConversion"/>
  </si>
  <si>
    <t>2015.7.10-2018.7.09</t>
    <phoneticPr fontId="3" type="noConversion"/>
  </si>
  <si>
    <t>2017.4.26-2018.4.25</t>
    <phoneticPr fontId="3" type="noConversion"/>
  </si>
  <si>
    <t>2017.11.01-2018.4.30</t>
    <phoneticPr fontId="11" type="noConversion"/>
  </si>
  <si>
    <t>2017.7.15-2018.7.14</t>
    <phoneticPr fontId="11" type="noConversion"/>
  </si>
  <si>
    <t>2017.7.16-2019.7.15</t>
    <phoneticPr fontId="11" type="noConversion"/>
  </si>
  <si>
    <t>2017.09.22-2018.09.21</t>
    <phoneticPr fontId="11" type="noConversion"/>
  </si>
  <si>
    <t>2018.1.13-2019.1.12</t>
    <phoneticPr fontId="11" type="noConversion"/>
  </si>
  <si>
    <t>2017.9.17-2019.9.16</t>
    <phoneticPr fontId="11" type="noConversion"/>
  </si>
  <si>
    <t>2017.4.15-2018.4.14</t>
    <phoneticPr fontId="3" type="noConversion"/>
  </si>
  <si>
    <t>2017.09.18-2019.08.17</t>
    <phoneticPr fontId="11" type="noConversion"/>
  </si>
  <si>
    <t>2017.10.01-2018.09.30</t>
    <phoneticPr fontId="11" type="noConversion"/>
  </si>
  <si>
    <t>2017.08.20-2018.08.19</t>
    <phoneticPr fontId="11" type="noConversion"/>
  </si>
  <si>
    <t>2017.9.7-2018.9.6</t>
    <phoneticPr fontId="11" type="noConversion"/>
  </si>
  <si>
    <t>2017.10.19-2018.10.18</t>
    <phoneticPr fontId="11" type="noConversion"/>
  </si>
  <si>
    <t>2016.9.12-2019.9.11</t>
    <phoneticPr fontId="3" type="noConversion"/>
  </si>
  <si>
    <t>2017.8.8-2018.8.7</t>
    <phoneticPr fontId="11" type="noConversion"/>
  </si>
  <si>
    <t>2017.6.24-2018.6.23</t>
    <phoneticPr fontId="11" type="noConversion"/>
  </si>
  <si>
    <t>1</t>
    <phoneticPr fontId="3" type="noConversion"/>
  </si>
  <si>
    <t>2017.9.4-2018.9.3</t>
    <phoneticPr fontId="11" type="noConversion"/>
  </si>
  <si>
    <t>2017.5.17-2018.5.16</t>
    <phoneticPr fontId="11" type="noConversion"/>
  </si>
  <si>
    <t>2017.09.29-2018.09.28</t>
    <phoneticPr fontId="11" type="noConversion"/>
  </si>
  <si>
    <t>2017.9.16-2018.9.15</t>
    <phoneticPr fontId="11" type="noConversion"/>
  </si>
  <si>
    <t>2017.7.1-2018.6.30</t>
    <phoneticPr fontId="11" type="noConversion"/>
  </si>
  <si>
    <t>2018.1.4-2019.1.3</t>
    <phoneticPr fontId="11" type="noConversion"/>
  </si>
  <si>
    <t>2017.09.20-2020.09.19</t>
    <phoneticPr fontId="11" type="noConversion"/>
  </si>
  <si>
    <t>1-2</t>
    <phoneticPr fontId="3" type="noConversion"/>
  </si>
  <si>
    <t>2017.04.01-2020.03.31</t>
    <phoneticPr fontId="3" type="noConversion"/>
  </si>
  <si>
    <t>2017.7.27-2018.7.26</t>
    <phoneticPr fontId="11" type="noConversion"/>
  </si>
  <si>
    <t>2017.8.11-2018.8.10</t>
    <phoneticPr fontId="11" type="noConversion"/>
  </si>
  <si>
    <t>2016.5.20-2018.12.31</t>
    <phoneticPr fontId="3" type="noConversion"/>
  </si>
  <si>
    <t>2017.09.18-2018.09.17</t>
    <phoneticPr fontId="11" type="noConversion"/>
  </si>
  <si>
    <t>2016.10.25-2018.10.24</t>
    <phoneticPr fontId="3" type="noConversion"/>
  </si>
  <si>
    <t>2017.6.27-2018.6.26</t>
    <phoneticPr fontId="11" type="noConversion"/>
  </si>
  <si>
    <t>2</t>
    <phoneticPr fontId="3" type="noConversion"/>
  </si>
  <si>
    <t>2017.10.21-2019.10.20</t>
    <phoneticPr fontId="11" type="noConversion"/>
  </si>
  <si>
    <t>2017.8.22-2018.8.21</t>
    <phoneticPr fontId="11" type="noConversion"/>
  </si>
  <si>
    <t>2017.03.11-2019.10.20</t>
    <phoneticPr fontId="3" type="noConversion"/>
  </si>
  <si>
    <t>2017.04.20-2019.04.19</t>
    <phoneticPr fontId="11" type="noConversion"/>
  </si>
  <si>
    <t>2017.04.01-2018.03.31</t>
    <phoneticPr fontId="3" type="noConversion"/>
  </si>
  <si>
    <t>2018.1.1-2018.12.31</t>
    <phoneticPr fontId="13" type="noConversion"/>
  </si>
  <si>
    <t>2016.12.20-2018.12.19</t>
    <phoneticPr fontId="3" type="noConversion"/>
  </si>
  <si>
    <t>2017.7.17-2018.7.16</t>
    <phoneticPr fontId="11" type="noConversion"/>
  </si>
  <si>
    <t>2017.08.22-2018.08.21</t>
    <phoneticPr fontId="11" type="noConversion"/>
  </si>
  <si>
    <t>2017.07.26-2019.07.25</t>
    <phoneticPr fontId="11" type="noConversion"/>
  </si>
  <si>
    <t>2017.04.12-2019.04.11</t>
    <phoneticPr fontId="3" type="noConversion"/>
  </si>
  <si>
    <t>2017.8.30-2018.8.29</t>
    <phoneticPr fontId="11" type="noConversion"/>
  </si>
  <si>
    <t>2017.6.16-2018.6.15</t>
    <phoneticPr fontId="11" type="noConversion"/>
  </si>
  <si>
    <t>2017.9.1-2019.8.31</t>
    <phoneticPr fontId="11" type="noConversion"/>
  </si>
  <si>
    <t>2017.10.22-2018.10.21</t>
    <phoneticPr fontId="11" type="noConversion"/>
  </si>
  <si>
    <t>2011.09.01-2018.08.31</t>
    <phoneticPr fontId="3" type="noConversion"/>
  </si>
  <si>
    <t>2017.05.22-2019.05.21</t>
    <phoneticPr fontId="3" type="noConversion"/>
  </si>
  <si>
    <t>2017.06.12-2020.06.11</t>
    <phoneticPr fontId="11" type="noConversion"/>
  </si>
  <si>
    <t>2017.07.01-2022.06.30</t>
    <phoneticPr fontId="11" type="noConversion"/>
  </si>
  <si>
    <t>2016.11.1-2021.10.31</t>
    <phoneticPr fontId="3" type="noConversion"/>
  </si>
  <si>
    <t>2017.9.1-2020.8.31</t>
    <phoneticPr fontId="11" type="noConversion"/>
  </si>
  <si>
    <t>2018.01.01-2018.12.31</t>
    <phoneticPr fontId="11" type="noConversion"/>
  </si>
  <si>
    <t>2017.9.25-2018.9.24</t>
    <phoneticPr fontId="11" type="noConversion"/>
  </si>
  <si>
    <t>2017.7.3-2018.7.2</t>
    <phoneticPr fontId="11" type="noConversion"/>
  </si>
  <si>
    <t>2017.10.12-2018.4.11</t>
    <phoneticPr fontId="13" type="noConversion"/>
  </si>
  <si>
    <t>2017.10.21-2018.04.20</t>
    <phoneticPr fontId="11" type="noConversion"/>
  </si>
  <si>
    <t>2017.11.06-2018.11.05</t>
    <phoneticPr fontId="11" type="noConversion"/>
  </si>
  <si>
    <t>2017.7.25-2018.7.24</t>
    <phoneticPr fontId="11" type="noConversion"/>
  </si>
  <si>
    <t>2017.6.15-2018.6.14</t>
    <phoneticPr fontId="3" type="noConversion"/>
  </si>
  <si>
    <t>2016.8.1-2020.7.31</t>
    <phoneticPr fontId="3" type="noConversion"/>
  </si>
  <si>
    <t>3</t>
    <phoneticPr fontId="3" type="noConversion"/>
  </si>
  <si>
    <t>2016.3.1-2019.2.28</t>
    <phoneticPr fontId="3" type="noConversion"/>
  </si>
  <si>
    <t>2017.11.16-2018.05.15</t>
    <phoneticPr fontId="11" type="noConversion"/>
  </si>
  <si>
    <t>2016.9.1-2018.8.31</t>
    <phoneticPr fontId="3" type="noConversion"/>
  </si>
  <si>
    <t>2017.9.3-2019.9.2</t>
    <phoneticPr fontId="3" type="noConversion"/>
  </si>
  <si>
    <t>2016.9.16-2021.9.15</t>
    <phoneticPr fontId="3" type="noConversion"/>
  </si>
  <si>
    <t>2014.08.01-2019.07.31</t>
    <phoneticPr fontId="3" type="noConversion"/>
  </si>
  <si>
    <t>2017.06.06-2019.06.05</t>
    <phoneticPr fontId="11" type="noConversion"/>
  </si>
  <si>
    <t>2017.8.1-2018.4.31</t>
    <phoneticPr fontId="11" type="noConversion"/>
  </si>
  <si>
    <t>2016.10.8-2018.10.7</t>
    <phoneticPr fontId="3" type="noConversion"/>
  </si>
  <si>
    <t>2016.8.6-2018.8.5</t>
    <phoneticPr fontId="11" type="noConversion"/>
  </si>
  <si>
    <t>2017.11.09-2018.5.8</t>
    <phoneticPr fontId="13" type="noConversion"/>
  </si>
  <si>
    <t>2017.10.10-2018.10.9</t>
    <phoneticPr fontId="13" type="noConversion"/>
  </si>
  <si>
    <t>2017.08.08-2020.08.07</t>
    <phoneticPr fontId="11" type="noConversion"/>
  </si>
  <si>
    <t>2017.08.01-2019.07.31</t>
    <phoneticPr fontId="11" type="noConversion"/>
  </si>
  <si>
    <t>2017.9.10-2019.9.9</t>
    <phoneticPr fontId="11" type="noConversion"/>
  </si>
  <si>
    <t>2014.06.15-2018.06.14</t>
    <phoneticPr fontId="3" type="noConversion"/>
  </si>
  <si>
    <t>2017.7.10-2018.7.9</t>
    <phoneticPr fontId="11" type="noConversion"/>
  </si>
  <si>
    <t>2017.03.16-2018.03.15</t>
    <phoneticPr fontId="3" type="noConversion"/>
  </si>
  <si>
    <t>4</t>
    <phoneticPr fontId="3" type="noConversion"/>
  </si>
  <si>
    <t>2017.11.01-2019.10.31</t>
    <phoneticPr fontId="11" type="noConversion"/>
  </si>
  <si>
    <t>2017.12.18-2019.12.17</t>
    <phoneticPr fontId="11" type="noConversion"/>
  </si>
  <si>
    <t>2018.01.11-2019.01.10</t>
    <phoneticPr fontId="11" type="noConversion"/>
  </si>
  <si>
    <t>2017.8.21-2018.8.20</t>
    <phoneticPr fontId="11" type="noConversion"/>
  </si>
  <si>
    <t>2016.8.20-2018.8.19</t>
    <phoneticPr fontId="3" type="noConversion"/>
  </si>
  <si>
    <t>2017.8.15-2018.9.14</t>
    <phoneticPr fontId="11" type="noConversion"/>
  </si>
  <si>
    <t>2017.4.6-2018.4.5</t>
    <phoneticPr fontId="3" type="noConversion"/>
  </si>
  <si>
    <t>2017.06.01-2018.05.31</t>
    <phoneticPr fontId="11" type="noConversion"/>
  </si>
  <si>
    <t>2017.06.15-2018.06.14</t>
    <phoneticPr fontId="11" type="noConversion"/>
  </si>
  <si>
    <t>2017.10.18-2018.10.17</t>
    <phoneticPr fontId="11" type="noConversion"/>
  </si>
  <si>
    <t>2017.08.19-2018.08.18</t>
    <phoneticPr fontId="11" type="noConversion"/>
  </si>
  <si>
    <t>2017.7.18-2018.7.17</t>
    <phoneticPr fontId="11" type="noConversion"/>
  </si>
  <si>
    <t>2017.07.01-2021.06.30</t>
    <phoneticPr fontId="11" type="noConversion"/>
  </si>
  <si>
    <t>2017.11.13-2018.11.12</t>
    <phoneticPr fontId="13" type="noConversion"/>
  </si>
  <si>
    <t>2015.9.23-2020.09.22</t>
    <phoneticPr fontId="13" type="noConversion"/>
  </si>
  <si>
    <t>2017.03.24-2019.03.23</t>
    <phoneticPr fontId="3" type="noConversion"/>
  </si>
  <si>
    <t>5</t>
    <phoneticPr fontId="3" type="noConversion"/>
  </si>
  <si>
    <t>2016.9.14-2019.9.13</t>
    <phoneticPr fontId="3" type="noConversion"/>
  </si>
  <si>
    <t>2017.10.15-2019.05.31</t>
    <phoneticPr fontId="11" type="noConversion"/>
  </si>
  <si>
    <t>2018.2.2-2019.2.1</t>
    <phoneticPr fontId="13" type="noConversion"/>
  </si>
  <si>
    <t>2014.09.01-2024.08.31</t>
    <phoneticPr fontId="3" type="noConversion"/>
  </si>
  <si>
    <t>2016.6.1-2019.5.31</t>
    <phoneticPr fontId="3" type="noConversion"/>
  </si>
  <si>
    <t>1、3、5、6</t>
    <phoneticPr fontId="3" type="noConversion"/>
  </si>
  <si>
    <t>7</t>
    <phoneticPr fontId="3" type="noConversion"/>
  </si>
  <si>
    <t>2015.9.1-2021.8.31</t>
    <phoneticPr fontId="3" type="noConversion"/>
  </si>
  <si>
    <t>8</t>
    <phoneticPr fontId="3" type="noConversion"/>
  </si>
  <si>
    <t>9</t>
    <phoneticPr fontId="3" type="noConversion"/>
  </si>
  <si>
    <t>2018.9.1-2020.2.29</t>
    <phoneticPr fontId="11" type="noConversion"/>
  </si>
  <si>
    <t>10</t>
    <phoneticPr fontId="3" type="noConversion"/>
  </si>
  <si>
    <t>2018.10.25-2020.02.29</t>
    <phoneticPr fontId="3" type="noConversion"/>
  </si>
  <si>
    <t>2018.01.01-2025.12.31</t>
    <phoneticPr fontId="11" type="noConversion"/>
  </si>
  <si>
    <t>2017.4.1-2018.3.31</t>
    <phoneticPr fontId="3" type="noConversion"/>
  </si>
  <si>
    <t>2015.4.1-2016.3.31</t>
    <phoneticPr fontId="3" type="noConversion"/>
  </si>
  <si>
    <t>2016.12.12-2017.12.11</t>
    <phoneticPr fontId="3" type="noConversion"/>
  </si>
  <si>
    <t>2018.01.17-2018.12.31</t>
    <phoneticPr fontId="13" type="noConversion"/>
  </si>
  <si>
    <t>2016.1.17-2017.1.16;</t>
    <phoneticPr fontId="13" type="noConversion"/>
  </si>
  <si>
    <t>-3</t>
    <phoneticPr fontId="3" type="noConversion"/>
  </si>
  <si>
    <t>2016.8.16-2018.8.15</t>
    <phoneticPr fontId="3" type="noConversion"/>
  </si>
  <si>
    <t>-2</t>
    <phoneticPr fontId="3" type="noConversion"/>
  </si>
  <si>
    <t>2017.3.6-2018.3.5</t>
  </si>
  <si>
    <t>2017.3.16-2018.3.15</t>
  </si>
  <si>
    <t>2017.3.24-2018.3.23</t>
  </si>
  <si>
    <t>2015.1.21-2018.1.20</t>
  </si>
  <si>
    <t>2015.4.1-2018.3.31</t>
  </si>
  <si>
    <t>一层06</t>
  </si>
  <si>
    <t>一层16</t>
  </si>
  <si>
    <t>一层101-1-1</t>
  </si>
  <si>
    <t>一层101-1</t>
  </si>
  <si>
    <t>一层139-02</t>
  </si>
  <si>
    <t>二层208-209</t>
  </si>
  <si>
    <t>二层211</t>
  </si>
  <si>
    <t>二层218</t>
  </si>
  <si>
    <t>二层260</t>
  </si>
  <si>
    <t>三层321</t>
  </si>
  <si>
    <t>北京安陆餐饮管理有限公司</t>
    <phoneticPr fontId="11" type="noConversion"/>
  </si>
  <si>
    <t>2017.3.22-2018.3.21</t>
  </si>
  <si>
    <t>三层361</t>
    <phoneticPr fontId="11" type="noConversion"/>
  </si>
  <si>
    <t>合月食品（北京）有限公司</t>
    <phoneticPr fontId="11" type="noConversion"/>
  </si>
  <si>
    <t>四层404</t>
  </si>
  <si>
    <t>四层433/438-440</t>
  </si>
  <si>
    <t>四层433/438-440前局部区域</t>
  </si>
  <si>
    <t>四层443</t>
  </si>
  <si>
    <t>四层445</t>
  </si>
  <si>
    <t>四层466</t>
  </si>
  <si>
    <t>五层502-10a、10b</t>
  </si>
  <si>
    <t>65号商用物业地下二层92、93停车位</t>
  </si>
  <si>
    <t>2017.12.20-2018.01.03</t>
    <phoneticPr fontId="13" type="noConversion"/>
  </si>
  <si>
    <t>2018.01.05-2018.01.21</t>
    <phoneticPr fontId="13" type="noConversion"/>
  </si>
  <si>
    <t>序号</t>
    <phoneticPr fontId="13" type="noConversion"/>
  </si>
  <si>
    <t>部位</t>
    <phoneticPr fontId="13" type="noConversion"/>
  </si>
  <si>
    <t>建筑面积</t>
    <phoneticPr fontId="13" type="noConversion"/>
  </si>
  <si>
    <t>用途</t>
    <phoneticPr fontId="13" type="noConversion"/>
  </si>
  <si>
    <t>楼层</t>
    <phoneticPr fontId="13" type="noConversion"/>
  </si>
  <si>
    <t>地下车库</t>
    <phoneticPr fontId="13" type="noConversion"/>
  </si>
  <si>
    <t>地下2层不分摊</t>
    <phoneticPr fontId="13" type="noConversion"/>
  </si>
  <si>
    <t>地下1层不分摊</t>
    <phoneticPr fontId="13" type="noConversion"/>
  </si>
  <si>
    <t>自行车库</t>
    <phoneticPr fontId="13" type="noConversion"/>
  </si>
  <si>
    <t>仓储做商业</t>
    <phoneticPr fontId="13" type="noConversion"/>
  </si>
  <si>
    <t>01层不分摊</t>
    <phoneticPr fontId="13" type="noConversion"/>
  </si>
  <si>
    <t>商场</t>
    <phoneticPr fontId="13" type="noConversion"/>
  </si>
  <si>
    <t>02层不分摊</t>
    <phoneticPr fontId="13" type="noConversion"/>
  </si>
  <si>
    <t>03层不分摊</t>
    <phoneticPr fontId="13" type="noConversion"/>
  </si>
  <si>
    <t>07层不分摊</t>
    <phoneticPr fontId="13" type="noConversion"/>
  </si>
  <si>
    <t>餐饮</t>
    <phoneticPr fontId="13" type="noConversion"/>
  </si>
  <si>
    <t>房屋所有权证</t>
    <phoneticPr fontId="3" type="noConversion"/>
  </si>
  <si>
    <t>不可分摊</t>
    <phoneticPr fontId="3" type="noConversion"/>
  </si>
  <si>
    <t>-2、-3层车库</t>
    <phoneticPr fontId="3" type="noConversion"/>
  </si>
  <si>
    <t>-1层商业</t>
    <phoneticPr fontId="3" type="noConversion"/>
  </si>
  <si>
    <t>1层商业</t>
    <phoneticPr fontId="3" type="noConversion"/>
  </si>
  <si>
    <t>2层商业</t>
    <phoneticPr fontId="3" type="noConversion"/>
  </si>
  <si>
    <t>3层商业</t>
    <phoneticPr fontId="3" type="noConversion"/>
  </si>
  <si>
    <t>4层商业</t>
    <phoneticPr fontId="3" type="noConversion"/>
  </si>
  <si>
    <t>5层商业</t>
    <phoneticPr fontId="3" type="noConversion"/>
  </si>
  <si>
    <t>6层商业</t>
    <phoneticPr fontId="3" type="noConversion"/>
  </si>
  <si>
    <t>7层商业</t>
    <phoneticPr fontId="3" type="noConversion"/>
  </si>
  <si>
    <t>8层商业</t>
    <phoneticPr fontId="3" type="noConversion"/>
  </si>
  <si>
    <t>9层商业</t>
    <phoneticPr fontId="3" type="noConversion"/>
  </si>
  <si>
    <t>10层商业</t>
    <phoneticPr fontId="3" type="noConversion"/>
  </si>
  <si>
    <t>11层商业</t>
    <phoneticPr fontId="3" type="noConversion"/>
  </si>
  <si>
    <t>合计</t>
    <phoneticPr fontId="3" type="noConversion"/>
  </si>
  <si>
    <t>现状现场</t>
    <phoneticPr fontId="3" type="noConversion"/>
  </si>
  <si>
    <t>-3车库、库房</t>
    <phoneticPr fontId="3" type="noConversion"/>
  </si>
  <si>
    <t>地下3层不分摊</t>
    <phoneticPr fontId="13" type="noConversion"/>
  </si>
  <si>
    <t>-1层自行车库</t>
    <phoneticPr fontId="3" type="noConversion"/>
  </si>
  <si>
    <t>地下商业</t>
    <phoneticPr fontId="3" type="noConversion"/>
  </si>
  <si>
    <t>KTV;多作餐厅</t>
    <phoneticPr fontId="3" type="noConversion"/>
  </si>
  <si>
    <t>渝信餐厅</t>
    <phoneticPr fontId="3" type="noConversion"/>
  </si>
  <si>
    <t>多作自助餐厅</t>
    <phoneticPr fontId="3" type="noConversion"/>
  </si>
  <si>
    <t>汉拿山；一品焖锅；小城渔家</t>
    <phoneticPr fontId="3" type="noConversion"/>
  </si>
  <si>
    <t>港丽</t>
    <phoneticPr fontId="3" type="noConversion"/>
  </si>
  <si>
    <t>UME影院</t>
    <phoneticPr fontId="3" type="noConversion"/>
  </si>
  <si>
    <t>儿童乐园；教育</t>
    <phoneticPr fontId="3" type="noConversion"/>
  </si>
  <si>
    <t>百货；餐饮</t>
    <phoneticPr fontId="3" type="noConversion"/>
  </si>
  <si>
    <t>所在楼层</t>
    <phoneticPr fontId="3" type="noConversion"/>
  </si>
  <si>
    <t>现状用途</t>
    <phoneticPr fontId="3" type="noConversion"/>
  </si>
  <si>
    <t>可出租面积</t>
    <phoneticPr fontId="3" type="noConversion"/>
  </si>
  <si>
    <t>-3层</t>
    <phoneticPr fontId="3" type="noConversion"/>
  </si>
  <si>
    <t>仓储</t>
    <phoneticPr fontId="3" type="noConversion"/>
  </si>
  <si>
    <t>-1层</t>
    <phoneticPr fontId="3" type="noConversion"/>
  </si>
  <si>
    <t>地上</t>
    <phoneticPr fontId="3" type="noConversion"/>
  </si>
  <si>
    <t>地上商业</t>
    <phoneticPr fontId="3" type="noConversion"/>
  </si>
  <si>
    <t>企业提供实测面积</t>
    <phoneticPr fontId="3" type="noConversion"/>
  </si>
  <si>
    <t>地下车位个数</t>
    <phoneticPr fontId="3" type="noConversion"/>
  </si>
  <si>
    <t>2017.4.1-2018.3.31</t>
    <phoneticPr fontId="3" type="noConversion"/>
  </si>
  <si>
    <t>2017.3.3-2018.3.2</t>
    <phoneticPr fontId="3" type="noConversion"/>
  </si>
  <si>
    <t>-3</t>
    <phoneticPr fontId="3" type="noConversion"/>
  </si>
  <si>
    <t>-3</t>
    <phoneticPr fontId="3" type="noConversion"/>
  </si>
  <si>
    <t>2017.2.15-2018.2.14</t>
    <phoneticPr fontId="3" type="noConversion"/>
  </si>
  <si>
    <t>2017.3.1-2018.2.28</t>
    <phoneticPr fontId="3" type="noConversion"/>
  </si>
  <si>
    <t>2017.03.01-2018.02.28</t>
    <phoneticPr fontId="3" type="noConversion"/>
  </si>
  <si>
    <t>2017.7.14-2018.1.13</t>
    <phoneticPr fontId="11" type="noConversion"/>
  </si>
  <si>
    <t>2017.03.17-2018.03.16</t>
    <phoneticPr fontId="3" type="noConversion"/>
  </si>
  <si>
    <t>2017.9.3-2018.3.2</t>
    <phoneticPr fontId="11" type="noConversion"/>
  </si>
  <si>
    <t>2016.3.26-2018.3.25</t>
    <phoneticPr fontId="3" type="noConversion"/>
  </si>
  <si>
    <t>2017.02.01-2018.01.31</t>
    <phoneticPr fontId="3" type="noConversion"/>
  </si>
  <si>
    <t>2017.09.16-2018.03.15</t>
    <phoneticPr fontId="11" type="noConversion"/>
  </si>
  <si>
    <t>11</t>
    <phoneticPr fontId="3" type="noConversion"/>
  </si>
  <si>
    <t>2017.7.11-2018.3.31</t>
    <phoneticPr fontId="11" type="noConversion"/>
  </si>
  <si>
    <t>2017.12.21-2018.03.20</t>
    <phoneticPr fontId="11" type="noConversion"/>
  </si>
  <si>
    <t>2017.1.15-2018.1.14</t>
    <phoneticPr fontId="3" type="noConversion"/>
  </si>
  <si>
    <t>2017.3.14-2018.3.13</t>
    <phoneticPr fontId="3" type="noConversion"/>
  </si>
  <si>
    <t>2018年2季度</t>
    <phoneticPr fontId="3" type="noConversion"/>
  </si>
  <si>
    <t>2022年1季度</t>
    <phoneticPr fontId="3" type="noConversion"/>
  </si>
  <si>
    <t>2022年2季度</t>
    <phoneticPr fontId="3" type="noConversion"/>
  </si>
  <si>
    <t>2022年3季度</t>
    <phoneticPr fontId="3" type="noConversion"/>
  </si>
  <si>
    <t>2022年4季度</t>
    <phoneticPr fontId="3" type="noConversion"/>
  </si>
  <si>
    <t>2024年1季度</t>
    <phoneticPr fontId="3" type="noConversion"/>
  </si>
  <si>
    <t>2024年2季度</t>
    <phoneticPr fontId="3" type="noConversion"/>
  </si>
  <si>
    <t>2024年3季度</t>
    <phoneticPr fontId="3" type="noConversion"/>
  </si>
  <si>
    <t>2024年4季度</t>
    <phoneticPr fontId="3" type="noConversion"/>
  </si>
  <si>
    <t>2025年1季度</t>
    <phoneticPr fontId="3" type="noConversion"/>
  </si>
  <si>
    <t>2025年2季度</t>
    <phoneticPr fontId="3" type="noConversion"/>
  </si>
  <si>
    <t>2025年3季度</t>
    <phoneticPr fontId="3" type="noConversion"/>
  </si>
  <si>
    <t>2025年4季度</t>
    <phoneticPr fontId="3" type="noConversion"/>
  </si>
  <si>
    <t>2026年1季度</t>
    <phoneticPr fontId="3" type="noConversion"/>
  </si>
  <si>
    <t>2026年2季度</t>
    <phoneticPr fontId="3" type="noConversion"/>
  </si>
  <si>
    <t>2026年3季度</t>
    <phoneticPr fontId="3" type="noConversion"/>
  </si>
  <si>
    <t>2026年4季度</t>
    <phoneticPr fontId="3" type="noConversion"/>
  </si>
  <si>
    <t>2027年1季度</t>
    <phoneticPr fontId="3" type="noConversion"/>
  </si>
  <si>
    <t>2027年2季度</t>
    <phoneticPr fontId="3" type="noConversion"/>
  </si>
  <si>
    <t>2027年3季度</t>
    <phoneticPr fontId="3" type="noConversion"/>
  </si>
  <si>
    <t>2027年4季度</t>
    <phoneticPr fontId="3" type="noConversion"/>
  </si>
  <si>
    <t>2028年1季度</t>
    <phoneticPr fontId="3" type="noConversion"/>
  </si>
  <si>
    <t>2028年2季度</t>
    <phoneticPr fontId="3" type="noConversion"/>
  </si>
  <si>
    <t>2028年3季度</t>
    <phoneticPr fontId="3" type="noConversion"/>
  </si>
  <si>
    <t>2028年4季度</t>
    <phoneticPr fontId="3" type="noConversion"/>
  </si>
  <si>
    <t>2029年1季度</t>
    <phoneticPr fontId="3" type="noConversion"/>
  </si>
  <si>
    <t>2029年2季度</t>
    <phoneticPr fontId="3" type="noConversion"/>
  </si>
  <si>
    <t>2029年3季度</t>
    <phoneticPr fontId="3" type="noConversion"/>
  </si>
  <si>
    <t>2029年4季度</t>
    <phoneticPr fontId="3" type="noConversion"/>
  </si>
  <si>
    <t>2030年1季度</t>
    <phoneticPr fontId="3" type="noConversion"/>
  </si>
  <si>
    <t>2030年2季度</t>
    <phoneticPr fontId="3" type="noConversion"/>
  </si>
  <si>
    <t>2030年3季度</t>
    <phoneticPr fontId="3" type="noConversion"/>
  </si>
  <si>
    <t>2030年4季度</t>
    <phoneticPr fontId="3" type="noConversion"/>
  </si>
  <si>
    <t>2033年1季度</t>
    <phoneticPr fontId="3" type="noConversion"/>
  </si>
  <si>
    <t>2033年2季度</t>
    <phoneticPr fontId="3" type="noConversion"/>
  </si>
  <si>
    <t>2033年3季度</t>
    <phoneticPr fontId="3" type="noConversion"/>
  </si>
  <si>
    <t>2033年4季度</t>
    <phoneticPr fontId="3" type="noConversion"/>
  </si>
  <si>
    <t>2036年1季度</t>
    <phoneticPr fontId="3" type="noConversion"/>
  </si>
  <si>
    <t>2036年2季度</t>
    <phoneticPr fontId="3" type="noConversion"/>
  </si>
  <si>
    <t>2036年3季度</t>
    <phoneticPr fontId="3" type="noConversion"/>
  </si>
  <si>
    <t>2036年4季度</t>
    <phoneticPr fontId="3" type="noConversion"/>
  </si>
  <si>
    <t>2037年1季度</t>
    <phoneticPr fontId="3" type="noConversion"/>
  </si>
  <si>
    <t>2037年2季度</t>
    <phoneticPr fontId="3" type="noConversion"/>
  </si>
  <si>
    <t>2037年3季度</t>
    <phoneticPr fontId="3" type="noConversion"/>
  </si>
  <si>
    <t>2037年4季度</t>
    <phoneticPr fontId="3" type="noConversion"/>
  </si>
  <si>
    <t>2038年1季度</t>
    <phoneticPr fontId="3" type="noConversion"/>
  </si>
  <si>
    <t>2038年2季度</t>
    <phoneticPr fontId="3" type="noConversion"/>
  </si>
  <si>
    <t>2038年3季度</t>
    <phoneticPr fontId="3" type="noConversion"/>
  </si>
  <si>
    <t>2038年4季度</t>
    <phoneticPr fontId="3" type="noConversion"/>
  </si>
  <si>
    <t>2039年1季度</t>
    <phoneticPr fontId="3" type="noConversion"/>
  </si>
  <si>
    <t>北京力姿商贸有限公司</t>
    <phoneticPr fontId="3" type="noConversion"/>
  </si>
  <si>
    <t>一层设票台/3层352/5层中庭大堂部分/6层全部</t>
    <phoneticPr fontId="3" type="noConversion"/>
  </si>
  <si>
    <t>2017.03.01-2019.02.28</t>
    <phoneticPr fontId="3" type="noConversion"/>
  </si>
  <si>
    <t>2017.04.01-2019.03.31</t>
    <phoneticPr fontId="3" type="noConversion"/>
  </si>
  <si>
    <t>2017.03.16-2019.03.15</t>
    <phoneticPr fontId="3" type="noConversion"/>
  </si>
  <si>
    <t>2017.4.1-2019.3.31</t>
    <phoneticPr fontId="3" type="noConversion"/>
  </si>
  <si>
    <t>北京市西单麻辣诱惑餐饮有限公司</t>
    <phoneticPr fontId="3" type="noConversion"/>
  </si>
  <si>
    <t>2016.3.1-2018.2.28</t>
    <phoneticPr fontId="3" type="noConversion"/>
  </si>
  <si>
    <t>北京为之味餐饮有限公司</t>
    <phoneticPr fontId="3" type="noConversion"/>
  </si>
  <si>
    <t>北京和信利成珠宝有限公司</t>
    <phoneticPr fontId="3" type="noConversion"/>
  </si>
  <si>
    <t>北京京广盈通贸易有限公司</t>
    <phoneticPr fontId="3" type="noConversion"/>
  </si>
  <si>
    <t>北京尚岑服饰有限公司</t>
    <phoneticPr fontId="3" type="noConversion"/>
  </si>
  <si>
    <t>北京华宇时代钟表有限公司</t>
    <phoneticPr fontId="3" type="noConversion"/>
  </si>
  <si>
    <t>黑龙江省金麟经贸发展有限公司</t>
    <phoneticPr fontId="3" type="noConversion"/>
  </si>
  <si>
    <t>上海好孩子儿童服饰有限公司北京第三分公司（上海好孩子儿童服饰有限公司2012.4.1协议更名）</t>
    <phoneticPr fontId="3" type="noConversion"/>
  </si>
  <si>
    <t>北京爱慕服饰销售有限公司</t>
    <phoneticPr fontId="3" type="noConversion"/>
  </si>
  <si>
    <t>厦门市前沿科技开发有限公司</t>
    <phoneticPr fontId="3" type="noConversion"/>
  </si>
  <si>
    <t>北京阳光思特生物技术有限公司</t>
    <phoneticPr fontId="3" type="noConversion"/>
  </si>
  <si>
    <t>北京市欧卡德贸易有限公司</t>
    <phoneticPr fontId="3" type="noConversion"/>
  </si>
  <si>
    <t>北京奇妙佳儿童用品有限责任公司</t>
    <phoneticPr fontId="3" type="noConversion"/>
  </si>
  <si>
    <t>迪孚时代（北京）国际商业连锁有限公司</t>
    <phoneticPr fontId="3" type="noConversion"/>
  </si>
  <si>
    <t>北京永高星辰商贸中心</t>
    <phoneticPr fontId="3" type="noConversion"/>
  </si>
  <si>
    <t>资生堂丽源化妆品有限公司第一分店</t>
    <phoneticPr fontId="3" type="noConversion"/>
  </si>
  <si>
    <t>北京星巴克咖啡有限公司</t>
    <phoneticPr fontId="3" type="noConversion"/>
  </si>
  <si>
    <t>大连莱卡门服装有限公司北京第五分公司</t>
    <phoneticPr fontId="11" type="noConversion"/>
  </si>
  <si>
    <t>潘多拉珠宝设计（北京）有限公司</t>
    <phoneticPr fontId="3" type="noConversion"/>
  </si>
  <si>
    <t>浩瀚长空（北京）商贸有限责任公司北京市朝阳商贸分公司</t>
    <phoneticPr fontId="3" type="noConversion"/>
  </si>
  <si>
    <t>周大生珠宝股份有限公司北京朝阳分公司</t>
    <phoneticPr fontId="11" type="noConversion"/>
  </si>
  <si>
    <t>北京恒信凯特经贸有限责任公司</t>
    <phoneticPr fontId="3" type="noConversion"/>
  </si>
  <si>
    <t>北京美道恒业商贸有限公司富力强零售分公司</t>
    <phoneticPr fontId="11" type="noConversion"/>
  </si>
  <si>
    <t>地素时尚股份有限公司</t>
    <phoneticPr fontId="3" type="noConversion"/>
  </si>
  <si>
    <t>北京意丰歌服饰有限公司</t>
    <phoneticPr fontId="3" type="noConversion"/>
  </si>
  <si>
    <t>江南布衣服饰(北京)有限公司</t>
    <phoneticPr fontId="3" type="noConversion"/>
  </si>
  <si>
    <t>广州市质品服饰有限公司北京销售分公司</t>
    <phoneticPr fontId="3" type="noConversion"/>
  </si>
  <si>
    <t>北京鄂尔多斯时装有限公司</t>
    <phoneticPr fontId="11" type="noConversion"/>
  </si>
  <si>
    <t>广州市格风服饰有限公司北京尚柔分公司</t>
    <phoneticPr fontId="3" type="noConversion"/>
  </si>
  <si>
    <t>北京博雅万汇商贸有限公司</t>
    <phoneticPr fontId="11" type="noConversion"/>
  </si>
  <si>
    <t>天津赫璟商贸有限公司</t>
    <phoneticPr fontId="3" type="noConversion"/>
  </si>
  <si>
    <t>北京凯迪斯游乐设施有限公司</t>
    <phoneticPr fontId="3" type="noConversion"/>
  </si>
  <si>
    <t>北京纽乐童文化咨询有限公司</t>
    <phoneticPr fontId="3" type="noConversion"/>
  </si>
  <si>
    <t>北京市七田真富力教育咨询有限公司</t>
    <phoneticPr fontId="3" type="noConversion"/>
  </si>
  <si>
    <t>哈啰功夫文化传播（北京）有限公司</t>
    <phoneticPr fontId="3" type="noConversion"/>
  </si>
  <si>
    <t>上海龙辉餐饮管理有限公司北京双井店</t>
    <phoneticPr fontId="3" type="noConversion"/>
  </si>
  <si>
    <t>北京禾绿餐饮管理有限公司</t>
    <phoneticPr fontId="3" type="noConversion"/>
  </si>
  <si>
    <t>西藏汉拿山餐饮管理有限公司北京第二分店</t>
    <phoneticPr fontId="11" type="noConversion"/>
  </si>
  <si>
    <t>北京滇草香餐饮有限责任公司</t>
    <phoneticPr fontId="3" type="noConversion"/>
  </si>
  <si>
    <t>北京衣衣服装有限公司</t>
    <phoneticPr fontId="3" type="noConversion"/>
  </si>
  <si>
    <t>上海好孩子儿童服饰有限公司北京第三分公司</t>
    <phoneticPr fontId="3" type="noConversion"/>
  </si>
  <si>
    <t>泥想（北京）文化发展有限公司</t>
    <phoneticPr fontId="3" type="noConversion"/>
  </si>
  <si>
    <t>机时商贸（上海）有限公司</t>
    <phoneticPr fontId="3" type="noConversion"/>
  </si>
  <si>
    <t>永兴东润（中国）服饰有限公司北京朝阳儿童服饰五店</t>
    <phoneticPr fontId="3" type="noConversion"/>
  </si>
  <si>
    <t>北京蒙发利贸易有限公司</t>
    <phoneticPr fontId="3" type="noConversion"/>
  </si>
  <si>
    <t>北京咏莉美研商贸有限公司</t>
    <phoneticPr fontId="3" type="noConversion"/>
  </si>
  <si>
    <t>北京澳九记餐饮有限公司九好运餐饮分公司</t>
    <phoneticPr fontId="11" type="noConversion"/>
  </si>
  <si>
    <t>好孩子（中国）零售服务有限公司</t>
    <phoneticPr fontId="13" type="noConversion"/>
  </si>
  <si>
    <t>北京镜谜文化传媒有限公司</t>
    <phoneticPr fontId="3" type="noConversion"/>
  </si>
  <si>
    <t>北京市海淀区迈格森教育培训学校</t>
    <phoneticPr fontId="3" type="noConversion"/>
  </si>
  <si>
    <t>爱心灰姑娘天爱（北京）国际教育科技有限公司</t>
    <phoneticPr fontId="3" type="noConversion"/>
  </si>
  <si>
    <t>爱心灰姑娘（北京）国际教育科技有限公司</t>
    <phoneticPr fontId="3" type="noConversion"/>
  </si>
  <si>
    <t>北京思远影业有限公司</t>
    <phoneticPr fontId="11" type="noConversion"/>
  </si>
  <si>
    <t>西藏汉拿山餐饮管理有限公司</t>
    <phoneticPr fontId="3" type="noConversion"/>
  </si>
  <si>
    <t>北京多佐餐饮有限公司</t>
    <phoneticPr fontId="3" type="noConversion"/>
  </si>
  <si>
    <t>北京咿道餐饮有限公司</t>
    <phoneticPr fontId="11" type="noConversion"/>
  </si>
  <si>
    <t>上海龙辉餐饮管理有限公司北京双井店</t>
    <phoneticPr fontId="3" type="noConversion"/>
  </si>
  <si>
    <t>北京柯妤时尚贸易有限公司</t>
    <phoneticPr fontId="3" type="noConversion"/>
  </si>
  <si>
    <t>深圳市森巴彩宝首饰有限公司</t>
    <phoneticPr fontId="3" type="noConversion"/>
  </si>
  <si>
    <t>北京市千叶珠宝股份有限公司</t>
    <phoneticPr fontId="3" type="noConversion"/>
  </si>
  <si>
    <t>-3层仓储</t>
    <phoneticPr fontId="3" type="noConversion"/>
  </si>
  <si>
    <t>-2层地下车库</t>
    <phoneticPr fontId="3" type="noConversion"/>
  </si>
  <si>
    <t>-1层商业用房</t>
    <phoneticPr fontId="3" type="noConversion"/>
  </si>
  <si>
    <t>1层商业用房</t>
    <phoneticPr fontId="3" type="noConversion"/>
  </si>
  <si>
    <t>2层商业用房</t>
  </si>
  <si>
    <t>3层商业用房</t>
  </si>
  <si>
    <t>4层商业用房</t>
  </si>
  <si>
    <t>5层商业用房</t>
  </si>
  <si>
    <t>6层商业用房</t>
  </si>
  <si>
    <t>7层商业用房</t>
  </si>
  <si>
    <t>8层商业用房</t>
  </si>
  <si>
    <t>9层商业用房</t>
  </si>
  <si>
    <t>10层商业用房</t>
  </si>
  <si>
    <t>11层商业用房</t>
  </si>
  <si>
    <t>整理增长率</t>
    <phoneticPr fontId="3" type="noConversion"/>
  </si>
  <si>
    <t>客观增长率</t>
    <phoneticPr fontId="3" type="noConversion"/>
  </si>
  <si>
    <t>权重</t>
    <phoneticPr fontId="3" type="noConversion"/>
  </si>
  <si>
    <t>综合增长率</t>
    <phoneticPr fontId="3" type="noConversion"/>
  </si>
  <si>
    <t>整理出租率</t>
    <phoneticPr fontId="3" type="noConversion"/>
  </si>
  <si>
    <t>综合出租率</t>
    <phoneticPr fontId="3" type="noConversion"/>
  </si>
  <si>
    <t>押金情况</t>
    <phoneticPr fontId="3" type="noConversion"/>
  </si>
  <si>
    <t>客观出租率</t>
    <phoneticPr fontId="3" type="noConversion"/>
  </si>
  <si>
    <t>-3</t>
    <phoneticPr fontId="3" type="noConversion"/>
  </si>
  <si>
    <t>项目         年份</t>
    <phoneticPr fontId="11" type="noConversion"/>
  </si>
  <si>
    <r>
      <t>1</t>
    </r>
    <r>
      <rPr>
        <b/>
        <sz val="8"/>
        <rFont val="宋体"/>
        <family val="3"/>
        <charset val="134"/>
      </rPr>
      <t>、固定租金收入</t>
    </r>
    <phoneticPr fontId="11" type="noConversion"/>
  </si>
  <si>
    <r>
      <t>2</t>
    </r>
    <r>
      <rPr>
        <b/>
        <sz val="8"/>
        <rFont val="宋体"/>
        <family val="3"/>
        <charset val="134"/>
      </rPr>
      <t>、补缴提成收入</t>
    </r>
    <phoneticPr fontId="11" type="noConversion"/>
  </si>
  <si>
    <r>
      <t>3</t>
    </r>
    <r>
      <rPr>
        <b/>
        <sz val="8"/>
        <rFont val="宋体"/>
        <family val="3"/>
        <charset val="134"/>
      </rPr>
      <t>、押金收入</t>
    </r>
    <phoneticPr fontId="11" type="noConversion"/>
  </si>
  <si>
    <r>
      <t>1</t>
    </r>
    <r>
      <rPr>
        <b/>
        <sz val="8"/>
        <rFont val="宋体"/>
        <family val="3"/>
        <charset val="134"/>
      </rPr>
      <t>、房产税</t>
    </r>
    <phoneticPr fontId="11" type="noConversion"/>
  </si>
  <si>
    <r>
      <t>3</t>
    </r>
    <r>
      <rPr>
        <b/>
        <sz val="8"/>
        <rFont val="宋体"/>
        <family val="3"/>
        <charset val="134"/>
      </rPr>
      <t>、销售费等</t>
    </r>
    <phoneticPr fontId="11" type="noConversion"/>
  </si>
  <si>
    <t>合计</t>
  </si>
  <si>
    <r>
      <rPr>
        <b/>
        <sz val="9"/>
        <color theme="1"/>
        <rFont val="宋体"/>
        <family val="3"/>
        <charset val="134"/>
      </rPr>
      <t>序号</t>
    </r>
    <phoneticPr fontId="3" type="noConversion"/>
  </si>
  <si>
    <r>
      <rPr>
        <b/>
        <sz val="10"/>
        <color theme="1"/>
        <rFont val="宋体"/>
        <family val="3"/>
        <charset val="134"/>
      </rPr>
      <t>商铺号</t>
    </r>
  </si>
  <si>
    <r>
      <rPr>
        <b/>
        <sz val="10"/>
        <color theme="1"/>
        <rFont val="宋体"/>
        <family val="3"/>
        <charset val="134"/>
      </rPr>
      <t>商铺名称</t>
    </r>
  </si>
  <si>
    <r>
      <rPr>
        <b/>
        <sz val="9"/>
        <color theme="1"/>
        <rFont val="宋体"/>
        <family val="3"/>
        <charset val="134"/>
      </rPr>
      <t>租赁期限</t>
    </r>
  </si>
  <si>
    <r>
      <rPr>
        <b/>
        <sz val="9"/>
        <color theme="1"/>
        <rFont val="宋体"/>
        <family val="3"/>
        <charset val="134"/>
      </rPr>
      <t>所在楼层</t>
    </r>
    <phoneticPr fontId="3" type="noConversion"/>
  </si>
  <si>
    <r>
      <rPr>
        <b/>
        <sz val="9"/>
        <color theme="1"/>
        <rFont val="宋体"/>
        <family val="3"/>
        <charset val="134"/>
      </rPr>
      <t>面积</t>
    </r>
  </si>
  <si>
    <r>
      <rPr>
        <b/>
        <sz val="9"/>
        <color theme="1"/>
        <rFont val="宋体"/>
        <family val="3"/>
        <charset val="134"/>
      </rPr>
      <t>平均单价</t>
    </r>
  </si>
  <si>
    <r>
      <rPr>
        <b/>
        <sz val="9"/>
        <color theme="1"/>
        <rFont val="宋体"/>
        <family val="3"/>
        <charset val="134"/>
      </rPr>
      <t>平均租金（年）</t>
    </r>
    <phoneticPr fontId="3" type="noConversion"/>
  </si>
  <si>
    <r>
      <rPr>
        <b/>
        <sz val="9"/>
        <color theme="1"/>
        <rFont val="宋体"/>
        <family val="3"/>
        <charset val="134"/>
      </rPr>
      <t>押金</t>
    </r>
    <phoneticPr fontId="3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</si>
  <si>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</si>
  <si>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</si>
  <si>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</si>
  <si>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</si>
  <si>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</si>
  <si>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</si>
  <si>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</si>
  <si>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</si>
  <si>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</si>
  <si>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</si>
  <si>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</si>
  <si>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</si>
  <si>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</si>
  <si>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</si>
  <si>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</si>
  <si>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</si>
  <si>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</si>
  <si>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</si>
  <si>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</si>
  <si>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</si>
  <si>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</si>
  <si>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</si>
  <si>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</si>
  <si>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</si>
  <si>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</si>
  <si>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</si>
  <si>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</si>
  <si>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</si>
  <si>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</si>
  <si>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</si>
  <si>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</si>
  <si>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</si>
  <si>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</si>
  <si>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</si>
  <si>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</si>
  <si>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</si>
  <si>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</si>
  <si>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</si>
  <si>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</si>
  <si>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</si>
  <si>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</si>
  <si>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</si>
  <si>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</si>
  <si>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</si>
  <si>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</si>
  <si>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</si>
  <si>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</si>
  <si>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</si>
  <si>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</si>
  <si>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</si>
  <si>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</si>
  <si>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</si>
  <si>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</si>
  <si>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</si>
  <si>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</si>
  <si>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</si>
  <si>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</si>
  <si>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</si>
  <si>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</si>
  <si>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</si>
  <si>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</si>
  <si>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</si>
  <si>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</si>
  <si>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</si>
  <si>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</si>
  <si>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</si>
  <si>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</si>
  <si>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</si>
  <si>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</si>
  <si>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</si>
  <si>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</si>
  <si>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</si>
  <si>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</si>
  <si>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</si>
  <si>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</si>
  <si>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</si>
  <si>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</si>
  <si>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</si>
  <si>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</si>
  <si>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</si>
  <si>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</si>
  <si>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</si>
  <si>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</si>
  <si>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</si>
  <si>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rPr>
        <b/>
        <sz val="10"/>
        <color theme="1"/>
        <rFont val="宋体"/>
        <family val="3"/>
        <charset val="134"/>
      </rPr>
      <t>租金合计</t>
    </r>
  </si>
  <si>
    <r>
      <t>(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Anial"/>
        <family val="2"/>
      </rPr>
      <t>)</t>
    </r>
  </si>
  <si>
    <r>
      <t>(</t>
    </r>
    <r>
      <rPr>
        <sz val="9"/>
        <color theme="1"/>
        <rFont val="宋体"/>
        <family val="3"/>
        <charset val="134"/>
      </rPr>
      <t>元</t>
    </r>
    <r>
      <rPr>
        <sz val="9"/>
        <color theme="1"/>
        <rFont val="Anial"/>
        <family val="2"/>
      </rPr>
      <t>/</t>
    </r>
    <r>
      <rPr>
        <sz val="9"/>
        <color theme="1"/>
        <rFont val="宋体"/>
        <family val="3"/>
        <charset val="134"/>
      </rPr>
      <t>天</t>
    </r>
    <r>
      <rPr>
        <sz val="9"/>
        <color theme="1"/>
        <rFont val="Anial"/>
        <family val="2"/>
      </rPr>
      <t>/</t>
    </r>
    <r>
      <rPr>
        <sz val="9"/>
        <color theme="1"/>
        <rFont val="宋体"/>
        <family val="3"/>
        <charset val="134"/>
      </rPr>
      <t>㎡</t>
    </r>
    <r>
      <rPr>
        <sz val="9"/>
        <color theme="1"/>
        <rFont val="Anial"/>
        <family val="2"/>
      </rPr>
      <t>)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</si>
  <si>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A01-02</t>
    </r>
  </si>
  <si>
    <r>
      <t xml:space="preserve"> </t>
    </r>
    <r>
      <rPr>
        <b/>
        <sz val="9"/>
        <color theme="1"/>
        <rFont val="宋体"/>
        <family val="3"/>
        <charset val="134"/>
      </rPr>
      <t>北京港丽餐饮管理有限公司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</si>
  <si>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A03</t>
    </r>
  </si>
  <si>
    <r>
      <rPr>
        <b/>
        <sz val="9"/>
        <color theme="1"/>
        <rFont val="宋体"/>
        <family val="3"/>
        <charset val="134"/>
      </rPr>
      <t>北京度小月餐饮管理有限公司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</si>
  <si>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A04</t>
    </r>
    <phoneticPr fontId="11" type="noConversion"/>
  </si>
  <si>
    <r>
      <rPr>
        <b/>
        <sz val="9"/>
        <color theme="1"/>
        <rFont val="宋体"/>
        <family val="3"/>
        <charset val="134"/>
      </rPr>
      <t>星亚餐饮管理（北京）有限公司</t>
    </r>
    <phoneticPr fontId="11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</si>
  <si>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A05</t>
    </r>
  </si>
  <si>
    <r>
      <rPr>
        <b/>
        <sz val="9"/>
        <color theme="1"/>
        <rFont val="宋体"/>
        <family val="3"/>
        <charset val="134"/>
      </rPr>
      <t>通用磨坊贸易（上海）有限公司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</si>
  <si>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A-06</t>
    </r>
  </si>
  <si>
    <r>
      <rPr>
        <b/>
        <sz val="9"/>
        <color theme="1"/>
        <rFont val="宋体"/>
        <family val="3"/>
        <charset val="134"/>
      </rPr>
      <t>北京为之味餐饮有限公司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</si>
  <si>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A-07</t>
    </r>
  </si>
  <si>
    <r>
      <rPr>
        <b/>
        <sz val="9"/>
        <color theme="1"/>
        <rFont val="宋体"/>
        <family val="3"/>
        <charset val="134"/>
      </rPr>
      <t>北京三鼎原商贸有限公司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</si>
  <si>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A09-10-11</t>
    </r>
  </si>
  <si>
    <r>
      <rPr>
        <b/>
        <sz val="9"/>
        <color theme="1"/>
        <rFont val="宋体"/>
        <family val="3"/>
        <charset val="134"/>
      </rPr>
      <t>绫致时装（天津）有限公司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</si>
  <si>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A14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</si>
  <si>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A15</t>
    </r>
  </si>
  <si>
    <r>
      <rPr>
        <b/>
        <sz val="9"/>
        <color theme="1"/>
        <rFont val="宋体"/>
        <family val="3"/>
        <charset val="134"/>
      </rPr>
      <t>北京西单麻辣诱惑餐馆有限公司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</si>
  <si>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A16</t>
    </r>
  </si>
  <si>
    <r>
      <rPr>
        <b/>
        <sz val="9"/>
        <color theme="1"/>
        <rFont val="宋体"/>
        <family val="3"/>
        <charset val="134"/>
      </rPr>
      <t>北京大食代餐饮有限公司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</si>
  <si>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B-02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</si>
  <si>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B-07</t>
    </r>
  </si>
  <si>
    <r>
      <rPr>
        <b/>
        <sz val="9"/>
        <color theme="1"/>
        <rFont val="宋体"/>
        <family val="3"/>
        <charset val="134"/>
      </rPr>
      <t>北京美特肖普商贸有限公司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</si>
  <si>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B-09</t>
    </r>
  </si>
  <si>
    <r>
      <rPr>
        <b/>
        <sz val="9"/>
        <color theme="1"/>
        <rFont val="宋体"/>
        <family val="3"/>
        <charset val="134"/>
      </rPr>
      <t>江南布衣服饰（北京）有限公司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</si>
  <si>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B-10</t>
    </r>
  </si>
  <si>
    <r>
      <rPr>
        <b/>
        <sz val="9"/>
        <color theme="1"/>
        <rFont val="宋体"/>
        <family val="3"/>
        <charset val="134"/>
      </rPr>
      <t>北京斯科塞斯商贸有限公司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</si>
  <si>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B11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</si>
  <si>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B13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</si>
  <si>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B14</t>
    </r>
    <phoneticPr fontId="11" type="noConversion"/>
  </si>
  <si>
    <r>
      <rPr>
        <b/>
        <sz val="9"/>
        <color theme="1"/>
        <rFont val="宋体"/>
        <family val="3"/>
        <charset val="134"/>
      </rPr>
      <t>西雅衣家（中国）商业有限公司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</si>
  <si>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B16-03</t>
    </r>
  </si>
  <si>
    <r>
      <rPr>
        <b/>
        <sz val="9"/>
        <color theme="1"/>
        <rFont val="宋体"/>
        <family val="3"/>
        <charset val="134"/>
      </rPr>
      <t>绫致时装</t>
    </r>
    <r>
      <rPr>
        <b/>
        <sz val="9"/>
        <color theme="1"/>
        <rFont val="Anial"/>
        <family val="2"/>
      </rPr>
      <t>(</t>
    </r>
    <r>
      <rPr>
        <b/>
        <sz val="9"/>
        <color theme="1"/>
        <rFont val="宋体"/>
        <family val="3"/>
        <charset val="134"/>
      </rPr>
      <t>天津</t>
    </r>
    <r>
      <rPr>
        <b/>
        <sz val="9"/>
        <color theme="1"/>
        <rFont val="Anial"/>
        <family val="2"/>
      </rPr>
      <t>)</t>
    </r>
    <r>
      <rPr>
        <b/>
        <sz val="9"/>
        <color theme="1"/>
        <rFont val="宋体"/>
        <family val="3"/>
        <charset val="134"/>
      </rPr>
      <t>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</si>
  <si>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B18</t>
    </r>
  </si>
  <si>
    <r>
      <rPr>
        <b/>
        <sz val="9"/>
        <color theme="1"/>
        <rFont val="宋体"/>
        <family val="3"/>
        <charset val="134"/>
      </rPr>
      <t>罗克（北京）服饰有限公司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</si>
  <si>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B19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</si>
  <si>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B21-B22</t>
    </r>
  </si>
  <si>
    <r>
      <rPr>
        <b/>
        <sz val="9"/>
        <color theme="1"/>
        <rFont val="宋体"/>
        <family val="3"/>
        <charset val="134"/>
      </rPr>
      <t>北京丽家丽婴婴童用品股份有限公司</t>
    </r>
    <phoneticPr fontId="13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</si>
  <si>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B23</t>
    </r>
  </si>
  <si>
    <r>
      <rPr>
        <b/>
        <sz val="9"/>
        <color theme="1"/>
        <rFont val="宋体"/>
        <family val="3"/>
        <charset val="134"/>
      </rPr>
      <t>浩瀚长空（北京）商贸有限责任公司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</si>
  <si>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B24</t>
    </r>
  </si>
  <si>
    <r>
      <rPr>
        <b/>
        <sz val="9"/>
        <color theme="1"/>
        <rFont val="宋体"/>
        <family val="3"/>
        <charset val="134"/>
      </rPr>
      <t>资生堂丽源化妆品有限公司北京第一分店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</si>
  <si>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B25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</si>
  <si>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B28</t>
    </r>
  </si>
  <si>
    <r>
      <rPr>
        <b/>
        <sz val="9"/>
        <color theme="1"/>
        <rFont val="宋体"/>
        <family val="3"/>
        <charset val="134"/>
      </rPr>
      <t>机时商贸（上海）有限公司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</si>
  <si>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B31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</si>
  <si>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B32</t>
    </r>
    <phoneticPr fontId="11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</si>
  <si>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B05</t>
    </r>
    <phoneticPr fontId="13" type="noConversion"/>
  </si>
  <si>
    <r>
      <rPr>
        <b/>
        <sz val="9"/>
        <color theme="1"/>
        <rFont val="宋体"/>
        <family val="3"/>
        <charset val="134"/>
      </rPr>
      <t>佛山星期六鞋业有限公司</t>
    </r>
    <phoneticPr fontId="13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</si>
  <si>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B06</t>
    </r>
    <phoneticPr fontId="13" type="noConversion"/>
  </si>
  <si>
    <r>
      <rPr>
        <b/>
        <sz val="9"/>
        <color theme="1"/>
        <rFont val="宋体"/>
        <family val="3"/>
        <charset val="134"/>
      </rPr>
      <t>上海西歌实业有限公司</t>
    </r>
    <phoneticPr fontId="13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</si>
  <si>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B15</t>
    </r>
    <phoneticPr fontId="13" type="noConversion"/>
  </si>
  <si>
    <r>
      <rPr>
        <b/>
        <sz val="9"/>
        <color theme="1"/>
        <rFont val="宋体"/>
        <family val="3"/>
        <charset val="134"/>
      </rPr>
      <t>北京名赫小可乐餐饮管理有限公司</t>
    </r>
    <phoneticPr fontId="11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</si>
  <si>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B26</t>
    </r>
    <phoneticPr fontId="13" type="noConversion"/>
  </si>
  <si>
    <r>
      <rPr>
        <b/>
        <sz val="9"/>
        <color theme="1"/>
        <rFont val="宋体"/>
        <family val="3"/>
        <charset val="134"/>
      </rPr>
      <t>绫致时装（天津）有限公司</t>
    </r>
    <phoneticPr fontId="13" type="noConversion"/>
  </si>
  <si>
    <r>
      <rPr>
        <b/>
        <sz val="9"/>
        <color theme="1"/>
        <rFont val="宋体"/>
        <family val="3"/>
        <charset val="134"/>
      </rPr>
      <t>负三层</t>
    </r>
    <r>
      <rPr>
        <b/>
        <sz val="9"/>
        <color theme="1"/>
        <rFont val="Anial"/>
        <family val="2"/>
      </rPr>
      <t>A12</t>
    </r>
    <phoneticPr fontId="13" type="noConversion"/>
  </si>
  <si>
    <r>
      <rPr>
        <b/>
        <sz val="9"/>
        <color theme="1"/>
        <rFont val="宋体"/>
        <family val="3"/>
        <charset val="134"/>
      </rPr>
      <t>北京佳群餐饮管理有限公司</t>
    </r>
    <phoneticPr fontId="13" type="noConversion"/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</si>
  <si>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B-01</t>
    </r>
  </si>
  <si>
    <r>
      <rPr>
        <b/>
        <sz val="9"/>
        <color theme="1"/>
        <rFont val="宋体"/>
        <family val="3"/>
        <charset val="134"/>
      </rPr>
      <t>北京安陆餐饮管理有限公司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</si>
  <si>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B-12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</si>
  <si>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B27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</si>
  <si>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B29</t>
    </r>
  </si>
  <si>
    <r>
      <rPr>
        <b/>
        <sz val="9"/>
        <color theme="1"/>
        <rFont val="宋体"/>
        <family val="3"/>
        <charset val="134"/>
      </rPr>
      <t>北京镜谜文化传媒有限公司</t>
    </r>
  </si>
  <si>
    <r>
      <rPr>
        <b/>
        <sz val="9"/>
        <color theme="1"/>
        <rFont val="宋体"/>
        <family val="3"/>
        <charset val="134"/>
      </rPr>
      <t>地下三层</t>
    </r>
    <r>
      <rPr>
        <b/>
        <sz val="9"/>
        <color theme="1"/>
        <rFont val="Anial"/>
        <family val="2"/>
      </rPr>
      <t>B30</t>
    </r>
  </si>
  <si>
    <r>
      <rPr>
        <b/>
        <sz val="9"/>
        <color theme="1"/>
        <rFont val="宋体"/>
        <family val="3"/>
        <charset val="134"/>
      </rPr>
      <t>北京为之味餐饮有限公司</t>
    </r>
    <phoneticPr fontId="3" type="noConversion"/>
  </si>
  <si>
    <r>
      <rPr>
        <sz val="9"/>
        <color theme="1"/>
        <rFont val="宋体"/>
        <family val="3"/>
        <charset val="134"/>
      </rPr>
      <t>合计</t>
    </r>
    <phoneticPr fontId="3" type="noConversion"/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</si>
  <si>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</t>
    </r>
    <r>
      <rPr>
        <b/>
        <sz val="8"/>
        <rFont val="宋体"/>
        <family val="3"/>
        <charset val="134"/>
      </rPr>
      <t>年</t>
    </r>
    <phoneticPr fontId="3" type="noConversion"/>
  </si>
  <si>
    <r>
      <rPr>
        <b/>
        <sz val="8"/>
        <rFont val="宋体"/>
        <family val="3"/>
        <charset val="134"/>
      </rPr>
      <t>项目</t>
    </r>
    <r>
      <rPr>
        <b/>
        <sz val="8"/>
        <rFont val="Anial"/>
        <family val="2"/>
      </rPr>
      <t xml:space="preserve">         </t>
    </r>
    <r>
      <rPr>
        <b/>
        <sz val="8"/>
        <rFont val="宋体"/>
        <family val="3"/>
        <charset val="134"/>
      </rPr>
      <t>年份</t>
    </r>
    <phoneticPr fontId="11" type="noConversion"/>
  </si>
  <si>
    <r>
      <rPr>
        <b/>
        <sz val="8"/>
        <rFont val="宋体"/>
        <family val="3"/>
        <charset val="134"/>
      </rPr>
      <t>备注</t>
    </r>
    <phoneticPr fontId="11" type="noConversion"/>
  </si>
  <si>
    <r>
      <rPr>
        <b/>
        <sz val="8"/>
        <rFont val="宋体"/>
        <family val="3"/>
        <charset val="134"/>
      </rPr>
      <t>税率</t>
    </r>
    <phoneticPr fontId="11" type="noConversion"/>
  </si>
  <si>
    <r>
      <rPr>
        <b/>
        <sz val="9"/>
        <color theme="1"/>
        <rFont val="宋体"/>
        <family val="3"/>
        <charset val="134"/>
      </rPr>
      <t>合计</t>
    </r>
    <phoneticPr fontId="3" type="noConversion"/>
  </si>
  <si>
    <r>
      <rPr>
        <b/>
        <sz val="8"/>
        <rFont val="宋体"/>
        <family val="3"/>
        <charset val="134"/>
      </rPr>
      <t>（一）、经营活动现金流入</t>
    </r>
    <phoneticPr fontId="11" type="noConversion"/>
  </si>
  <si>
    <r>
      <rPr>
        <b/>
        <sz val="8"/>
        <rFont val="宋体"/>
        <family val="3"/>
        <charset val="134"/>
      </rPr>
      <t>（二）、经营活动现金流出</t>
    </r>
    <phoneticPr fontId="11" type="noConversion"/>
  </si>
  <si>
    <r>
      <t>2</t>
    </r>
    <r>
      <rPr>
        <b/>
        <sz val="8"/>
        <rFont val="宋体"/>
        <family val="3"/>
        <charset val="134"/>
      </rPr>
      <t>、增值税</t>
    </r>
    <phoneticPr fontId="11" type="noConversion"/>
  </si>
  <si>
    <r>
      <rPr>
        <b/>
        <sz val="8"/>
        <rFont val="宋体"/>
        <family val="3"/>
        <charset val="134"/>
      </rPr>
      <t>（三）、房地产纯收益</t>
    </r>
    <phoneticPr fontId="11" type="noConversion"/>
  </si>
  <si>
    <r>
      <rPr>
        <b/>
        <sz val="8"/>
        <rFont val="宋体"/>
        <family val="3"/>
        <charset val="134"/>
      </rPr>
      <t>年度净收益</t>
    </r>
    <phoneticPr fontId="11" type="noConversion"/>
  </si>
  <si>
    <r>
      <rPr>
        <b/>
        <sz val="8"/>
        <rFont val="宋体"/>
        <family val="3"/>
        <charset val="134"/>
      </rPr>
      <t>还原利率（</t>
    </r>
    <r>
      <rPr>
        <b/>
        <sz val="8"/>
        <rFont val="Anial"/>
        <family val="2"/>
      </rPr>
      <t>Y</t>
    </r>
    <r>
      <rPr>
        <b/>
        <sz val="8"/>
        <rFont val="宋体"/>
        <family val="3"/>
        <charset val="134"/>
      </rPr>
      <t>）</t>
    </r>
    <phoneticPr fontId="11" type="noConversion"/>
  </si>
  <si>
    <r>
      <rPr>
        <b/>
        <sz val="8"/>
        <rFont val="宋体"/>
        <family val="3"/>
        <charset val="134"/>
      </rPr>
      <t>收益年限（</t>
    </r>
    <r>
      <rPr>
        <b/>
        <sz val="8"/>
        <rFont val="Anial"/>
        <family val="2"/>
      </rPr>
      <t>n</t>
    </r>
    <r>
      <rPr>
        <b/>
        <sz val="8"/>
        <rFont val="宋体"/>
        <family val="3"/>
        <charset val="134"/>
      </rPr>
      <t>）</t>
    </r>
    <phoneticPr fontId="11" type="noConversion"/>
  </si>
  <si>
    <r>
      <rPr>
        <b/>
        <sz val="8"/>
        <rFont val="宋体"/>
        <family val="3"/>
        <charset val="134"/>
      </rPr>
      <t>折现值</t>
    </r>
    <phoneticPr fontId="11" type="noConversion"/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</si>
  <si>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2</t>
    </r>
    <r>
      <rPr>
        <b/>
        <sz val="8"/>
        <rFont val="宋体"/>
        <family val="3"/>
        <charset val="134"/>
      </rPr>
      <t>年</t>
    </r>
    <phoneticPr fontId="3" type="noConversion"/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</si>
  <si>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3年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</si>
  <si>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4年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</si>
  <si>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5年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</si>
  <si>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6年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</si>
  <si>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7年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</si>
  <si>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8年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</si>
  <si>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9年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</si>
  <si>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10年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</si>
  <si>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11年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</si>
  <si>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12年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</si>
  <si>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13年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</si>
  <si>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14年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</si>
  <si>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15年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</si>
  <si>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16年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</si>
  <si>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17年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</si>
  <si>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18年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</si>
  <si>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19年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</si>
  <si>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20年</t>
    </r>
    <r>
      <rPr>
        <b/>
        <sz val="8"/>
        <rFont val="宋体"/>
        <family val="3"/>
        <charset val="134"/>
      </rPr>
      <t/>
    </r>
  </si>
  <si>
    <r>
      <rPr>
        <b/>
        <sz val="8"/>
        <rFont val="宋体"/>
        <family val="3"/>
        <charset val="134"/>
      </rPr>
      <t>第</t>
    </r>
    <r>
      <rPr>
        <b/>
        <sz val="8"/>
        <rFont val="Anial"/>
        <family val="2"/>
      </rPr>
      <t>21年</t>
    </r>
    <r>
      <rPr>
        <b/>
        <sz val="8"/>
        <rFont val="宋体"/>
        <family val="3"/>
        <charset val="134"/>
      </rPr>
      <t/>
    </r>
  </si>
  <si>
    <t>——</t>
    <phoneticPr fontId="3" type="noConversion"/>
  </si>
  <si>
    <t>地下三层已租未更新</t>
    <phoneticPr fontId="3" type="noConversion"/>
  </si>
  <si>
    <t>——</t>
    <phoneticPr fontId="3" type="noConversion"/>
  </si>
  <si>
    <t>——</t>
    <phoneticPr fontId="3" type="noConversion"/>
  </si>
  <si>
    <t>-1</t>
    <phoneticPr fontId="3" type="noConversion"/>
  </si>
  <si>
    <r>
      <rPr>
        <b/>
        <sz val="9"/>
        <color theme="1"/>
        <rFont val="宋体"/>
        <family val="3"/>
        <charset val="134"/>
      </rPr>
      <t>商铺号</t>
    </r>
  </si>
  <si>
    <r>
      <rPr>
        <b/>
        <sz val="9"/>
        <color theme="1"/>
        <rFont val="宋体"/>
        <family val="3"/>
        <charset val="134"/>
      </rPr>
      <t>押金</t>
    </r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</si>
  <si>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</si>
  <si>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</si>
  <si>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</si>
  <si>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</si>
  <si>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</si>
  <si>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2019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</si>
  <si>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</si>
  <si>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</si>
  <si>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</si>
  <si>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</si>
  <si>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</si>
  <si>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</si>
  <si>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</si>
  <si>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</si>
  <si>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</si>
  <si>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</si>
  <si>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</si>
  <si>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</si>
  <si>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</si>
  <si>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</si>
  <si>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</si>
  <si>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</si>
  <si>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</si>
  <si>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</si>
  <si>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</si>
  <si>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</si>
  <si>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</si>
  <si>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</si>
  <si>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</si>
  <si>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</si>
  <si>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</si>
  <si>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</si>
  <si>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2029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</si>
  <si>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</si>
  <si>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</si>
  <si>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</si>
  <si>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</si>
  <si>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</si>
  <si>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</si>
  <si>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</si>
  <si>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</si>
  <si>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</si>
  <si>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</si>
  <si>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</si>
  <si>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</si>
  <si>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</si>
  <si>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</si>
  <si>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</si>
  <si>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</si>
  <si>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</si>
  <si>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</si>
  <si>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</si>
  <si>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</si>
  <si>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</si>
  <si>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</si>
  <si>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</si>
  <si>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</si>
  <si>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rPr>
        <b/>
        <sz val="9"/>
        <color theme="1"/>
        <rFont val="宋体"/>
        <family val="3"/>
        <charset val="134"/>
      </rPr>
      <t>租金合计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</si>
  <si>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A01/A02/A04-A17</t>
    </r>
  </si>
  <si>
    <r>
      <rPr>
        <b/>
        <sz val="9"/>
        <color theme="1"/>
        <rFont val="宋体"/>
        <family val="3"/>
        <charset val="134"/>
      </rPr>
      <t>华润超级市场有限公司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</si>
  <si>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3F/4F/5F</t>
    </r>
    <phoneticPr fontId="11" type="noConversion"/>
  </si>
  <si>
    <r>
      <rPr>
        <b/>
        <sz val="9"/>
        <color theme="1"/>
        <rFont val="宋体"/>
        <family val="3"/>
        <charset val="134"/>
      </rPr>
      <t>北京百多橙商贸有限公司</t>
    </r>
  </si>
  <si>
    <r>
      <t>-1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3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4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5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</si>
  <si>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B01/C31/</t>
    </r>
    <r>
      <rPr>
        <b/>
        <sz val="9"/>
        <color theme="1"/>
        <rFont val="宋体"/>
        <family val="3"/>
        <charset val="134"/>
      </rPr>
      <t>一层</t>
    </r>
    <r>
      <rPr>
        <b/>
        <sz val="9"/>
        <color theme="1"/>
        <rFont val="Anial"/>
        <family val="2"/>
      </rPr>
      <t>143</t>
    </r>
  </si>
  <si>
    <r>
      <rPr>
        <b/>
        <sz val="9"/>
        <color theme="1"/>
        <rFont val="宋体"/>
        <family val="3"/>
        <charset val="134"/>
      </rPr>
      <t>北京麦当劳食品有限公司</t>
    </r>
  </si>
  <si>
    <r>
      <t>-1</t>
    </r>
    <r>
      <rPr>
        <sz val="9"/>
        <color theme="1"/>
        <rFont val="宋体"/>
        <family val="3"/>
        <charset val="134"/>
      </rPr>
      <t>、</t>
    </r>
    <r>
      <rPr>
        <sz val="9"/>
        <color theme="1"/>
        <rFont val="Anial"/>
        <family val="2"/>
      </rPr>
      <t>1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</si>
  <si>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B02-1</t>
    </r>
    <r>
      <rPr>
        <b/>
        <sz val="9"/>
        <color theme="1"/>
        <rFont val="宋体"/>
        <family val="3"/>
        <charset val="134"/>
      </rPr>
      <t>、</t>
    </r>
    <r>
      <rPr>
        <b/>
        <sz val="9"/>
        <color theme="1"/>
        <rFont val="Anial"/>
        <family val="2"/>
      </rPr>
      <t>B02-2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</si>
  <si>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B02-3</t>
    </r>
  </si>
  <si>
    <r>
      <rPr>
        <b/>
        <sz val="9"/>
        <color theme="1"/>
        <rFont val="宋体"/>
        <family val="3"/>
        <charset val="134"/>
      </rPr>
      <t>北京味千餐饮管理有限公司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</si>
  <si>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B02-4</t>
    </r>
  </si>
  <si>
    <r>
      <rPr>
        <b/>
        <sz val="9"/>
        <color theme="1"/>
        <rFont val="宋体"/>
        <family val="3"/>
        <charset val="134"/>
      </rPr>
      <t>北京星米世纪餐饮管理有限公司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</si>
  <si>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B02-5</t>
    </r>
  </si>
  <si>
    <r>
      <rPr>
        <b/>
        <sz val="9"/>
        <color theme="1"/>
        <rFont val="宋体"/>
        <family val="3"/>
        <charset val="134"/>
      </rPr>
      <t>富迪康（北京）餐饮管理有限公司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</si>
  <si>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B02-6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</si>
  <si>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B02-7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</si>
  <si>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B02-8</t>
    </r>
  </si>
  <si>
    <r>
      <rPr>
        <b/>
        <sz val="9"/>
        <color theme="1"/>
        <rFont val="宋体"/>
        <family val="3"/>
        <charset val="134"/>
      </rPr>
      <t>星亚餐饮管理（北京）有限公司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</si>
  <si>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B05</t>
    </r>
  </si>
  <si>
    <r>
      <rPr>
        <b/>
        <sz val="9"/>
        <color theme="1"/>
        <rFont val="宋体"/>
        <family val="3"/>
        <charset val="134"/>
      </rPr>
      <t>北京凯撒国际旅行社有限责任公司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</si>
  <si>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B06A-B06B</t>
    </r>
  </si>
  <si>
    <r>
      <rPr>
        <b/>
        <sz val="9"/>
        <color theme="1"/>
        <rFont val="宋体"/>
        <family val="3"/>
        <charset val="134"/>
      </rPr>
      <t>北京富元盛泽商贸有限公司朝阳区分公司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</si>
  <si>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B07</t>
    </r>
  </si>
  <si>
    <r>
      <rPr>
        <b/>
        <sz val="9"/>
        <color theme="1"/>
        <rFont val="宋体"/>
        <family val="3"/>
        <charset val="134"/>
      </rPr>
      <t>北京信恒合丰餐饮管理有限公司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</si>
  <si>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B38-2</t>
    </r>
  </si>
  <si>
    <r>
      <rPr>
        <b/>
        <sz val="9"/>
        <color theme="1"/>
        <rFont val="宋体"/>
        <family val="3"/>
        <charset val="134"/>
      </rPr>
      <t>北京森德嘉科贸有限公司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</si>
  <si>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C01-03</t>
    </r>
  </si>
  <si>
    <r>
      <rPr>
        <b/>
        <sz val="9"/>
        <color theme="1"/>
        <rFont val="宋体"/>
        <family val="3"/>
        <charset val="134"/>
      </rPr>
      <t>北京好美洋生物技术有限公司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</si>
  <si>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C02</t>
    </r>
  </si>
  <si>
    <r>
      <rPr>
        <b/>
        <sz val="9"/>
        <color theme="1"/>
        <rFont val="宋体"/>
        <family val="3"/>
        <charset val="134"/>
      </rPr>
      <t>北京美道宏业服饰有限公司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</si>
  <si>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C04-05</t>
    </r>
  </si>
  <si>
    <r>
      <rPr>
        <b/>
        <sz val="9"/>
        <color theme="1"/>
        <rFont val="宋体"/>
        <family val="3"/>
        <charset val="134"/>
      </rPr>
      <t>北京柏文熊贸易有限公司</t>
    </r>
    <phoneticPr fontId="11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</si>
  <si>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C08a</t>
    </r>
  </si>
  <si>
    <r>
      <rPr>
        <b/>
        <sz val="9"/>
        <color theme="1"/>
        <rFont val="宋体"/>
        <family val="3"/>
        <charset val="134"/>
      </rPr>
      <t>上海睿慕致裳服饰有限公司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</si>
  <si>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C09-C11-01</t>
    </r>
  </si>
  <si>
    <r>
      <rPr>
        <b/>
        <sz val="9"/>
        <color theme="1"/>
        <rFont val="宋体"/>
        <family val="3"/>
        <charset val="134"/>
      </rPr>
      <t>北京茂思商贸有限公司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</si>
  <si>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C11-02</t>
    </r>
  </si>
  <si>
    <r>
      <rPr>
        <b/>
        <sz val="9"/>
        <color theme="1"/>
        <rFont val="宋体"/>
        <family val="3"/>
        <charset val="134"/>
      </rPr>
      <t>北京潮洋盛业服装服饰有限公司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</si>
  <si>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C12</t>
    </r>
  </si>
  <si>
    <r>
      <rPr>
        <b/>
        <sz val="9"/>
        <color theme="1"/>
        <rFont val="宋体"/>
        <family val="3"/>
        <charset val="134"/>
      </rPr>
      <t>北京瑞祥信合贸易发展有限公司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</si>
  <si>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C26-28</t>
    </r>
    <phoneticPr fontId="11" type="noConversion"/>
  </si>
  <si>
    <r>
      <rPr>
        <b/>
        <sz val="9"/>
        <color theme="1"/>
        <rFont val="宋体"/>
        <family val="3"/>
        <charset val="134"/>
      </rPr>
      <t>北京英之沁化妆品有限公司</t>
    </r>
    <phoneticPr fontId="1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</si>
  <si>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C29</t>
    </r>
  </si>
  <si>
    <r>
      <rPr>
        <b/>
        <sz val="9"/>
        <color theme="1"/>
        <rFont val="宋体"/>
        <family val="3"/>
        <charset val="134"/>
      </rPr>
      <t>呷哺呷哺餐饮管理有限公司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</si>
  <si>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C30</t>
    </r>
  </si>
  <si>
    <r>
      <rPr>
        <b/>
        <sz val="9"/>
        <color theme="1"/>
        <rFont val="宋体"/>
        <family val="3"/>
        <charset val="134"/>
      </rPr>
      <t>万宁连锁商业</t>
    </r>
    <r>
      <rPr>
        <b/>
        <sz val="9"/>
        <color theme="1"/>
        <rFont val="Anial"/>
        <family val="2"/>
      </rPr>
      <t>(</t>
    </r>
    <r>
      <rPr>
        <b/>
        <sz val="9"/>
        <color theme="1"/>
        <rFont val="宋体"/>
        <family val="3"/>
        <charset val="134"/>
      </rPr>
      <t>北京</t>
    </r>
    <r>
      <rPr>
        <b/>
        <sz val="9"/>
        <color theme="1"/>
        <rFont val="Anial"/>
        <family val="2"/>
      </rPr>
      <t>)</t>
    </r>
    <r>
      <rPr>
        <b/>
        <sz val="9"/>
        <color theme="1"/>
        <rFont val="宋体"/>
        <family val="3"/>
        <charset val="134"/>
      </rPr>
      <t>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</si>
  <si>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D01/</t>
    </r>
    <r>
      <rPr>
        <b/>
        <sz val="9"/>
        <color theme="1"/>
        <rFont val="宋体"/>
        <family val="3"/>
        <charset val="134"/>
      </rPr>
      <t>一层</t>
    </r>
    <r>
      <rPr>
        <b/>
        <sz val="9"/>
        <color theme="1"/>
        <rFont val="Anial"/>
        <family val="2"/>
      </rPr>
      <t>131</t>
    </r>
  </si>
  <si>
    <r>
      <rPr>
        <b/>
        <sz val="9"/>
        <color theme="1"/>
        <rFont val="宋体"/>
        <family val="3"/>
        <charset val="134"/>
      </rPr>
      <t>北京肯德基有限公司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</si>
  <si>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D04</t>
    </r>
  </si>
  <si>
    <r>
      <rPr>
        <b/>
        <sz val="9"/>
        <color theme="1"/>
        <rFont val="宋体"/>
        <family val="3"/>
        <charset val="134"/>
      </rPr>
      <t>北京爱慕服饰销售有限公司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</si>
  <si>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D05</t>
    </r>
  </si>
  <si>
    <r>
      <rPr>
        <b/>
        <sz val="9"/>
        <color theme="1"/>
        <rFont val="宋体"/>
        <family val="3"/>
        <charset val="134"/>
      </rPr>
      <t>北京旋木时光生活用品有限公司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</si>
  <si>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D06</t>
    </r>
  </si>
  <si>
    <r>
      <rPr>
        <b/>
        <sz val="9"/>
        <color theme="1"/>
        <rFont val="宋体"/>
        <family val="3"/>
        <charset val="134"/>
      </rPr>
      <t>百丽鞋业（北京）有限公司</t>
    </r>
    <phoneticPr fontId="11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</si>
  <si>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D07</t>
    </r>
  </si>
  <si>
    <r>
      <rPr>
        <b/>
        <sz val="9"/>
        <color theme="1"/>
        <rFont val="宋体"/>
        <family val="3"/>
        <charset val="134"/>
      </rPr>
      <t>北京宝哲体育用品有限公司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</si>
  <si>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D08</t>
    </r>
  </si>
  <si>
    <r>
      <rPr>
        <b/>
        <sz val="9"/>
        <color theme="1"/>
        <rFont val="宋体"/>
        <family val="3"/>
        <charset val="134"/>
      </rPr>
      <t>晶华宝岛（北京）眼镜有限公司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</si>
  <si>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D09</t>
    </r>
  </si>
  <si>
    <r>
      <rPr>
        <b/>
        <sz val="9"/>
        <color theme="1"/>
        <rFont val="宋体"/>
        <family val="3"/>
        <charset val="134"/>
      </rPr>
      <t>绰琪服装（深圳）有限公司北京分公司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</si>
  <si>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D10</t>
    </r>
  </si>
  <si>
    <r>
      <rPr>
        <b/>
        <sz val="9"/>
        <color theme="1"/>
        <rFont val="宋体"/>
        <family val="3"/>
        <charset val="134"/>
      </rPr>
      <t>宝光宝视（北京）眼镜有限公司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</si>
  <si>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D11</t>
    </r>
  </si>
  <si>
    <r>
      <rPr>
        <b/>
        <sz val="9"/>
        <color theme="1"/>
        <rFont val="宋体"/>
        <family val="3"/>
        <charset val="134"/>
      </rPr>
      <t>北京衣恋阳光商贸有限公司</t>
    </r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</si>
  <si>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A18-A19</t>
    </r>
  </si>
  <si>
    <r>
      <rPr>
        <b/>
        <sz val="9"/>
        <color theme="1"/>
        <rFont val="宋体"/>
        <family val="3"/>
        <charset val="134"/>
      </rPr>
      <t>北京马蹄莲洗衣服务有限公司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</si>
  <si>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B03</t>
    </r>
  </si>
  <si>
    <r>
      <rPr>
        <b/>
        <sz val="9"/>
        <color theme="1"/>
        <rFont val="宋体"/>
        <family val="3"/>
        <charset val="134"/>
      </rPr>
      <t>北京扩明伟业商贸有限公司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</si>
  <si>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B04</t>
    </r>
  </si>
  <si>
    <r>
      <rPr>
        <b/>
        <sz val="9"/>
        <color theme="1"/>
        <rFont val="宋体"/>
        <family val="3"/>
        <charset val="134"/>
      </rPr>
      <t>北京艾美易美发有限公司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</si>
  <si>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B26</t>
    </r>
  </si>
  <si>
    <r>
      <rPr>
        <b/>
        <sz val="9"/>
        <color theme="1"/>
        <rFont val="宋体"/>
        <family val="3"/>
        <charset val="134"/>
      </rPr>
      <t>北京鲜品萃餐饮管理有限公司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</si>
  <si>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</t>
    </r>
    <r>
      <rPr>
        <b/>
        <sz val="9"/>
        <color theme="1"/>
        <rFont val="Anial"/>
        <family val="2"/>
      </rPr>
      <t>D02</t>
    </r>
  </si>
  <si>
    <r>
      <rPr>
        <b/>
        <sz val="9"/>
        <color theme="1"/>
        <rFont val="宋体"/>
        <family val="3"/>
        <charset val="134"/>
      </rPr>
      <t>北京壹美炫动贸易有限公司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</si>
  <si>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地下一层名创优品前区域</t>
    </r>
    <phoneticPr fontId="13" type="noConversion"/>
  </si>
  <si>
    <r>
      <rPr>
        <b/>
        <sz val="9"/>
        <color theme="1"/>
        <rFont val="宋体"/>
        <family val="3"/>
        <charset val="134"/>
      </rPr>
      <t>绫致时装（天津）有限公司</t>
    </r>
    <phoneticPr fontId="3" type="noConversion"/>
  </si>
  <si>
    <r>
      <rPr>
        <b/>
        <sz val="9"/>
        <color theme="1"/>
        <rFont val="宋体"/>
        <family val="3"/>
        <charset val="134"/>
      </rPr>
      <t>北京蒙发利贸易有限公司</t>
    </r>
    <phoneticPr fontId="13" type="noConversion"/>
  </si>
  <si>
    <r>
      <rPr>
        <b/>
        <sz val="8"/>
        <rFont val="宋体"/>
        <family val="3"/>
        <charset val="134"/>
      </rPr>
      <t>收益年限（</t>
    </r>
    <r>
      <rPr>
        <b/>
        <sz val="8"/>
        <rFont val="Anial"/>
        <family val="2"/>
      </rPr>
      <t>n</t>
    </r>
    <r>
      <rPr>
        <b/>
        <sz val="8"/>
        <rFont val="宋体"/>
        <family val="3"/>
        <charset val="134"/>
      </rPr>
      <t>）</t>
    </r>
    <phoneticPr fontId="11" type="noConversion"/>
  </si>
  <si>
    <r>
      <rPr>
        <b/>
        <sz val="8"/>
        <rFont val="宋体"/>
        <family val="3"/>
        <charset val="134"/>
      </rPr>
      <t>折现值</t>
    </r>
    <phoneticPr fontId="11" type="noConversion"/>
  </si>
  <si>
    <t>所在楼层</t>
    <phoneticPr fontId="11" type="noConversion"/>
  </si>
  <si>
    <t>2017-2016增长率</t>
    <rPh sb="9" eb="10">
      <t>zeng'zhang'lv</t>
    </rPh>
    <phoneticPr fontId="11" type="noConversion"/>
  </si>
  <si>
    <t>2016-2015增长率</t>
    <rPh sb="9" eb="10">
      <t>zeng'zhang'lv</t>
    </rPh>
    <phoneticPr fontId="11" type="noConversion"/>
  </si>
  <si>
    <t>租赁面积</t>
    <phoneticPr fontId="11" type="noConversion"/>
  </si>
  <si>
    <t>月收入</t>
    <phoneticPr fontId="11" type="noConversion"/>
  </si>
  <si>
    <t>租金单价</t>
    <phoneticPr fontId="11" type="noConversion"/>
  </si>
  <si>
    <t>租赁面积</t>
    <phoneticPr fontId="11" type="noConversion"/>
  </si>
  <si>
    <t>1层</t>
    <phoneticPr fontId="11" type="noConversion"/>
  </si>
  <si>
    <t>2层</t>
    <phoneticPr fontId="11" type="noConversion"/>
  </si>
  <si>
    <t>3层</t>
    <phoneticPr fontId="11" type="noConversion"/>
  </si>
  <si>
    <t>4层</t>
    <phoneticPr fontId="11" type="noConversion"/>
  </si>
  <si>
    <t>5层</t>
    <phoneticPr fontId="11" type="noConversion"/>
  </si>
  <si>
    <t>6层</t>
    <phoneticPr fontId="11" type="noConversion"/>
  </si>
  <si>
    <t>7层</t>
    <phoneticPr fontId="11" type="noConversion"/>
  </si>
  <si>
    <t>8层</t>
    <phoneticPr fontId="11" type="noConversion"/>
  </si>
  <si>
    <t>9层</t>
    <phoneticPr fontId="11" type="noConversion"/>
  </si>
  <si>
    <t>10层</t>
    <phoneticPr fontId="11" type="noConversion"/>
  </si>
  <si>
    <t>11层</t>
    <phoneticPr fontId="11" type="noConversion"/>
  </si>
  <si>
    <t>地下一层</t>
    <phoneticPr fontId="11" type="noConversion"/>
  </si>
  <si>
    <t>地下二层</t>
    <phoneticPr fontId="11" type="noConversion"/>
  </si>
  <si>
    <t>地下三层</t>
    <phoneticPr fontId="11" type="noConversion"/>
  </si>
  <si>
    <t>1层剔除影院</t>
    <rPh sb="1" eb="2">
      <t>ceng</t>
    </rPh>
    <rPh sb="2" eb="3">
      <t>ti'chu</t>
    </rPh>
    <rPh sb="4" eb="5">
      <t>ying'yuan</t>
    </rPh>
    <phoneticPr fontId="11" type="noConversion"/>
  </si>
  <si>
    <t>影院租赁面积</t>
    <rPh sb="0" eb="1">
      <t>ying'yuan</t>
    </rPh>
    <rPh sb="2" eb="3">
      <t>zu'lin'mian'ji</t>
    </rPh>
    <phoneticPr fontId="11" type="noConversion"/>
  </si>
  <si>
    <t>影院月租金</t>
    <rPh sb="0" eb="1">
      <t>ying'yuan</t>
    </rPh>
    <rPh sb="2" eb="3">
      <t>yue</t>
    </rPh>
    <rPh sb="3" eb="4">
      <t>zu'jin</t>
    </rPh>
    <phoneticPr fontId="11" type="noConversion"/>
  </si>
  <si>
    <t>市场客观</t>
    <phoneticPr fontId="3" type="noConversion"/>
  </si>
  <si>
    <t>空置率</t>
    <phoneticPr fontId="3" type="noConversion"/>
  </si>
  <si>
    <t>租赁面积</t>
    <phoneticPr fontId="3" type="noConversion"/>
  </si>
  <si>
    <t>可出租</t>
    <phoneticPr fontId="3" type="noConversion"/>
  </si>
  <si>
    <t>出租率</t>
    <phoneticPr fontId="3" type="noConversion"/>
  </si>
  <si>
    <t>三层302内322号</t>
    <phoneticPr fontId="13" type="noConversion"/>
  </si>
  <si>
    <t>北京绘本原创教育科技有限公司</t>
    <phoneticPr fontId="13" type="noConversion"/>
  </si>
  <si>
    <t>北京丽家丽婴婴童用品有限公司</t>
    <phoneticPr fontId="13" type="noConversion"/>
  </si>
  <si>
    <t>杭州兰芳园餐饮管理有限公司</t>
    <phoneticPr fontId="13" type="noConversion"/>
  </si>
  <si>
    <t>北京吉诺珠宝首饰有限公司</t>
    <phoneticPr fontId="13" type="noConversion"/>
  </si>
  <si>
    <t>2017.11.23-2018.11.22</t>
    <phoneticPr fontId="3" type="noConversion"/>
  </si>
  <si>
    <t>1</t>
    <phoneticPr fontId="3" type="noConversion"/>
  </si>
  <si>
    <t>北京缔潮贸易有限公司</t>
    <phoneticPr fontId="13" type="noConversion"/>
  </si>
  <si>
    <t>2017.12.12 - 2019.12.11</t>
    <phoneticPr fontId="3" type="noConversion"/>
  </si>
  <si>
    <t>2</t>
    <phoneticPr fontId="3" type="noConversion"/>
  </si>
  <si>
    <t>智童启德（北京）教育科技有限公司</t>
    <phoneticPr fontId="13" type="noConversion"/>
  </si>
  <si>
    <t>2017.10.01-2018.09.30</t>
  </si>
  <si>
    <t>4</t>
    <phoneticPr fontId="3" type="noConversion"/>
  </si>
  <si>
    <t>2017.11.21-2018.11.20</t>
    <phoneticPr fontId="3" type="noConversion"/>
  </si>
  <si>
    <t>3</t>
    <phoneticPr fontId="3" type="noConversion"/>
  </si>
  <si>
    <t>商铺名称</t>
    <phoneticPr fontId="3" type="noConversion"/>
  </si>
  <si>
    <t>第1年</t>
    <phoneticPr fontId="3" type="noConversion"/>
  </si>
  <si>
    <t>第2年</t>
    <phoneticPr fontId="3" type="noConversion"/>
  </si>
  <si>
    <t>第3年</t>
  </si>
  <si>
    <t>第4年</t>
  </si>
  <si>
    <t>第5年</t>
  </si>
  <si>
    <t>第6年</t>
  </si>
  <si>
    <t>第7年</t>
  </si>
  <si>
    <t>第8年</t>
  </si>
  <si>
    <t>第9年</t>
  </si>
  <si>
    <t>第10年</t>
  </si>
  <si>
    <t>第11年</t>
  </si>
  <si>
    <t>第12年</t>
  </si>
  <si>
    <t>第13年</t>
  </si>
  <si>
    <t>第14年</t>
  </si>
  <si>
    <t>第15年</t>
  </si>
  <si>
    <t>第16年</t>
  </si>
  <si>
    <t>第17年</t>
  </si>
  <si>
    <t>第18年</t>
  </si>
  <si>
    <t>第19年</t>
  </si>
  <si>
    <t>第20年</t>
  </si>
  <si>
    <t>第21年</t>
  </si>
  <si>
    <t>备注</t>
    <phoneticPr fontId="11" type="noConversion"/>
  </si>
  <si>
    <t>税率</t>
    <phoneticPr fontId="11" type="noConversion"/>
  </si>
  <si>
    <t>合计</t>
    <phoneticPr fontId="3" type="noConversion"/>
  </si>
  <si>
    <t>（一）、经营活动现金流入</t>
    <phoneticPr fontId="11" type="noConversion"/>
  </si>
  <si>
    <t>1、固定租金收入</t>
    <phoneticPr fontId="11" type="noConversion"/>
  </si>
  <si>
    <t>2、补缴提成收入</t>
    <phoneticPr fontId="11" type="noConversion"/>
  </si>
  <si>
    <t>3、押金收入</t>
    <phoneticPr fontId="11" type="noConversion"/>
  </si>
  <si>
    <t>（二）、经营活动现金流出</t>
    <phoneticPr fontId="11" type="noConversion"/>
  </si>
  <si>
    <t>1、房产税</t>
    <phoneticPr fontId="11" type="noConversion"/>
  </si>
  <si>
    <t>2、增值税</t>
    <phoneticPr fontId="11" type="noConversion"/>
  </si>
  <si>
    <t>3、销售费等</t>
    <phoneticPr fontId="11" type="noConversion"/>
  </si>
  <si>
    <t>（三）、房地产纯收益</t>
    <phoneticPr fontId="11" type="noConversion"/>
  </si>
  <si>
    <t>年度净收益</t>
    <phoneticPr fontId="11" type="noConversion"/>
  </si>
  <si>
    <t>还原利率（Y）</t>
    <phoneticPr fontId="11" type="noConversion"/>
  </si>
  <si>
    <t>收益年限（n）</t>
    <phoneticPr fontId="11" type="noConversion"/>
  </si>
  <si>
    <t>折现值</t>
    <phoneticPr fontId="11" type="noConversion"/>
  </si>
  <si>
    <t>不可分摊</t>
  </si>
  <si>
    <t>-2、-3层车库</t>
  </si>
  <si>
    <t>-1层自行车库</t>
  </si>
  <si>
    <t>-1层商业</t>
  </si>
  <si>
    <t>1层商业</t>
  </si>
  <si>
    <t>2层商业</t>
  </si>
  <si>
    <t>3层商业</t>
  </si>
  <si>
    <t>4层商业</t>
  </si>
  <si>
    <t>5层商业</t>
  </si>
  <si>
    <t>6层商业</t>
  </si>
  <si>
    <t>7层商业</t>
  </si>
  <si>
    <t>8层商业</t>
  </si>
  <si>
    <t>9层商业</t>
  </si>
  <si>
    <t>10层商业</t>
  </si>
  <si>
    <t>11层商业</t>
  </si>
  <si>
    <t>增长率</t>
    <phoneticPr fontId="3" type="noConversion"/>
  </si>
  <si>
    <t>富力广场东侧楼体招牌位E02</t>
    <phoneticPr fontId="3" type="noConversion"/>
  </si>
  <si>
    <t>广告牌</t>
    <phoneticPr fontId="3" type="noConversion"/>
  </si>
  <si>
    <r>
      <t>3</t>
    </r>
    <r>
      <rPr>
        <b/>
        <sz val="8"/>
        <rFont val="宋体"/>
        <family val="3"/>
        <charset val="134"/>
      </rPr>
      <t>、押金收入</t>
    </r>
    <phoneticPr fontId="11" type="noConversion"/>
  </si>
  <si>
    <t>（三）、房地产纯收益</t>
    <phoneticPr fontId="11" type="noConversion"/>
  </si>
  <si>
    <t>年度净收益</t>
    <phoneticPr fontId="11" type="noConversion"/>
  </si>
  <si>
    <t>出租率分析</t>
    <phoneticPr fontId="3" type="noConversion"/>
  </si>
  <si>
    <t>抽成分析</t>
    <phoneticPr fontId="3" type="noConversion"/>
  </si>
  <si>
    <t>年总抽成</t>
    <phoneticPr fontId="3" type="noConversion"/>
  </si>
  <si>
    <t>平均</t>
    <phoneticPr fontId="3" type="noConversion"/>
  </si>
  <si>
    <t>面积</t>
    <phoneticPr fontId="3" type="noConversion"/>
  </si>
  <si>
    <t>分摊抽成</t>
    <phoneticPr fontId="3" type="noConversion"/>
  </si>
  <si>
    <t>-1层商业</t>
    <phoneticPr fontId="3" type="noConversion"/>
  </si>
  <si>
    <t>地上商业</t>
    <phoneticPr fontId="3" type="noConversion"/>
  </si>
  <si>
    <t>合计</t>
    <phoneticPr fontId="3" type="noConversion"/>
  </si>
  <si>
    <t>项目         年份</t>
    <phoneticPr fontId="11" type="noConversion"/>
  </si>
  <si>
    <t>税率</t>
    <phoneticPr fontId="11" type="noConversion"/>
  </si>
  <si>
    <t>（一）、经营活动现金流入</t>
    <phoneticPr fontId="11" type="noConversion"/>
  </si>
  <si>
    <t>（二）、经营活动现金流出</t>
    <phoneticPr fontId="11" type="noConversion"/>
  </si>
  <si>
    <t>还原利率（Y）</t>
    <phoneticPr fontId="11" type="noConversion"/>
  </si>
  <si>
    <t>收益年限（n）</t>
    <phoneticPr fontId="11" type="noConversion"/>
  </si>
  <si>
    <t>折现值</t>
    <phoneticPr fontId="11" type="noConversion"/>
  </si>
  <si>
    <t>年收入</t>
    <phoneticPr fontId="3" type="noConversion"/>
  </si>
  <si>
    <t>检验</t>
    <phoneticPr fontId="3" type="noConversion"/>
  </si>
  <si>
    <t>富力广场现金流</t>
    <phoneticPr fontId="3" type="noConversion"/>
  </si>
  <si>
    <t>年租金</t>
    <phoneticPr fontId="3" type="noConversion"/>
  </si>
  <si>
    <t>5、6层</t>
    <phoneticPr fontId="3" type="noConversion"/>
  </si>
  <si>
    <t>3层</t>
    <phoneticPr fontId="3" type="noConversion"/>
  </si>
  <si>
    <t>单价</t>
    <phoneticPr fontId="3" type="noConversion"/>
  </si>
  <si>
    <t>合同</t>
    <phoneticPr fontId="3" type="noConversion"/>
  </si>
  <si>
    <t>年总收入（实收）</t>
    <phoneticPr fontId="3" type="noConversion"/>
  </si>
  <si>
    <t>销售费用</t>
    <phoneticPr fontId="3" type="noConversion"/>
  </si>
  <si>
    <t>涨幅</t>
    <phoneticPr fontId="3" type="noConversion"/>
  </si>
  <si>
    <t>分摊</t>
    <phoneticPr fontId="3" type="noConversion"/>
  </si>
  <si>
    <t>占比</t>
    <phoneticPr fontId="3" type="noConversion"/>
  </si>
  <si>
    <t>2015年</t>
    <phoneticPr fontId="3" type="noConversion"/>
  </si>
  <si>
    <t>1月</t>
    <phoneticPr fontId="3" type="noConversion"/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</si>
  <si>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</si>
  <si>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</si>
  <si>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</si>
  <si>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</si>
  <si>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</si>
  <si>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</si>
  <si>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</si>
  <si>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</si>
  <si>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</si>
  <si>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</si>
  <si>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</si>
  <si>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2016年</t>
    <phoneticPr fontId="3" type="noConversion"/>
  </si>
  <si>
    <t>2017年</t>
    <phoneticPr fontId="3" type="noConversion"/>
  </si>
  <si>
    <t>2015-2017各年平均租赁面积</t>
    <phoneticPr fontId="3" type="noConversion"/>
  </si>
  <si>
    <t>仓储</t>
    <phoneticPr fontId="3" type="noConversion"/>
  </si>
  <si>
    <t>地下</t>
    <phoneticPr fontId="3" type="noConversion"/>
  </si>
  <si>
    <t>地上商业</t>
    <phoneticPr fontId="3" type="noConversion"/>
  </si>
  <si>
    <t>已出租</t>
    <phoneticPr fontId="3" type="noConversion"/>
  </si>
  <si>
    <t>租金及销售费用分析</t>
    <phoneticPr fontId="3" type="noConversion"/>
  </si>
  <si>
    <t>影院总收入</t>
    <phoneticPr fontId="3" type="noConversion"/>
  </si>
  <si>
    <t>地下一层已租未更新</t>
    <phoneticPr fontId="3" type="noConversion"/>
  </si>
  <si>
    <t>地上商业已租未更新</t>
    <phoneticPr fontId="3" type="noConversion"/>
  </si>
  <si>
    <t>平均</t>
    <phoneticPr fontId="3" type="noConversion"/>
  </si>
  <si>
    <t>地下未出租车位</t>
    <phoneticPr fontId="3" type="noConversion"/>
  </si>
  <si>
    <t>-2、-3</t>
    <phoneticPr fontId="3" type="noConversion"/>
  </si>
  <si>
    <t>(个/月)</t>
    <phoneticPr fontId="3" type="noConversion"/>
  </si>
  <si>
    <t>个数</t>
    <phoneticPr fontId="3" type="noConversion"/>
  </si>
  <si>
    <r>
      <t>2039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</si>
  <si>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</si>
  <si>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2039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</si>
  <si>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</si>
  <si>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</si>
  <si>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</si>
  <si>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</si>
  <si>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</si>
  <si>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</si>
  <si>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</si>
  <si>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</si>
  <si>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</si>
  <si>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</si>
  <si>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</si>
  <si>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</si>
  <si>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</si>
  <si>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</si>
  <si>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</si>
  <si>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</si>
  <si>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</si>
  <si>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</si>
  <si>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</si>
  <si>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2044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</si>
  <si>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</si>
  <si>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</si>
  <si>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</si>
  <si>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2045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</si>
  <si>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</si>
  <si>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</si>
  <si>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</si>
  <si>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2046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</si>
  <si>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</si>
  <si>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</si>
  <si>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</si>
  <si>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2047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</si>
  <si>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</si>
  <si>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</si>
  <si>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</si>
  <si>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2048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</si>
  <si>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</si>
  <si>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</si>
  <si>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</si>
  <si>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2049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</si>
  <si>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</si>
  <si>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</si>
  <si>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</si>
  <si>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2050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</si>
  <si>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</si>
  <si>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</si>
  <si>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</si>
  <si>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2051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</si>
  <si>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</si>
  <si>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2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</si>
  <si>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3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</si>
  <si>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2052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4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</si>
  <si>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t>2039年2季度</t>
    <phoneticPr fontId="3" type="noConversion"/>
  </si>
  <si>
    <t>2039年3季度</t>
    <phoneticPr fontId="3" type="noConversion"/>
  </si>
  <si>
    <t>2039年4季度</t>
    <phoneticPr fontId="3" type="noConversion"/>
  </si>
  <si>
    <t>2040年1季度</t>
    <phoneticPr fontId="3" type="noConversion"/>
  </si>
  <si>
    <t>2040年2季度</t>
    <phoneticPr fontId="3" type="noConversion"/>
  </si>
  <si>
    <t>2040年3季度</t>
    <phoneticPr fontId="3" type="noConversion"/>
  </si>
  <si>
    <t>2040年4季度</t>
    <phoneticPr fontId="3" type="noConversion"/>
  </si>
  <si>
    <t>2041年1季度</t>
    <phoneticPr fontId="3" type="noConversion"/>
  </si>
  <si>
    <t>2041年2季度</t>
    <phoneticPr fontId="3" type="noConversion"/>
  </si>
  <si>
    <t>2041年3季度</t>
    <phoneticPr fontId="3" type="noConversion"/>
  </si>
  <si>
    <t>2041年4季度</t>
    <phoneticPr fontId="3" type="noConversion"/>
  </si>
  <si>
    <t>2042年1季度</t>
    <phoneticPr fontId="3" type="noConversion"/>
  </si>
  <si>
    <t>2042年2季度</t>
    <phoneticPr fontId="3" type="noConversion"/>
  </si>
  <si>
    <t>2042年3季度</t>
    <phoneticPr fontId="3" type="noConversion"/>
  </si>
  <si>
    <t>2042年4季度</t>
    <phoneticPr fontId="3" type="noConversion"/>
  </si>
  <si>
    <t>2043年1季度</t>
    <phoneticPr fontId="3" type="noConversion"/>
  </si>
  <si>
    <t>2043年2季度</t>
    <phoneticPr fontId="3" type="noConversion"/>
  </si>
  <si>
    <t>2043年3季度</t>
    <phoneticPr fontId="3" type="noConversion"/>
  </si>
  <si>
    <t>2043年4季度</t>
    <phoneticPr fontId="3" type="noConversion"/>
  </si>
  <si>
    <t>2044年1季度</t>
    <phoneticPr fontId="3" type="noConversion"/>
  </si>
  <si>
    <t>2044年2季度</t>
    <phoneticPr fontId="3" type="noConversion"/>
  </si>
  <si>
    <t>2044年3季度</t>
    <phoneticPr fontId="3" type="noConversion"/>
  </si>
  <si>
    <t>2044年4季度</t>
    <phoneticPr fontId="3" type="noConversion"/>
  </si>
  <si>
    <t>2045年1季度</t>
    <phoneticPr fontId="3" type="noConversion"/>
  </si>
  <si>
    <t>2045年2季度</t>
    <phoneticPr fontId="3" type="noConversion"/>
  </si>
  <si>
    <t>2045年3季度</t>
    <phoneticPr fontId="3" type="noConversion"/>
  </si>
  <si>
    <t>2045年4季度</t>
    <phoneticPr fontId="3" type="noConversion"/>
  </si>
  <si>
    <t>2046年1季度</t>
    <phoneticPr fontId="3" type="noConversion"/>
  </si>
  <si>
    <t>2046年2季度</t>
    <phoneticPr fontId="3" type="noConversion"/>
  </si>
  <si>
    <t>2046年3季度</t>
    <phoneticPr fontId="3" type="noConversion"/>
  </si>
  <si>
    <t>2046年4季度</t>
    <phoneticPr fontId="3" type="noConversion"/>
  </si>
  <si>
    <t>2047年1季度</t>
    <phoneticPr fontId="3" type="noConversion"/>
  </si>
  <si>
    <t>2047年2季度</t>
    <phoneticPr fontId="3" type="noConversion"/>
  </si>
  <si>
    <t>2047年3季度</t>
    <phoneticPr fontId="3" type="noConversion"/>
  </si>
  <si>
    <t>2047年4季度</t>
    <phoneticPr fontId="3" type="noConversion"/>
  </si>
  <si>
    <t>2048年1季度</t>
    <phoneticPr fontId="3" type="noConversion"/>
  </si>
  <si>
    <t>2048年2季度</t>
    <phoneticPr fontId="3" type="noConversion"/>
  </si>
  <si>
    <t>2048年3季度</t>
    <phoneticPr fontId="3" type="noConversion"/>
  </si>
  <si>
    <t>2048年4季度</t>
    <phoneticPr fontId="3" type="noConversion"/>
  </si>
  <si>
    <t>2049年1季度</t>
    <phoneticPr fontId="3" type="noConversion"/>
  </si>
  <si>
    <t>2049年2季度</t>
    <phoneticPr fontId="3" type="noConversion"/>
  </si>
  <si>
    <t>2049年3季度</t>
    <phoneticPr fontId="3" type="noConversion"/>
  </si>
  <si>
    <t>2049年4季度</t>
    <phoneticPr fontId="3" type="noConversion"/>
  </si>
  <si>
    <t>2050年1季度</t>
    <phoneticPr fontId="3" type="noConversion"/>
  </si>
  <si>
    <t>2050年2季度</t>
    <phoneticPr fontId="3" type="noConversion"/>
  </si>
  <si>
    <t>2050年3季度</t>
    <phoneticPr fontId="3" type="noConversion"/>
  </si>
  <si>
    <t>2050年4季度</t>
    <phoneticPr fontId="3" type="noConversion"/>
  </si>
  <si>
    <t>2051年1季度</t>
    <phoneticPr fontId="3" type="noConversion"/>
  </si>
  <si>
    <t>2051年2季度</t>
    <phoneticPr fontId="3" type="noConversion"/>
  </si>
  <si>
    <t>2051年3季度</t>
    <phoneticPr fontId="3" type="noConversion"/>
  </si>
  <si>
    <t>2051年4季度</t>
    <phoneticPr fontId="3" type="noConversion"/>
  </si>
  <si>
    <t>2052年1季度</t>
    <phoneticPr fontId="3" type="noConversion"/>
  </si>
  <si>
    <t>2052年2季度</t>
    <phoneticPr fontId="3" type="noConversion"/>
  </si>
  <si>
    <t>2040年1季度</t>
    <phoneticPr fontId="3" type="noConversion"/>
  </si>
  <si>
    <t>2040年2季度</t>
    <phoneticPr fontId="3" type="noConversion"/>
  </si>
  <si>
    <t>2040年3季度</t>
    <phoneticPr fontId="3" type="noConversion"/>
  </si>
  <si>
    <t>2040年4季度</t>
    <phoneticPr fontId="3" type="noConversion"/>
  </si>
  <si>
    <r>
      <t>2053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</si>
  <si>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r>
      <t>2053</t>
    </r>
    <r>
      <rPr>
        <b/>
        <sz val="9"/>
        <color theme="1"/>
        <rFont val="宋体"/>
        <family val="3"/>
        <charset val="134"/>
      </rPr>
      <t>年</t>
    </r>
    <r>
      <rPr>
        <b/>
        <sz val="9"/>
        <color theme="1"/>
        <rFont val="Anial"/>
        <family val="2"/>
      </rPr>
      <t>1</t>
    </r>
    <r>
      <rPr>
        <b/>
        <sz val="9"/>
        <color theme="1"/>
        <rFont val="宋体"/>
        <family val="3"/>
        <charset val="134"/>
      </rPr>
      <t>季度</t>
    </r>
    <phoneticPr fontId="3" type="noConversion"/>
  </si>
  <si>
    <t>2052年3季度</t>
    <phoneticPr fontId="3" type="noConversion"/>
  </si>
  <si>
    <t>2052年4季度</t>
    <phoneticPr fontId="3" type="noConversion"/>
  </si>
  <si>
    <t>2053年1季度</t>
    <phoneticPr fontId="3" type="noConversion"/>
  </si>
  <si>
    <t>建筑面积</t>
    <phoneticPr fontId="3" type="noConversion"/>
  </si>
  <si>
    <t>楼面单价</t>
    <phoneticPr fontId="3" type="noConversion"/>
  </si>
  <si>
    <t>建筑面积</t>
    <phoneticPr fontId="3" type="noConversion"/>
  </si>
  <si>
    <t>楼面单价</t>
    <phoneticPr fontId="3" type="noConversion"/>
  </si>
  <si>
    <t>序号</t>
    <phoneticPr fontId="3" type="noConversion"/>
  </si>
  <si>
    <t>抵押物名称</t>
    <phoneticPr fontId="3" type="noConversion"/>
  </si>
  <si>
    <t>分摊土地面积</t>
    <phoneticPr fontId="3" type="noConversion"/>
  </si>
  <si>
    <t>建筑面积</t>
    <phoneticPr fontId="3" type="noConversion"/>
  </si>
  <si>
    <t>评估总价</t>
    <phoneticPr fontId="3" type="noConversion"/>
  </si>
  <si>
    <t>评估单价</t>
    <phoneticPr fontId="3" type="noConversion"/>
  </si>
  <si>
    <t>权重</t>
    <phoneticPr fontId="3" type="noConversion"/>
  </si>
  <si>
    <t>评估方法</t>
    <phoneticPr fontId="3" type="noConversion"/>
  </si>
  <si>
    <t>地下车库</t>
    <phoneticPr fontId="3" type="noConversion"/>
  </si>
  <si>
    <t>评估总价</t>
    <phoneticPr fontId="3" type="noConversion"/>
  </si>
  <si>
    <t>评估单价</t>
    <phoneticPr fontId="3" type="noConversion"/>
  </si>
  <si>
    <t>评估结果</t>
    <phoneticPr fontId="3" type="noConversion"/>
  </si>
  <si>
    <t>地下仓储</t>
    <phoneticPr fontId="3" type="noConversion"/>
  </si>
  <si>
    <t>成本法</t>
    <phoneticPr fontId="3" type="noConversion"/>
  </si>
  <si>
    <t>现金流</t>
    <phoneticPr fontId="3" type="noConversion"/>
  </si>
  <si>
    <t>现金流</t>
    <phoneticPr fontId="3" type="noConversion"/>
  </si>
  <si>
    <t>成本法</t>
    <phoneticPr fontId="3" type="noConversion"/>
  </si>
  <si>
    <t>地上商业</t>
    <phoneticPr fontId="3" type="noConversion"/>
  </si>
  <si>
    <t>现金流</t>
    <phoneticPr fontId="3" type="noConversion"/>
  </si>
  <si>
    <t>比较法</t>
    <phoneticPr fontId="3" type="noConversion"/>
  </si>
  <si>
    <t>——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</si>
</sst>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0.00_);[Red]\(0.00\)"/>
    <numFmt numFmtId="177" formatCode="yyyy&quot;年&quot;m&quot;月&quot;;@"/>
    <numFmt numFmtId="178" formatCode="#,##0.00_ "/>
    <numFmt numFmtId="179" formatCode="_ * #,##0_ ;_ * \-#,##0_ ;_ * &quot;-&quot;??_ ;_ @_ "/>
    <numFmt numFmtId="180" formatCode="#,##0_);\(#,##0\)"/>
    <numFmt numFmtId="181" formatCode="0.0%"/>
    <numFmt numFmtId="182" formatCode="#,##0.00_);\(#,##0.00\)"/>
    <numFmt numFmtId="183" formatCode="0.0"/>
    <numFmt numFmtId="184" formatCode="0_);[Red]\(0\)"/>
  </numFmts>
  <fonts count="45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b/>
      <sz val="10"/>
      <color theme="1"/>
      <name val="华文新魏"/>
      <family val="3"/>
      <charset val="134"/>
    </font>
    <font>
      <sz val="9"/>
      <name val="等线"/>
      <family val="2"/>
      <charset val="134"/>
      <scheme val="minor"/>
    </font>
    <font>
      <b/>
      <sz val="9"/>
      <color theme="1"/>
      <name val="华文新魏"/>
      <family val="3"/>
      <charset val="134"/>
    </font>
    <font>
      <sz val="9"/>
      <color theme="1"/>
      <name val="华文新魏"/>
      <family val="3"/>
      <charset val="134"/>
    </font>
    <font>
      <sz val="9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  <font>
      <sz val="10"/>
      <color theme="1"/>
      <name val="宋体"/>
      <family val="3"/>
      <charset val="134"/>
    </font>
    <font>
      <sz val="8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10"/>
      <name val="Arial"/>
      <family val="2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</font>
    <font>
      <sz val="9"/>
      <name val="Tahoma"/>
      <family val="2"/>
    </font>
    <font>
      <b/>
      <sz val="9"/>
      <color indexed="81"/>
      <name val="Tahoma"/>
      <family val="2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9"/>
      <color theme="1"/>
      <name val="Anial"/>
    </font>
    <font>
      <b/>
      <sz val="10"/>
      <color theme="1"/>
      <name val="Anial"/>
      <family val="2"/>
    </font>
    <font>
      <b/>
      <sz val="9"/>
      <color theme="1"/>
      <name val="Anial"/>
      <family val="2"/>
    </font>
    <font>
      <sz val="9"/>
      <color theme="1"/>
      <name val="Anial"/>
      <family val="2"/>
    </font>
    <font>
      <sz val="10"/>
      <color theme="1"/>
      <name val="Anial"/>
      <family val="2"/>
    </font>
    <font>
      <sz val="8"/>
      <color theme="1"/>
      <name val="Anial"/>
      <family val="2"/>
    </font>
    <font>
      <sz val="11"/>
      <color theme="1"/>
      <name val="Anial"/>
      <family val="2"/>
    </font>
    <font>
      <b/>
      <sz val="8"/>
      <name val="Anial"/>
      <family val="2"/>
    </font>
    <font>
      <sz val="8"/>
      <name val="Anial"/>
      <family val="2"/>
    </font>
    <font>
      <b/>
      <sz val="8"/>
      <color theme="1"/>
      <name val="Anial"/>
      <family val="2"/>
    </font>
    <font>
      <b/>
      <sz val="11"/>
      <color rgb="FFFF0000"/>
      <name val="Anial"/>
      <family val="2"/>
    </font>
    <font>
      <b/>
      <sz val="10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color rgb="FFFF0000"/>
      <name val="Anial"/>
      <family val="2"/>
    </font>
    <font>
      <b/>
      <sz val="20"/>
      <color theme="1"/>
      <name val="宋体"/>
      <family val="3"/>
      <charset val="134"/>
    </font>
    <font>
      <sz val="11"/>
      <name val="等线"/>
      <family val="2"/>
      <charset val="134"/>
      <scheme val="minor"/>
    </font>
    <font>
      <sz val="12"/>
      <color theme="1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F0"/>
        <bgColor indexed="64"/>
      </patternFill>
    </fill>
  </fills>
  <borders count="19">
    <border>
      <left/>
      <right/>
      <top/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564">
    <xf numFmtId="0" fontId="0" fillId="0" borderId="0" xfId="0">
      <alignment vertical="center"/>
    </xf>
    <xf numFmtId="0" fontId="12" fillId="2" borderId="0" xfId="0" applyFont="1" applyFill="1" applyAlignment="1">
      <alignment horizontal="left" vertical="center" shrinkToFit="1"/>
    </xf>
    <xf numFmtId="0" fontId="12" fillId="2" borderId="0" xfId="0" applyFont="1" applyFill="1" applyBorder="1" applyAlignment="1">
      <alignment horizontal="left" vertical="center" shrinkToFit="1"/>
    </xf>
    <xf numFmtId="0" fontId="7" fillId="2" borderId="3" xfId="0" applyFont="1" applyFill="1" applyBorder="1" applyAlignment="1">
      <alignment horizontal="left" vertical="center" wrapText="1" shrinkToFit="1"/>
    </xf>
    <xf numFmtId="0" fontId="7" fillId="2" borderId="16" xfId="0" applyFont="1" applyFill="1" applyBorder="1" applyAlignment="1">
      <alignment horizontal="left" vertical="center" wrapText="1" shrinkToFit="1"/>
    </xf>
    <xf numFmtId="0" fontId="7" fillId="2" borderId="10" xfId="0" applyFont="1" applyFill="1" applyBorder="1" applyAlignment="1">
      <alignment horizontal="left" vertical="center" wrapText="1" shrinkToFit="1"/>
    </xf>
    <xf numFmtId="0" fontId="23" fillId="0" borderId="3" xfId="0" applyFont="1" applyFill="1" applyBorder="1" applyAlignment="1" applyProtection="1">
      <alignment horizontal="left" vertical="center" wrapText="1"/>
      <protection hidden="1"/>
    </xf>
    <xf numFmtId="49" fontId="21" fillId="0" borderId="3" xfId="0" applyNumberFormat="1" applyFont="1" applyBorder="1" applyAlignment="1">
      <alignment horizontal="left" vertical="center" wrapText="1"/>
    </xf>
    <xf numFmtId="49" fontId="22" fillId="0" borderId="3" xfId="0" applyNumberFormat="1" applyFont="1" applyBorder="1" applyAlignment="1">
      <alignment horizontal="left" vertical="center"/>
    </xf>
    <xf numFmtId="0" fontId="22" fillId="0" borderId="3" xfId="0" applyFont="1" applyBorder="1" applyAlignment="1">
      <alignment horizontal="left" vertical="center"/>
    </xf>
    <xf numFmtId="10" fontId="22" fillId="0" borderId="3" xfId="0" applyNumberFormat="1" applyFont="1" applyBorder="1" applyAlignment="1">
      <alignment horizontal="left" vertical="center"/>
    </xf>
    <xf numFmtId="180" fontId="23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24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23" fillId="0" borderId="3" xfId="0" applyNumberFormat="1" applyFont="1" applyBorder="1" applyAlignment="1" applyProtection="1">
      <alignment horizontal="left" vertical="center" wrapText="1"/>
      <protection hidden="1"/>
    </xf>
    <xf numFmtId="10" fontId="23" fillId="0" borderId="3" xfId="0" applyNumberFormat="1" applyFont="1" applyBorder="1" applyAlignment="1" applyProtection="1">
      <alignment horizontal="left" vertical="center" wrapText="1"/>
    </xf>
    <xf numFmtId="182" fontId="23" fillId="0" borderId="3" xfId="0" applyNumberFormat="1" applyFont="1" applyBorder="1" applyAlignment="1" applyProtection="1">
      <alignment horizontal="left" vertical="center" wrapText="1"/>
      <protection hidden="1"/>
    </xf>
    <xf numFmtId="0" fontId="30" fillId="2" borderId="3" xfId="0" applyFont="1" applyFill="1" applyBorder="1" applyAlignment="1">
      <alignment horizontal="left" vertical="center" wrapText="1" shrinkToFit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180" fontId="35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36" fillId="0" borderId="3" xfId="0" applyNumberFormat="1" applyFont="1" applyFill="1" applyBorder="1" applyAlignment="1" applyProtection="1">
      <alignment horizontal="left" vertical="center" wrapText="1"/>
      <protection hidden="1"/>
    </xf>
    <xf numFmtId="180" fontId="35" fillId="0" borderId="3" xfId="0" applyNumberFormat="1" applyFont="1" applyBorder="1" applyAlignment="1" applyProtection="1">
      <alignment horizontal="left" vertical="center" wrapText="1"/>
      <protection hidden="1"/>
    </xf>
    <xf numFmtId="10" fontId="35" fillId="0" borderId="3" xfId="0" applyNumberFormat="1" applyFont="1" applyBorder="1" applyAlignment="1" applyProtection="1">
      <alignment horizontal="left" vertical="center" wrapText="1"/>
    </xf>
    <xf numFmtId="182" fontId="35" fillId="0" borderId="3" xfId="0" applyNumberFormat="1" applyFont="1" applyBorder="1" applyAlignment="1" applyProtection="1">
      <alignment horizontal="left" vertical="center" wrapText="1"/>
      <protection hidden="1"/>
    </xf>
    <xf numFmtId="0" fontId="34" fillId="2" borderId="0" xfId="0" applyFont="1" applyFill="1" applyBorder="1" applyAlignment="1">
      <alignment horizontal="left" vertical="center" shrinkToFit="1"/>
    </xf>
    <xf numFmtId="0" fontId="34" fillId="2" borderId="0" xfId="0" applyFont="1" applyFill="1" applyAlignment="1">
      <alignment horizontal="left" vertical="center" shrinkToFit="1"/>
    </xf>
    <xf numFmtId="0" fontId="30" fillId="0" borderId="3" xfId="0" applyFont="1" applyFill="1" applyBorder="1" applyAlignment="1">
      <alignment horizontal="left" vertical="center" wrapText="1" shrinkToFit="1"/>
    </xf>
    <xf numFmtId="49" fontId="39" fillId="0" borderId="3" xfId="0" applyNumberFormat="1" applyFont="1" applyBorder="1" applyAlignment="1">
      <alignment horizontal="left" vertical="center"/>
    </xf>
    <xf numFmtId="10" fontId="39" fillId="0" borderId="3" xfId="0" applyNumberFormat="1" applyFont="1" applyBorder="1" applyAlignment="1">
      <alignment horizontal="left" vertical="center"/>
    </xf>
    <xf numFmtId="0" fontId="39" fillId="0" borderId="3" xfId="0" applyFont="1" applyBorder="1" applyAlignment="1">
      <alignment horizontal="left" vertical="center"/>
    </xf>
    <xf numFmtId="0" fontId="40" fillId="0" borderId="3" xfId="0" applyFont="1" applyBorder="1" applyAlignment="1">
      <alignment horizontal="left" vertical="center" wrapText="1"/>
    </xf>
    <xf numFmtId="10" fontId="40" fillId="0" borderId="3" xfId="0" applyNumberFormat="1" applyFont="1" applyBorder="1" applyAlignment="1">
      <alignment horizontal="left" vertical="center" wrapText="1"/>
    </xf>
    <xf numFmtId="0" fontId="30" fillId="0" borderId="3" xfId="6" applyFont="1" applyFill="1" applyBorder="1" applyAlignment="1">
      <alignment horizontal="left" vertical="center"/>
    </xf>
    <xf numFmtId="0" fontId="30" fillId="0" borderId="18" xfId="6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left" vertical="center" shrinkToFit="1"/>
    </xf>
    <xf numFmtId="0" fontId="31" fillId="2" borderId="0" xfId="0" applyFont="1" applyFill="1" applyAlignment="1">
      <alignment horizontal="left" vertical="center" shrinkToFit="1"/>
    </xf>
    <xf numFmtId="176" fontId="4" fillId="2" borderId="3" xfId="1" applyNumberFormat="1" applyFont="1" applyFill="1" applyBorder="1" applyAlignment="1">
      <alignment horizontal="left" vertical="center"/>
    </xf>
    <xf numFmtId="176" fontId="4" fillId="2" borderId="3" xfId="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176" fontId="5" fillId="2" borderId="3" xfId="1" applyNumberFormat="1" applyFont="1" applyFill="1" applyBorder="1" applyAlignment="1">
      <alignment horizontal="left" vertical="center"/>
    </xf>
    <xf numFmtId="176" fontId="5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176" fontId="6" fillId="2" borderId="3" xfId="1" applyNumberFormat="1" applyFont="1" applyFill="1" applyBorder="1" applyAlignment="1">
      <alignment horizontal="left" vertical="center"/>
    </xf>
    <xf numFmtId="43" fontId="6" fillId="0" borderId="3" xfId="1" applyFont="1" applyFill="1" applyBorder="1" applyAlignment="1">
      <alignment horizontal="left" vertical="center"/>
    </xf>
    <xf numFmtId="43" fontId="6" fillId="5" borderId="3" xfId="1" applyFont="1" applyFill="1" applyBorder="1" applyAlignment="1">
      <alignment horizontal="left" vertical="center"/>
    </xf>
    <xf numFmtId="43" fontId="6" fillId="2" borderId="3" xfId="1" applyFont="1" applyFill="1" applyBorder="1" applyAlignment="1">
      <alignment horizontal="left" vertical="center"/>
    </xf>
    <xf numFmtId="43" fontId="9" fillId="2" borderId="3" xfId="1" applyFont="1" applyFill="1" applyBorder="1" applyAlignment="1">
      <alignment horizontal="left" vertical="center"/>
    </xf>
    <xf numFmtId="49" fontId="6" fillId="0" borderId="3" xfId="1" applyNumberFormat="1" applyFont="1" applyFill="1" applyBorder="1" applyAlignment="1">
      <alignment horizontal="left" vertical="center" wrapText="1"/>
    </xf>
    <xf numFmtId="43" fontId="6" fillId="0" borderId="8" xfId="1" applyFont="1" applyFill="1" applyBorder="1" applyAlignment="1">
      <alignment horizontal="left" vertical="center"/>
    </xf>
    <xf numFmtId="43" fontId="9" fillId="0" borderId="1" xfId="1" applyFont="1" applyFill="1" applyBorder="1" applyAlignment="1">
      <alignment horizontal="left" vertical="center"/>
    </xf>
    <xf numFmtId="43" fontId="10" fillId="0" borderId="8" xfId="1" applyFont="1" applyFill="1" applyBorder="1" applyAlignment="1">
      <alignment horizontal="left" vertical="center"/>
    </xf>
    <xf numFmtId="43" fontId="10" fillId="0" borderId="9" xfId="1" applyFont="1" applyFill="1" applyBorder="1" applyAlignment="1">
      <alignment horizontal="left" vertical="center"/>
    </xf>
    <xf numFmtId="43" fontId="10" fillId="0" borderId="0" xfId="1" applyFont="1" applyFill="1" applyBorder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43" fontId="9" fillId="0" borderId="9" xfId="1" applyFont="1" applyFill="1" applyBorder="1" applyAlignment="1">
      <alignment horizontal="left" vertical="center"/>
    </xf>
    <xf numFmtId="49" fontId="6" fillId="2" borderId="3" xfId="1" applyNumberFormat="1" applyFont="1" applyFill="1" applyBorder="1" applyAlignment="1">
      <alignment horizontal="left" vertical="center"/>
    </xf>
    <xf numFmtId="176" fontId="6" fillId="2" borderId="3" xfId="0" applyNumberFormat="1" applyFont="1" applyFill="1" applyBorder="1" applyAlignment="1">
      <alignment horizontal="left" vertical="center"/>
    </xf>
    <xf numFmtId="43" fontId="6" fillId="2" borderId="3" xfId="0" applyNumberFormat="1" applyFont="1" applyFill="1" applyBorder="1" applyAlignment="1">
      <alignment horizontal="left" vertical="center"/>
    </xf>
    <xf numFmtId="43" fontId="9" fillId="2" borderId="3" xfId="0" applyNumberFormat="1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0" fontId="14" fillId="2" borderId="0" xfId="3" applyFont="1" applyFill="1" applyBorder="1" applyAlignment="1">
      <alignment horizontal="left" vertical="center"/>
    </xf>
    <xf numFmtId="0" fontId="14" fillId="2" borderId="0" xfId="6" applyFont="1" applyFill="1" applyBorder="1" applyAlignment="1">
      <alignment horizontal="left" vertical="center"/>
    </xf>
    <xf numFmtId="176" fontId="14" fillId="2" borderId="0" xfId="6" applyNumberFormat="1" applyFont="1" applyFill="1" applyBorder="1" applyAlignment="1">
      <alignment horizontal="left" vertical="center" wrapText="1"/>
    </xf>
    <xf numFmtId="49" fontId="6" fillId="2" borderId="0" xfId="1" applyNumberFormat="1" applyFont="1" applyFill="1" applyBorder="1" applyAlignment="1">
      <alignment horizontal="left" vertical="center"/>
    </xf>
    <xf numFmtId="176" fontId="6" fillId="2" borderId="0" xfId="1" applyNumberFormat="1" applyFont="1" applyFill="1" applyBorder="1" applyAlignment="1">
      <alignment horizontal="left" vertical="center"/>
    </xf>
    <xf numFmtId="176" fontId="6" fillId="2" borderId="0" xfId="0" applyNumberFormat="1" applyFont="1" applyFill="1" applyBorder="1" applyAlignment="1">
      <alignment horizontal="left" vertical="center"/>
    </xf>
    <xf numFmtId="43" fontId="6" fillId="2" borderId="0" xfId="0" applyNumberFormat="1" applyFont="1" applyFill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34" fillId="2" borderId="0" xfId="0" applyFont="1" applyFill="1" applyBorder="1" applyAlignment="1">
      <alignment horizontal="left" vertical="center"/>
    </xf>
    <xf numFmtId="0" fontId="36" fillId="0" borderId="3" xfId="0" applyFont="1" applyBorder="1" applyAlignment="1" applyProtection="1">
      <alignment horizontal="left"/>
      <protection hidden="1"/>
    </xf>
    <xf numFmtId="10" fontId="36" fillId="0" borderId="3" xfId="0" applyNumberFormat="1" applyFont="1" applyBorder="1" applyAlignment="1" applyProtection="1">
      <alignment horizontal="left"/>
    </xf>
    <xf numFmtId="0" fontId="31" fillId="2" borderId="3" xfId="0" applyFont="1" applyFill="1" applyBorder="1" applyAlignment="1">
      <alignment horizontal="left" vertical="center"/>
    </xf>
    <xf numFmtId="0" fontId="31" fillId="2" borderId="0" xfId="0" applyFont="1" applyFill="1" applyAlignment="1">
      <alignment horizontal="left" vertical="center"/>
    </xf>
    <xf numFmtId="0" fontId="32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left" vertical="center"/>
    </xf>
    <xf numFmtId="14" fontId="34" fillId="2" borderId="0" xfId="0" applyNumberFormat="1" applyFont="1" applyFill="1" applyBorder="1" applyAlignment="1">
      <alignment horizontal="left" vertical="center"/>
    </xf>
    <xf numFmtId="14" fontId="35" fillId="0" borderId="3" xfId="0" applyNumberFormat="1" applyFont="1" applyBorder="1" applyAlignment="1" applyProtection="1">
      <alignment horizontal="left" vertical="center" wrapText="1"/>
      <protection hidden="1"/>
    </xf>
    <xf numFmtId="14" fontId="35" fillId="0" borderId="3" xfId="0" applyNumberFormat="1" applyFont="1" applyBorder="1" applyAlignment="1" applyProtection="1">
      <alignment horizontal="left" vertical="center" wrapText="1" shrinkToFit="1"/>
    </xf>
    <xf numFmtId="177" fontId="30" fillId="2" borderId="3" xfId="1" applyNumberFormat="1" applyFont="1" applyFill="1" applyBorder="1" applyAlignment="1">
      <alignment horizontal="left" vertical="center" wrapText="1"/>
    </xf>
    <xf numFmtId="14" fontId="31" fillId="2" borderId="0" xfId="0" applyNumberFormat="1" applyFont="1" applyFill="1" applyAlignment="1">
      <alignment horizontal="left" vertical="center"/>
    </xf>
    <xf numFmtId="14" fontId="32" fillId="2" borderId="0" xfId="0" applyNumberFormat="1" applyFont="1" applyFill="1" applyAlignment="1">
      <alignment horizontal="left" vertical="center"/>
    </xf>
    <xf numFmtId="14" fontId="34" fillId="2" borderId="0" xfId="0" applyNumberFormat="1" applyFont="1" applyFill="1" applyAlignment="1">
      <alignment horizontal="left" vertical="center"/>
    </xf>
    <xf numFmtId="0" fontId="34" fillId="0" borderId="0" xfId="0" applyFont="1" applyFill="1" applyBorder="1" applyAlignment="1">
      <alignment horizontal="left" vertical="center"/>
    </xf>
    <xf numFmtId="10" fontId="36" fillId="0" borderId="3" xfId="1" applyNumberFormat="1" applyFont="1" applyFill="1" applyBorder="1" applyAlignment="1" applyProtection="1">
      <alignment horizontal="left" vertical="center"/>
    </xf>
    <xf numFmtId="179" fontId="36" fillId="0" borderId="3" xfId="1" applyNumberFormat="1" applyFont="1" applyFill="1" applyBorder="1" applyAlignment="1" applyProtection="1">
      <alignment horizontal="left" vertical="center"/>
      <protection hidden="1"/>
    </xf>
    <xf numFmtId="179" fontId="31" fillId="0" borderId="3" xfId="0" applyNumberFormat="1" applyFont="1" applyFill="1" applyBorder="1" applyAlignment="1">
      <alignment horizontal="left" vertical="center"/>
    </xf>
    <xf numFmtId="0" fontId="31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left" vertical="center"/>
    </xf>
    <xf numFmtId="0" fontId="34" fillId="0" borderId="0" xfId="0" applyFont="1" applyFill="1" applyAlignment="1">
      <alignment horizontal="left" vertical="center"/>
    </xf>
    <xf numFmtId="10" fontId="36" fillId="0" borderId="3" xfId="1" applyNumberFormat="1" applyFont="1" applyBorder="1" applyAlignment="1" applyProtection="1">
      <alignment horizontal="left" vertical="center"/>
    </xf>
    <xf numFmtId="179" fontId="36" fillId="0" borderId="3" xfId="1" applyNumberFormat="1" applyFont="1" applyBorder="1" applyAlignment="1" applyProtection="1">
      <alignment horizontal="left" vertical="center"/>
      <protection hidden="1"/>
    </xf>
    <xf numFmtId="179" fontId="35" fillId="0" borderId="3" xfId="1" applyNumberFormat="1" applyFont="1" applyFill="1" applyBorder="1" applyAlignment="1" applyProtection="1">
      <alignment horizontal="left" vertical="center" wrapText="1"/>
      <protection hidden="1"/>
    </xf>
    <xf numFmtId="10" fontId="36" fillId="0" borderId="3" xfId="1" applyNumberFormat="1" applyFont="1" applyFill="1" applyBorder="1" applyAlignment="1" applyProtection="1">
      <alignment horizontal="left"/>
    </xf>
    <xf numFmtId="179" fontId="36" fillId="0" borderId="3" xfId="1" applyNumberFormat="1" applyFont="1" applyFill="1" applyBorder="1" applyAlignment="1" applyProtection="1">
      <alignment horizontal="left"/>
      <protection hidden="1"/>
    </xf>
    <xf numFmtId="10" fontId="36" fillId="5" borderId="3" xfId="1" applyNumberFormat="1" applyFont="1" applyFill="1" applyBorder="1" applyAlignment="1" applyProtection="1">
      <alignment horizontal="left" vertical="center"/>
    </xf>
    <xf numFmtId="179" fontId="37" fillId="0" borderId="3" xfId="1" applyNumberFormat="1" applyFont="1" applyFill="1" applyBorder="1" applyAlignment="1" applyProtection="1">
      <alignment horizontal="left" vertical="center"/>
      <protection hidden="1"/>
    </xf>
    <xf numFmtId="10" fontId="36" fillId="0" borderId="3" xfId="0" applyNumberFormat="1" applyFont="1" applyFill="1" applyBorder="1" applyAlignment="1" applyProtection="1">
      <alignment horizontal="left" vertical="center" wrapText="1"/>
    </xf>
    <xf numFmtId="10" fontId="38" fillId="8" borderId="3" xfId="9" applyNumberFormat="1" applyFont="1" applyFill="1" applyBorder="1" applyAlignment="1" applyProtection="1">
      <alignment horizontal="left" vertical="center" wrapText="1"/>
    </xf>
    <xf numFmtId="0" fontId="6" fillId="2" borderId="0" xfId="0" applyFont="1" applyFill="1" applyBorder="1" applyAlignment="1">
      <alignment horizontal="left" vertical="center"/>
    </xf>
    <xf numFmtId="49" fontId="12" fillId="2" borderId="0" xfId="0" applyNumberFormat="1" applyFont="1" applyFill="1" applyBorder="1" applyAlignment="1">
      <alignment horizontal="left" vertical="center"/>
    </xf>
    <xf numFmtId="176" fontId="6" fillId="2" borderId="0" xfId="1" applyNumberFormat="1" applyFont="1" applyFill="1" applyBorder="1" applyAlignment="1">
      <alignment horizontal="left" vertical="center" wrapText="1"/>
    </xf>
    <xf numFmtId="0" fontId="12" fillId="2" borderId="3" xfId="0" applyFont="1" applyFill="1" applyBorder="1" applyAlignment="1">
      <alignment horizontal="left" vertical="center"/>
    </xf>
    <xf numFmtId="49" fontId="12" fillId="2" borderId="0" xfId="0" applyNumberFormat="1" applyFont="1" applyFill="1" applyAlignment="1">
      <alignment horizontal="left" vertical="center"/>
    </xf>
    <xf numFmtId="176" fontId="6" fillId="2" borderId="0" xfId="1" applyNumberFormat="1" applyFont="1" applyFill="1" applyAlignment="1">
      <alignment horizontal="left" vertical="center" wrapText="1"/>
    </xf>
    <xf numFmtId="49" fontId="6" fillId="2" borderId="0" xfId="1" applyNumberFormat="1" applyFont="1" applyFill="1" applyAlignment="1">
      <alignment horizontal="left" vertical="center"/>
    </xf>
    <xf numFmtId="176" fontId="6" fillId="2" borderId="0" xfId="1" applyNumberFormat="1" applyFont="1" applyFill="1" applyAlignment="1">
      <alignment horizontal="left" vertical="center"/>
    </xf>
    <xf numFmtId="176" fontId="6" fillId="2" borderId="0" xfId="0" applyNumberFormat="1" applyFont="1" applyFill="1" applyAlignment="1">
      <alignment horizontal="left" vertical="center"/>
    </xf>
    <xf numFmtId="181" fontId="39" fillId="0" borderId="3" xfId="0" applyNumberFormat="1" applyFont="1" applyBorder="1" applyAlignment="1">
      <alignment horizontal="left" vertical="center"/>
    </xf>
    <xf numFmtId="181" fontId="39" fillId="9" borderId="3" xfId="0" applyNumberFormat="1" applyFont="1" applyFill="1" applyBorder="1" applyAlignment="1">
      <alignment horizontal="left" vertical="center"/>
    </xf>
    <xf numFmtId="181" fontId="39" fillId="3" borderId="3" xfId="0" applyNumberFormat="1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81" fontId="0" fillId="0" borderId="3" xfId="0" applyNumberForma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4" fillId="0" borderId="3" xfId="0" applyFont="1" applyBorder="1" applyAlignment="1" applyProtection="1">
      <alignment horizontal="left"/>
      <protection hidden="1"/>
    </xf>
    <xf numFmtId="10" fontId="24" fillId="0" borderId="3" xfId="0" applyNumberFormat="1" applyFont="1" applyBorder="1" applyAlignment="1" applyProtection="1">
      <alignment horizontal="left"/>
    </xf>
    <xf numFmtId="0" fontId="6" fillId="2" borderId="3" xfId="0" applyFont="1" applyFill="1" applyBorder="1" applyAlignment="1">
      <alignment horizontal="left" vertical="center"/>
    </xf>
    <xf numFmtId="14" fontId="23" fillId="0" borderId="3" xfId="0" applyNumberFormat="1" applyFont="1" applyBorder="1" applyAlignment="1" applyProtection="1">
      <alignment horizontal="left" vertical="center" wrapText="1"/>
      <protection hidden="1"/>
    </xf>
    <xf numFmtId="14" fontId="23" fillId="0" borderId="3" xfId="0" applyNumberFormat="1" applyFont="1" applyBorder="1" applyAlignment="1" applyProtection="1">
      <alignment horizontal="left" vertical="center" wrapText="1" shrinkToFit="1"/>
    </xf>
    <xf numFmtId="177" fontId="7" fillId="2" borderId="3" xfId="1" applyNumberFormat="1" applyFont="1" applyFill="1" applyBorder="1" applyAlignment="1">
      <alignment horizontal="left" vertical="center" wrapText="1"/>
    </xf>
    <xf numFmtId="10" fontId="24" fillId="0" borderId="3" xfId="1" applyNumberFormat="1" applyFont="1" applyFill="1" applyBorder="1" applyAlignment="1" applyProtection="1">
      <alignment horizontal="left" vertical="center"/>
    </xf>
    <xf numFmtId="179" fontId="24" fillId="0" borderId="3" xfId="1" applyNumberFormat="1" applyFont="1" applyFill="1" applyBorder="1" applyAlignment="1" applyProtection="1">
      <alignment horizontal="left" vertical="center"/>
      <protection hidden="1"/>
    </xf>
    <xf numFmtId="179" fontId="6" fillId="0" borderId="3" xfId="0" applyNumberFormat="1" applyFont="1" applyFill="1" applyBorder="1" applyAlignment="1">
      <alignment horizontal="left" vertical="center"/>
    </xf>
    <xf numFmtId="179" fontId="23" fillId="0" borderId="3" xfId="1" applyNumberFormat="1" applyFont="1" applyFill="1" applyBorder="1" applyAlignment="1" applyProtection="1">
      <alignment horizontal="left" vertical="center" wrapText="1"/>
      <protection hidden="1"/>
    </xf>
    <xf numFmtId="179" fontId="26" fillId="0" borderId="3" xfId="1" applyNumberFormat="1" applyFont="1" applyFill="1" applyBorder="1" applyAlignment="1" applyProtection="1">
      <alignment horizontal="left" vertical="center"/>
      <protection hidden="1"/>
    </xf>
    <xf numFmtId="10" fontId="24" fillId="0" borderId="3" xfId="0" applyNumberFormat="1" applyFont="1" applyFill="1" applyBorder="1" applyAlignment="1" applyProtection="1">
      <alignment horizontal="left" vertical="center" wrapText="1"/>
    </xf>
    <xf numFmtId="10" fontId="27" fillId="8" borderId="3" xfId="9" applyNumberFormat="1" applyFont="1" applyFill="1" applyBorder="1" applyAlignment="1" applyProtection="1">
      <alignment horizontal="left" vertical="center" wrapText="1"/>
    </xf>
    <xf numFmtId="176" fontId="30" fillId="2" borderId="3" xfId="1" applyNumberFormat="1" applyFont="1" applyFill="1" applyBorder="1" applyAlignment="1">
      <alignment horizontal="left" vertical="center"/>
    </xf>
    <xf numFmtId="176" fontId="30" fillId="2" borderId="3" xfId="0" applyNumberFormat="1" applyFont="1" applyFill="1" applyBorder="1" applyAlignment="1">
      <alignment horizontal="left" vertical="center"/>
    </xf>
    <xf numFmtId="0" fontId="30" fillId="2" borderId="0" xfId="0" applyFont="1" applyFill="1" applyAlignment="1">
      <alignment horizontal="left" vertical="center"/>
    </xf>
    <xf numFmtId="176" fontId="31" fillId="2" borderId="3" xfId="1" applyNumberFormat="1" applyFont="1" applyFill="1" applyBorder="1" applyAlignment="1">
      <alignment horizontal="left" vertical="center"/>
    </xf>
    <xf numFmtId="176" fontId="31" fillId="2" borderId="3" xfId="0" applyNumberFormat="1" applyFont="1" applyFill="1" applyBorder="1" applyAlignment="1">
      <alignment horizontal="left" vertical="center"/>
    </xf>
    <xf numFmtId="43" fontId="31" fillId="0" borderId="3" xfId="1" applyFont="1" applyFill="1" applyBorder="1" applyAlignment="1">
      <alignment horizontal="left" vertical="center"/>
    </xf>
    <xf numFmtId="43" fontId="31" fillId="5" borderId="3" xfId="1" applyFont="1" applyFill="1" applyBorder="1" applyAlignment="1">
      <alignment horizontal="left" vertical="center"/>
    </xf>
    <xf numFmtId="43" fontId="31" fillId="2" borderId="3" xfId="1" applyFont="1" applyFill="1" applyBorder="1" applyAlignment="1">
      <alignment horizontal="left" vertical="center"/>
    </xf>
    <xf numFmtId="43" fontId="32" fillId="2" borderId="3" xfId="1" applyFont="1" applyFill="1" applyBorder="1" applyAlignment="1">
      <alignment horizontal="left" vertical="center"/>
    </xf>
    <xf numFmtId="178" fontId="31" fillId="0" borderId="3" xfId="1" applyNumberFormat="1" applyFont="1" applyFill="1" applyBorder="1" applyAlignment="1">
      <alignment horizontal="left" vertical="center"/>
    </xf>
    <xf numFmtId="178" fontId="31" fillId="5" borderId="3" xfId="0" applyNumberFormat="1" applyFont="1" applyFill="1" applyBorder="1" applyAlignment="1">
      <alignment horizontal="left" vertical="center"/>
    </xf>
    <xf numFmtId="178" fontId="31" fillId="2" borderId="3" xfId="0" applyNumberFormat="1" applyFont="1" applyFill="1" applyBorder="1" applyAlignment="1">
      <alignment horizontal="left" vertical="center"/>
    </xf>
    <xf numFmtId="43" fontId="31" fillId="2" borderId="3" xfId="0" applyNumberFormat="1" applyFont="1" applyFill="1" applyBorder="1" applyAlignment="1">
      <alignment horizontal="left" vertical="center"/>
    </xf>
    <xf numFmtId="178" fontId="31" fillId="0" borderId="3" xfId="0" applyNumberFormat="1" applyFont="1" applyFill="1" applyBorder="1" applyAlignment="1">
      <alignment horizontal="left" vertical="center"/>
    </xf>
    <xf numFmtId="178" fontId="31" fillId="5" borderId="3" xfId="1" applyNumberFormat="1" applyFont="1" applyFill="1" applyBorder="1" applyAlignment="1">
      <alignment horizontal="left" vertical="center"/>
    </xf>
    <xf numFmtId="176" fontId="31" fillId="2" borderId="3" xfId="6" applyNumberFormat="1" applyFont="1" applyFill="1" applyBorder="1" applyAlignment="1">
      <alignment horizontal="left" vertical="center" wrapText="1"/>
    </xf>
    <xf numFmtId="49" fontId="31" fillId="2" borderId="3" xfId="1" applyNumberFormat="1" applyFont="1" applyFill="1" applyBorder="1" applyAlignment="1">
      <alignment horizontal="left" vertical="center"/>
    </xf>
    <xf numFmtId="43" fontId="31" fillId="0" borderId="3" xfId="1" applyNumberFormat="1" applyFont="1" applyFill="1" applyBorder="1" applyAlignment="1">
      <alignment horizontal="left" vertical="center"/>
    </xf>
    <xf numFmtId="43" fontId="31" fillId="0" borderId="8" xfId="1" applyFont="1" applyFill="1" applyBorder="1" applyAlignment="1">
      <alignment horizontal="left" vertical="center"/>
    </xf>
    <xf numFmtId="43" fontId="32" fillId="0" borderId="9" xfId="1" applyFont="1" applyFill="1" applyBorder="1" applyAlignment="1">
      <alignment horizontal="left" vertical="center"/>
    </xf>
    <xf numFmtId="43" fontId="33" fillId="0" borderId="8" xfId="1" applyFont="1" applyFill="1" applyBorder="1" applyAlignment="1">
      <alignment horizontal="left" vertical="center"/>
    </xf>
    <xf numFmtId="43" fontId="33" fillId="0" borderId="9" xfId="1" applyFont="1" applyFill="1" applyBorder="1" applyAlignment="1">
      <alignment horizontal="left" vertical="center"/>
    </xf>
    <xf numFmtId="43" fontId="33" fillId="0" borderId="0" xfId="1" applyFont="1" applyFill="1" applyBorder="1" applyAlignment="1">
      <alignment horizontal="left" vertical="center"/>
    </xf>
    <xf numFmtId="43" fontId="31" fillId="0" borderId="7" xfId="1" applyFont="1" applyFill="1" applyBorder="1" applyAlignment="1">
      <alignment horizontal="left" vertical="center"/>
    </xf>
    <xf numFmtId="43" fontId="32" fillId="0" borderId="1" xfId="1" applyFont="1" applyFill="1" applyBorder="1" applyAlignment="1">
      <alignment horizontal="left" vertical="center"/>
    </xf>
    <xf numFmtId="43" fontId="33" fillId="0" borderId="7" xfId="1" applyFont="1" applyFill="1" applyBorder="1" applyAlignment="1">
      <alignment horizontal="left" vertical="center"/>
    </xf>
    <xf numFmtId="43" fontId="33" fillId="0" borderId="1" xfId="1" applyFont="1" applyFill="1" applyBorder="1" applyAlignment="1">
      <alignment horizontal="left" vertical="center"/>
    </xf>
    <xf numFmtId="0" fontId="31" fillId="0" borderId="3" xfId="0" applyFont="1" applyFill="1" applyBorder="1" applyAlignment="1">
      <alignment horizontal="left" vertical="center"/>
    </xf>
    <xf numFmtId="49" fontId="7" fillId="0" borderId="3" xfId="2" applyNumberFormat="1" applyFont="1" applyFill="1" applyBorder="1" applyAlignment="1">
      <alignment horizontal="left" vertical="center" wrapText="1"/>
    </xf>
    <xf numFmtId="176" fontId="31" fillId="0" borderId="3" xfId="1" applyNumberFormat="1" applyFont="1" applyFill="1" applyBorder="1" applyAlignment="1">
      <alignment horizontal="left" vertical="center" wrapText="1"/>
    </xf>
    <xf numFmtId="49" fontId="31" fillId="0" borderId="3" xfId="1" applyNumberFormat="1" applyFont="1" applyFill="1" applyBorder="1" applyAlignment="1">
      <alignment horizontal="left" vertical="center" wrapText="1"/>
    </xf>
    <xf numFmtId="176" fontId="31" fillId="0" borderId="3" xfId="1" applyNumberFormat="1" applyFont="1" applyFill="1" applyBorder="1" applyAlignment="1">
      <alignment horizontal="left" vertical="center"/>
    </xf>
    <xf numFmtId="176" fontId="31" fillId="3" borderId="3" xfId="1" applyNumberFormat="1" applyFont="1" applyFill="1" applyBorder="1" applyAlignment="1">
      <alignment horizontal="left" vertical="center"/>
    </xf>
    <xf numFmtId="43" fontId="31" fillId="0" borderId="0" xfId="1" applyFont="1" applyFill="1" applyBorder="1" applyAlignment="1">
      <alignment horizontal="left" vertical="center"/>
    </xf>
    <xf numFmtId="43" fontId="32" fillId="0" borderId="0" xfId="1" applyFont="1" applyFill="1" applyBorder="1" applyAlignment="1">
      <alignment horizontal="left" vertical="center"/>
    </xf>
    <xf numFmtId="43" fontId="31" fillId="0" borderId="3" xfId="0" applyNumberFormat="1" applyFont="1" applyFill="1" applyBorder="1" applyAlignment="1">
      <alignment horizontal="left" vertical="center"/>
    </xf>
    <xf numFmtId="0" fontId="31" fillId="2" borderId="0" xfId="3" applyFont="1" applyFill="1" applyBorder="1" applyAlignment="1">
      <alignment horizontal="left" vertical="center"/>
    </xf>
    <xf numFmtId="0" fontId="31" fillId="2" borderId="0" xfId="6" applyFont="1" applyFill="1" applyBorder="1" applyAlignment="1">
      <alignment horizontal="left" vertical="center"/>
    </xf>
    <xf numFmtId="176" fontId="31" fillId="2" borderId="0" xfId="6" applyNumberFormat="1" applyFont="1" applyFill="1" applyBorder="1" applyAlignment="1">
      <alignment horizontal="left" vertical="center" wrapText="1"/>
    </xf>
    <xf numFmtId="49" fontId="31" fillId="2" borderId="0" xfId="1" applyNumberFormat="1" applyFont="1" applyFill="1" applyBorder="1" applyAlignment="1">
      <alignment horizontal="left" vertical="center"/>
    </xf>
    <xf numFmtId="176" fontId="31" fillId="2" borderId="0" xfId="1" applyNumberFormat="1" applyFont="1" applyFill="1" applyBorder="1" applyAlignment="1">
      <alignment horizontal="left" vertical="center"/>
    </xf>
    <xf numFmtId="176" fontId="31" fillId="2" borderId="0" xfId="0" applyNumberFormat="1" applyFont="1" applyFill="1" applyBorder="1" applyAlignment="1">
      <alignment horizontal="left" vertical="center"/>
    </xf>
    <xf numFmtId="43" fontId="31" fillId="2" borderId="0" xfId="0" applyNumberFormat="1" applyFont="1" applyFill="1" applyBorder="1" applyAlignment="1">
      <alignment horizontal="left" vertical="center"/>
    </xf>
    <xf numFmtId="0" fontId="36" fillId="0" borderId="0" xfId="0" applyFont="1" applyAlignment="1" applyProtection="1">
      <alignment horizontal="left"/>
      <protection hidden="1"/>
    </xf>
    <xf numFmtId="49" fontId="34" fillId="2" borderId="0" xfId="0" applyNumberFormat="1" applyFont="1" applyFill="1" applyBorder="1" applyAlignment="1">
      <alignment horizontal="left" vertical="center"/>
    </xf>
    <xf numFmtId="176" fontId="31" fillId="2" borderId="0" xfId="1" applyNumberFormat="1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left" vertical="center"/>
    </xf>
    <xf numFmtId="0" fontId="34" fillId="2" borderId="3" xfId="0" applyFont="1" applyFill="1" applyBorder="1" applyAlignment="1">
      <alignment horizontal="left" vertical="center"/>
    </xf>
    <xf numFmtId="49" fontId="34" fillId="2" borderId="0" xfId="0" applyNumberFormat="1" applyFont="1" applyFill="1" applyAlignment="1">
      <alignment horizontal="left" vertical="center"/>
    </xf>
    <xf numFmtId="176" fontId="31" fillId="2" borderId="0" xfId="1" applyNumberFormat="1" applyFont="1" applyFill="1" applyAlignment="1">
      <alignment horizontal="left" vertical="center" wrapText="1"/>
    </xf>
    <xf numFmtId="49" fontId="31" fillId="2" borderId="0" xfId="1" applyNumberFormat="1" applyFont="1" applyFill="1" applyAlignment="1">
      <alignment horizontal="left" vertical="center"/>
    </xf>
    <xf numFmtId="176" fontId="31" fillId="2" borderId="0" xfId="1" applyNumberFormat="1" applyFont="1" applyFill="1" applyAlignment="1">
      <alignment horizontal="left" vertical="center"/>
    </xf>
    <xf numFmtId="176" fontId="31" fillId="2" borderId="0" xfId="0" applyNumberFormat="1" applyFont="1" applyFill="1" applyAlignment="1">
      <alignment horizontal="left" vertical="center"/>
    </xf>
    <xf numFmtId="0" fontId="41" fillId="2" borderId="0" xfId="0" applyFont="1" applyFill="1" applyAlignment="1">
      <alignment horizontal="left" vertical="center"/>
    </xf>
    <xf numFmtId="4" fontId="31" fillId="0" borderId="3" xfId="3" applyNumberFormat="1" applyFont="1" applyFill="1" applyBorder="1" applyAlignment="1">
      <alignment horizontal="left" vertical="center"/>
    </xf>
    <xf numFmtId="4" fontId="31" fillId="2" borderId="3" xfId="3" applyNumberFormat="1" applyFont="1" applyFill="1" applyBorder="1" applyAlignment="1">
      <alignment horizontal="left" vertical="center"/>
    </xf>
    <xf numFmtId="4" fontId="31" fillId="5" borderId="3" xfId="3" applyNumberFormat="1" applyFont="1" applyFill="1" applyBorder="1" applyAlignment="1">
      <alignment horizontal="left" vertical="center"/>
    </xf>
    <xf numFmtId="176" fontId="31" fillId="2" borderId="4" xfId="1" applyNumberFormat="1" applyFont="1" applyFill="1" applyBorder="1" applyAlignment="1">
      <alignment horizontal="left" vertical="center"/>
    </xf>
    <xf numFmtId="43" fontId="31" fillId="0" borderId="1" xfId="1" applyFont="1" applyFill="1" applyBorder="1" applyAlignment="1">
      <alignment horizontal="left" vertical="center"/>
    </xf>
    <xf numFmtId="176" fontId="31" fillId="2" borderId="6" xfId="1" applyNumberFormat="1" applyFont="1" applyFill="1" applyBorder="1" applyAlignment="1">
      <alignment horizontal="left" vertical="center"/>
    </xf>
    <xf numFmtId="43" fontId="31" fillId="0" borderId="9" xfId="1" applyFont="1" applyFill="1" applyBorder="1" applyAlignment="1">
      <alignment horizontal="left" vertical="center"/>
    </xf>
    <xf numFmtId="0" fontId="30" fillId="0" borderId="3" xfId="3" applyFont="1" applyFill="1" applyBorder="1" applyAlignment="1">
      <alignment horizontal="left" vertical="center" wrapText="1"/>
    </xf>
    <xf numFmtId="176" fontId="31" fillId="0" borderId="3" xfId="6" applyNumberFormat="1" applyFont="1" applyFill="1" applyBorder="1" applyAlignment="1">
      <alignment horizontal="left" vertical="center" wrapText="1"/>
    </xf>
    <xf numFmtId="49" fontId="31" fillId="0" borderId="3" xfId="1" applyNumberFormat="1" applyFont="1" applyFill="1" applyBorder="1" applyAlignment="1">
      <alignment horizontal="left" vertical="center"/>
    </xf>
    <xf numFmtId="176" fontId="31" fillId="0" borderId="3" xfId="0" applyNumberFormat="1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left" vertical="center"/>
    </xf>
    <xf numFmtId="0" fontId="31" fillId="0" borderId="11" xfId="0" applyFont="1" applyFill="1" applyBorder="1" applyAlignment="1">
      <alignment horizontal="left" vertical="center"/>
    </xf>
    <xf numFmtId="0" fontId="31" fillId="0" borderId="17" xfId="0" applyFont="1" applyFill="1" applyBorder="1" applyAlignment="1">
      <alignment horizontal="left" vertical="center"/>
    </xf>
    <xf numFmtId="0" fontId="7" fillId="0" borderId="18" xfId="3" applyFont="1" applyFill="1" applyBorder="1" applyAlignment="1">
      <alignment horizontal="left" vertical="center" wrapText="1"/>
    </xf>
    <xf numFmtId="176" fontId="31" fillId="0" borderId="11" xfId="6" applyNumberFormat="1" applyFont="1" applyFill="1" applyBorder="1" applyAlignment="1">
      <alignment horizontal="left" vertical="center" wrapText="1"/>
    </xf>
    <xf numFmtId="176" fontId="31" fillId="3" borderId="3" xfId="0" applyNumberFormat="1" applyFont="1" applyFill="1" applyBorder="1" applyAlignment="1">
      <alignment horizontal="left" vertical="center"/>
    </xf>
    <xf numFmtId="43" fontId="31" fillId="0" borderId="0" xfId="0" applyNumberFormat="1" applyFont="1" applyFill="1" applyBorder="1" applyAlignment="1">
      <alignment horizontal="left" vertical="center"/>
    </xf>
    <xf numFmtId="49" fontId="31" fillId="2" borderId="0" xfId="0" applyNumberFormat="1" applyFont="1" applyFill="1" applyBorder="1" applyAlignment="1">
      <alignment horizontal="left" vertical="center"/>
    </xf>
    <xf numFmtId="49" fontId="31" fillId="2" borderId="0" xfId="0" applyNumberFormat="1" applyFont="1" applyFill="1" applyAlignment="1">
      <alignment horizontal="left" vertical="center"/>
    </xf>
    <xf numFmtId="176" fontId="7" fillId="2" borderId="3" xfId="1" applyNumberFormat="1" applyFont="1" applyFill="1" applyBorder="1" applyAlignment="1">
      <alignment horizontal="left" vertical="center"/>
    </xf>
    <xf numFmtId="176" fontId="7" fillId="2" borderId="3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6" fillId="2" borderId="0" xfId="3" applyFont="1" applyFill="1" applyBorder="1" applyAlignment="1">
      <alignment horizontal="left" vertical="center"/>
    </xf>
    <xf numFmtId="0" fontId="6" fillId="2" borderId="0" xfId="6" applyFont="1" applyFill="1" applyBorder="1" applyAlignment="1">
      <alignment horizontal="left" vertical="center"/>
    </xf>
    <xf numFmtId="176" fontId="6" fillId="2" borderId="0" xfId="6" applyNumberFormat="1" applyFont="1" applyFill="1" applyBorder="1" applyAlignment="1">
      <alignment horizontal="left" vertical="center" wrapText="1"/>
    </xf>
    <xf numFmtId="14" fontId="12" fillId="2" borderId="0" xfId="0" applyNumberFormat="1" applyFont="1" applyFill="1" applyBorder="1" applyAlignment="1">
      <alignment horizontal="left" vertical="center"/>
    </xf>
    <xf numFmtId="14" fontId="6" fillId="2" borderId="0" xfId="0" applyNumberFormat="1" applyFont="1" applyFill="1" applyAlignment="1">
      <alignment horizontal="left" vertical="center"/>
    </xf>
    <xf numFmtId="14" fontId="9" fillId="2" borderId="0" xfId="0" applyNumberFormat="1" applyFont="1" applyFill="1" applyAlignment="1">
      <alignment horizontal="left" vertical="center"/>
    </xf>
    <xf numFmtId="14" fontId="12" fillId="2" borderId="0" xfId="0" applyNumberFormat="1" applyFont="1" applyFill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10" fontId="24" fillId="0" borderId="3" xfId="1" applyNumberFormat="1" applyFont="1" applyBorder="1" applyAlignment="1" applyProtection="1">
      <alignment horizontal="left" vertical="center"/>
    </xf>
    <xf numFmtId="179" fontId="24" fillId="0" borderId="3" xfId="1" applyNumberFormat="1" applyFont="1" applyBorder="1" applyAlignment="1" applyProtection="1">
      <alignment horizontal="left" vertical="center"/>
      <protection hidden="1"/>
    </xf>
    <xf numFmtId="10" fontId="24" fillId="0" borderId="3" xfId="1" applyNumberFormat="1" applyFont="1" applyFill="1" applyBorder="1" applyAlignment="1" applyProtection="1">
      <alignment horizontal="left"/>
    </xf>
    <xf numFmtId="179" fontId="24" fillId="0" borderId="3" xfId="1" applyNumberFormat="1" applyFont="1" applyFill="1" applyBorder="1" applyAlignment="1" applyProtection="1">
      <alignment horizontal="left"/>
      <protection hidden="1"/>
    </xf>
    <xf numFmtId="10" fontId="24" fillId="5" borderId="3" xfId="1" applyNumberFormat="1" applyFont="1" applyFill="1" applyBorder="1" applyAlignment="1" applyProtection="1">
      <alignment horizontal="left" vertical="center"/>
    </xf>
    <xf numFmtId="0" fontId="6" fillId="2" borderId="2" xfId="0" applyFont="1" applyFill="1" applyBorder="1" applyAlignment="1">
      <alignment horizontal="left" vertical="center"/>
    </xf>
    <xf numFmtId="176" fontId="6" fillId="0" borderId="3" xfId="1" applyNumberFormat="1" applyFont="1" applyFill="1" applyBorder="1" applyAlignment="1">
      <alignment horizontal="left" vertical="center"/>
    </xf>
    <xf numFmtId="43" fontId="10" fillId="2" borderId="0" xfId="1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176" fontId="6" fillId="0" borderId="10" xfId="1" applyNumberFormat="1" applyFont="1" applyFill="1" applyBorder="1" applyAlignment="1">
      <alignment horizontal="left" vertical="center" wrapText="1"/>
    </xf>
    <xf numFmtId="49" fontId="6" fillId="0" borderId="10" xfId="1" applyNumberFormat="1" applyFont="1" applyFill="1" applyBorder="1" applyAlignment="1">
      <alignment horizontal="left" vertical="center" wrapText="1"/>
    </xf>
    <xf numFmtId="176" fontId="14" fillId="2" borderId="3" xfId="5" applyNumberFormat="1" applyFont="1" applyFill="1" applyBorder="1" applyAlignment="1">
      <alignment horizontal="left" vertical="center"/>
    </xf>
    <xf numFmtId="178" fontId="14" fillId="0" borderId="3" xfId="1" applyNumberFormat="1" applyFont="1" applyFill="1" applyBorder="1" applyAlignment="1">
      <alignment horizontal="left" vertical="center"/>
    </xf>
    <xf numFmtId="178" fontId="14" fillId="2" borderId="3" xfId="1" applyNumberFormat="1" applyFont="1" applyFill="1" applyBorder="1" applyAlignment="1">
      <alignment horizontal="left" vertical="center"/>
    </xf>
    <xf numFmtId="178" fontId="14" fillId="5" borderId="3" xfId="1" applyNumberFormat="1" applyFont="1" applyFill="1" applyBorder="1" applyAlignment="1">
      <alignment horizontal="left" vertical="center"/>
    </xf>
    <xf numFmtId="176" fontId="6" fillId="2" borderId="4" xfId="1" applyNumberFormat="1" applyFont="1" applyFill="1" applyBorder="1" applyAlignment="1">
      <alignment horizontal="left" vertical="center"/>
    </xf>
    <xf numFmtId="43" fontId="6" fillId="0" borderId="7" xfId="1" applyFont="1" applyFill="1" applyBorder="1" applyAlignment="1">
      <alignment horizontal="left" vertical="center"/>
    </xf>
    <xf numFmtId="43" fontId="10" fillId="0" borderId="7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6" fillId="0" borderId="3" xfId="1" applyNumberFormat="1" applyFont="1" applyFill="1" applyBorder="1" applyAlignment="1">
      <alignment horizontal="left" vertical="center"/>
    </xf>
    <xf numFmtId="176" fontId="6" fillId="2" borderId="6" xfId="1" applyNumberFormat="1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4" fontId="14" fillId="2" borderId="3" xfId="3" applyNumberFormat="1" applyFont="1" applyFill="1" applyBorder="1" applyAlignment="1">
      <alignment horizontal="left" vertical="center"/>
    </xf>
    <xf numFmtId="43" fontId="6" fillId="0" borderId="4" xfId="1" applyFont="1" applyFill="1" applyBorder="1" applyAlignment="1">
      <alignment horizontal="left" vertical="center"/>
    </xf>
    <xf numFmtId="43" fontId="6" fillId="0" borderId="5" xfId="1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176" fontId="14" fillId="2" borderId="10" xfId="5" applyNumberFormat="1" applyFont="1" applyFill="1" applyBorder="1" applyAlignment="1">
      <alignment horizontal="left" vertical="center" wrapText="1"/>
    </xf>
    <xf numFmtId="49" fontId="6" fillId="2" borderId="10" xfId="1" applyNumberFormat="1" applyFont="1" applyFill="1" applyBorder="1" applyAlignment="1">
      <alignment horizontal="left" vertical="center"/>
    </xf>
    <xf numFmtId="43" fontId="6" fillId="0" borderId="16" xfId="1" applyNumberFormat="1" applyFont="1" applyFill="1" applyBorder="1" applyAlignment="1">
      <alignment horizontal="left" vertical="center"/>
    </xf>
    <xf numFmtId="176" fontId="14" fillId="0" borderId="3" xfId="5" applyNumberFormat="1" applyFont="1" applyFill="1" applyBorder="1" applyAlignment="1">
      <alignment horizontal="left" vertical="center"/>
    </xf>
    <xf numFmtId="176" fontId="6" fillId="0" borderId="3" xfId="0" applyNumberFormat="1" applyFont="1" applyFill="1" applyBorder="1" applyAlignment="1">
      <alignment horizontal="left" vertical="center"/>
    </xf>
    <xf numFmtId="176" fontId="6" fillId="5" borderId="3" xfId="0" applyNumberFormat="1" applyFont="1" applyFill="1" applyBorder="1" applyAlignment="1">
      <alignment horizontal="left" vertical="center"/>
    </xf>
    <xf numFmtId="43" fontId="14" fillId="2" borderId="3" xfId="1" applyNumberFormat="1" applyFont="1" applyFill="1" applyBorder="1" applyAlignment="1">
      <alignment horizontal="left" vertical="center"/>
    </xf>
    <xf numFmtId="43" fontId="14" fillId="5" borderId="3" xfId="1" applyNumberFormat="1" applyFont="1" applyFill="1" applyBorder="1" applyAlignment="1">
      <alignment horizontal="left" vertical="center"/>
    </xf>
    <xf numFmtId="176" fontId="14" fillId="2" borderId="10" xfId="6" applyNumberFormat="1" applyFont="1" applyFill="1" applyBorder="1" applyAlignment="1">
      <alignment horizontal="left" vertical="center" wrapText="1"/>
    </xf>
    <xf numFmtId="176" fontId="6" fillId="2" borderId="5" xfId="1" applyNumberFormat="1" applyFont="1" applyFill="1" applyBorder="1" applyAlignment="1">
      <alignment horizontal="left" vertical="center"/>
    </xf>
    <xf numFmtId="43" fontId="6" fillId="0" borderId="6" xfId="1" applyFont="1" applyFill="1" applyBorder="1" applyAlignment="1">
      <alignment horizontal="left" vertical="center"/>
    </xf>
    <xf numFmtId="176" fontId="6" fillId="0" borderId="16" xfId="1" applyNumberFormat="1" applyFont="1" applyFill="1" applyBorder="1" applyAlignment="1">
      <alignment horizontal="left" vertical="center" wrapText="1"/>
    </xf>
    <xf numFmtId="49" fontId="6" fillId="0" borderId="16" xfId="1" applyNumberFormat="1" applyFont="1" applyFill="1" applyBorder="1" applyAlignment="1">
      <alignment horizontal="left" vertical="center" wrapText="1"/>
    </xf>
    <xf numFmtId="176" fontId="14" fillId="0" borderId="16" xfId="5" applyNumberFormat="1" applyFont="1" applyFill="1" applyBorder="1" applyAlignment="1">
      <alignment horizontal="left" vertical="center"/>
    </xf>
    <xf numFmtId="176" fontId="6" fillId="0" borderId="16" xfId="1" applyNumberFormat="1" applyFont="1" applyFill="1" applyBorder="1" applyAlignment="1">
      <alignment horizontal="left" vertical="center"/>
    </xf>
    <xf numFmtId="0" fontId="6" fillId="2" borderId="16" xfId="0" applyFont="1" applyFill="1" applyBorder="1" applyAlignment="1">
      <alignment horizontal="left" vertical="center"/>
    </xf>
    <xf numFmtId="176" fontId="14" fillId="2" borderId="16" xfId="5" applyNumberFormat="1" applyFont="1" applyFill="1" applyBorder="1" applyAlignment="1">
      <alignment horizontal="left" vertical="center" wrapText="1"/>
    </xf>
    <xf numFmtId="49" fontId="6" fillId="2" borderId="16" xfId="1" applyNumberFormat="1" applyFont="1" applyFill="1" applyBorder="1" applyAlignment="1">
      <alignment horizontal="left" vertical="center"/>
    </xf>
    <xf numFmtId="176" fontId="14" fillId="2" borderId="16" xfId="5" applyNumberFormat="1" applyFont="1" applyFill="1" applyBorder="1" applyAlignment="1">
      <alignment horizontal="left" vertical="center"/>
    </xf>
    <xf numFmtId="4" fontId="14" fillId="2" borderId="3" xfId="5" applyNumberFormat="1" applyFont="1" applyFill="1" applyBorder="1" applyAlignment="1">
      <alignment horizontal="left" vertical="center"/>
    </xf>
    <xf numFmtId="4" fontId="6" fillId="2" borderId="3" xfId="0" applyNumberFormat="1" applyFont="1" applyFill="1" applyBorder="1" applyAlignment="1">
      <alignment horizontal="left" vertical="center"/>
    </xf>
    <xf numFmtId="176" fontId="14" fillId="2" borderId="3" xfId="5" applyNumberFormat="1" applyFont="1" applyFill="1" applyBorder="1" applyAlignment="1">
      <alignment horizontal="left" vertical="center" wrapText="1"/>
    </xf>
    <xf numFmtId="178" fontId="6" fillId="2" borderId="3" xfId="0" applyNumberFormat="1" applyFont="1" applyFill="1" applyBorder="1" applyAlignment="1">
      <alignment horizontal="left" vertical="center"/>
    </xf>
    <xf numFmtId="178" fontId="6" fillId="5" borderId="3" xfId="0" applyNumberFormat="1" applyFont="1" applyFill="1" applyBorder="1" applyAlignment="1">
      <alignment horizontal="left" vertical="center"/>
    </xf>
    <xf numFmtId="176" fontId="14" fillId="2" borderId="16" xfId="6" applyNumberFormat="1" applyFont="1" applyFill="1" applyBorder="1" applyAlignment="1">
      <alignment horizontal="left" vertical="center" wrapText="1"/>
    </xf>
    <xf numFmtId="176" fontId="6" fillId="2" borderId="16" xfId="1" applyNumberFormat="1" applyFont="1" applyFill="1" applyBorder="1" applyAlignment="1">
      <alignment horizontal="left" vertical="center"/>
    </xf>
    <xf numFmtId="176" fontId="6" fillId="2" borderId="16" xfId="0" applyNumberFormat="1" applyFont="1" applyFill="1" applyBorder="1" applyAlignment="1">
      <alignment horizontal="left" vertical="center"/>
    </xf>
    <xf numFmtId="4" fontId="14" fillId="2" borderId="3" xfId="4" applyNumberFormat="1" applyFont="1" applyFill="1" applyBorder="1" applyAlignment="1">
      <alignment horizontal="left" vertical="center"/>
    </xf>
    <xf numFmtId="4" fontId="14" fillId="5" borderId="3" xfId="4" applyNumberFormat="1" applyFont="1" applyFill="1" applyBorder="1" applyAlignment="1">
      <alignment horizontal="left" vertical="center"/>
    </xf>
    <xf numFmtId="43" fontId="6" fillId="2" borderId="0" xfId="1" applyNumberFormat="1" applyFont="1" applyFill="1" applyAlignment="1">
      <alignment horizontal="left" vertical="center"/>
    </xf>
    <xf numFmtId="43" fontId="6" fillId="0" borderId="0" xfId="1" applyNumberFormat="1" applyFont="1" applyFill="1" applyAlignment="1">
      <alignment horizontal="left" vertical="center"/>
    </xf>
    <xf numFmtId="43" fontId="6" fillId="2" borderId="0" xfId="0" applyNumberFormat="1" applyFont="1" applyFill="1" applyAlignment="1">
      <alignment horizontal="left" vertical="center"/>
    </xf>
    <xf numFmtId="0" fontId="6" fillId="0" borderId="14" xfId="0" applyFont="1" applyFill="1" applyBorder="1" applyAlignment="1">
      <alignment horizontal="left" vertical="center"/>
    </xf>
    <xf numFmtId="43" fontId="6" fillId="0" borderId="0" xfId="1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10" fontId="40" fillId="0" borderId="0" xfId="0" applyNumberFormat="1" applyFont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10" fontId="0" fillId="5" borderId="0" xfId="0" applyNumberFormat="1" applyFill="1" applyAlignment="1">
      <alignment horizontal="left" vertical="center"/>
    </xf>
    <xf numFmtId="10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2" fillId="0" borderId="3" xfId="0" applyFont="1" applyFill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49" fontId="22" fillId="0" borderId="13" xfId="0" applyNumberFormat="1" applyFont="1" applyFill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0" borderId="0" xfId="0" applyNumberFormat="1" applyAlignment="1">
      <alignment horizontal="left" vertical="center"/>
    </xf>
    <xf numFmtId="49" fontId="0" fillId="0" borderId="15" xfId="0" applyNumberFormat="1" applyFill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183" fontId="0" fillId="0" borderId="3" xfId="0" applyNumberFormat="1" applyBorder="1" applyAlignment="1">
      <alignment horizontal="left" vertical="center"/>
    </xf>
    <xf numFmtId="10" fontId="0" fillId="0" borderId="3" xfId="9" applyNumberFormat="1" applyFont="1" applyBorder="1" applyAlignment="1">
      <alignment horizontal="left" vertical="center"/>
    </xf>
    <xf numFmtId="43" fontId="0" fillId="0" borderId="3" xfId="0" applyNumberFormat="1" applyBorder="1" applyAlignment="1">
      <alignment horizontal="left" vertical="center"/>
    </xf>
    <xf numFmtId="10" fontId="0" fillId="0" borderId="3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49" fontId="0" fillId="0" borderId="3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49" fontId="7" fillId="0" borderId="18" xfId="2" applyNumberFormat="1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 shrinkToFit="1"/>
    </xf>
    <xf numFmtId="176" fontId="6" fillId="0" borderId="11" xfId="1" applyNumberFormat="1" applyFont="1" applyFill="1" applyBorder="1" applyAlignment="1">
      <alignment horizontal="left" vertical="center" wrapText="1"/>
    </xf>
    <xf numFmtId="176" fontId="6" fillId="0" borderId="3" xfId="1" applyNumberFormat="1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0" borderId="0" xfId="0" applyBorder="1" applyAlignment="1">
      <alignment horizontal="left" vertical="center"/>
    </xf>
    <xf numFmtId="43" fontId="0" fillId="0" borderId="13" xfId="0" applyNumberFormat="1" applyBorder="1" applyAlignment="1">
      <alignment vertical="center"/>
    </xf>
    <xf numFmtId="43" fontId="0" fillId="0" borderId="0" xfId="0" applyNumberFormat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0" fillId="5" borderId="3" xfId="0" applyFill="1" applyBorder="1" applyAlignment="1">
      <alignment horizontal="left" vertical="center"/>
    </xf>
    <xf numFmtId="10" fontId="39" fillId="9" borderId="3" xfId="0" applyNumberFormat="1" applyFont="1" applyFill="1" applyBorder="1" applyAlignment="1">
      <alignment horizontal="left" vertical="center"/>
    </xf>
    <xf numFmtId="43" fontId="0" fillId="0" borderId="3" xfId="0" applyNumberFormat="1" applyBorder="1" applyAlignment="1">
      <alignment vertical="center"/>
    </xf>
    <xf numFmtId="181" fontId="39" fillId="0" borderId="3" xfId="0" applyNumberFormat="1" applyFont="1" applyFill="1" applyBorder="1" applyAlignment="1">
      <alignment horizontal="left" vertical="center"/>
    </xf>
    <xf numFmtId="0" fontId="24" fillId="0" borderId="3" xfId="0" applyFont="1" applyBorder="1" applyAlignment="1" applyProtection="1">
      <alignment horizontal="center"/>
      <protection hidden="1"/>
    </xf>
    <xf numFmtId="10" fontId="24" fillId="0" borderId="3" xfId="0" applyNumberFormat="1" applyFont="1" applyBorder="1" applyAlignment="1" applyProtection="1">
      <alignment horizontal="center"/>
    </xf>
    <xf numFmtId="0" fontId="6" fillId="2" borderId="3" xfId="0" applyFont="1" applyFill="1" applyBorder="1" applyAlignment="1">
      <alignment horizontal="center" vertical="center"/>
    </xf>
    <xf numFmtId="14" fontId="23" fillId="0" borderId="3" xfId="0" applyNumberFormat="1" applyFont="1" applyBorder="1" applyAlignment="1" applyProtection="1">
      <alignment horizontal="center" vertical="center" wrapText="1"/>
      <protection hidden="1"/>
    </xf>
    <xf numFmtId="14" fontId="23" fillId="0" borderId="3" xfId="0" applyNumberFormat="1" applyFont="1" applyBorder="1" applyAlignment="1" applyProtection="1">
      <alignment horizontal="center" vertical="center" wrapText="1" shrinkToFit="1"/>
    </xf>
    <xf numFmtId="177" fontId="7" fillId="2" borderId="3" xfId="1" applyNumberFormat="1" applyFont="1" applyFill="1" applyBorder="1" applyAlignment="1">
      <alignment horizontal="center" vertical="center" wrapText="1"/>
    </xf>
    <xf numFmtId="0" fontId="23" fillId="0" borderId="3" xfId="0" applyFont="1" applyFill="1" applyBorder="1" applyAlignment="1" applyProtection="1">
      <alignment horizontal="center" vertical="center" wrapText="1"/>
      <protection hidden="1"/>
    </xf>
    <xf numFmtId="10" fontId="24" fillId="0" borderId="3" xfId="1" applyNumberFormat="1" applyFont="1" applyFill="1" applyBorder="1" applyAlignment="1" applyProtection="1">
      <alignment horizontal="center" vertical="center"/>
    </xf>
    <xf numFmtId="179" fontId="24" fillId="0" borderId="3" xfId="1" applyNumberFormat="1" applyFont="1" applyFill="1" applyBorder="1" applyAlignment="1" applyProtection="1">
      <alignment horizontal="center" vertical="center"/>
      <protection hidden="1"/>
    </xf>
    <xf numFmtId="179" fontId="6" fillId="0" borderId="3" xfId="0" applyNumberFormat="1" applyFont="1" applyFill="1" applyBorder="1" applyAlignment="1">
      <alignment horizontal="center" vertical="center"/>
    </xf>
    <xf numFmtId="179" fontId="23" fillId="0" borderId="3" xfId="1" applyNumberFormat="1" applyFont="1" applyFill="1" applyBorder="1" applyAlignment="1" applyProtection="1">
      <alignment horizontal="center" vertical="center" wrapText="1"/>
      <protection hidden="1"/>
    </xf>
    <xf numFmtId="180" fontId="23" fillId="0" borderId="3" xfId="0" applyNumberFormat="1" applyFont="1" applyFill="1" applyBorder="1" applyAlignment="1" applyProtection="1">
      <alignment horizontal="center" vertical="center" wrapText="1"/>
      <protection hidden="1"/>
    </xf>
    <xf numFmtId="179" fontId="26" fillId="0" borderId="3" xfId="1" applyNumberFormat="1" applyFont="1" applyFill="1" applyBorder="1" applyAlignment="1" applyProtection="1">
      <alignment horizontal="center" vertical="center"/>
      <protection hidden="1"/>
    </xf>
    <xf numFmtId="10" fontId="24" fillId="0" borderId="3" xfId="0" applyNumberFormat="1" applyFont="1" applyFill="1" applyBorder="1" applyAlignment="1" applyProtection="1">
      <alignment horizontal="center" vertical="center" wrapText="1"/>
    </xf>
    <xf numFmtId="180" fontId="23" fillId="0" borderId="3" xfId="0" applyNumberFormat="1" applyFont="1" applyBorder="1" applyAlignment="1" applyProtection="1">
      <alignment horizontal="center" vertical="center" wrapText="1"/>
      <protection hidden="1"/>
    </xf>
    <xf numFmtId="10" fontId="27" fillId="8" borderId="3" xfId="9" applyNumberFormat="1" applyFont="1" applyFill="1" applyBorder="1" applyAlignment="1" applyProtection="1">
      <alignment horizontal="center" vertical="center" wrapText="1"/>
    </xf>
    <xf numFmtId="10" fontId="23" fillId="0" borderId="3" xfId="0" applyNumberFormat="1" applyFont="1" applyBorder="1" applyAlignment="1" applyProtection="1">
      <alignment horizontal="center" vertical="center" wrapText="1"/>
    </xf>
    <xf numFmtId="182" fontId="23" fillId="0" borderId="3" xfId="0" applyNumberFormat="1" applyFont="1" applyBorder="1" applyAlignment="1" applyProtection="1">
      <alignment horizontal="center" vertical="center" wrapText="1"/>
      <protection hidden="1"/>
    </xf>
    <xf numFmtId="0" fontId="31" fillId="2" borderId="3" xfId="0" applyFont="1" applyFill="1" applyBorder="1" applyAlignment="1">
      <alignment horizontal="left" vertical="center"/>
    </xf>
    <xf numFmtId="177" fontId="30" fillId="2" borderId="3" xfId="1" applyNumberFormat="1" applyFont="1" applyFill="1" applyBorder="1" applyAlignment="1">
      <alignment horizontal="left" vertical="center" wrapText="1"/>
    </xf>
    <xf numFmtId="176" fontId="6" fillId="2" borderId="3" xfId="1" applyNumberFormat="1" applyFont="1" applyFill="1" applyBorder="1" applyAlignment="1">
      <alignment horizontal="left" vertical="center"/>
    </xf>
    <xf numFmtId="176" fontId="6" fillId="0" borderId="3" xfId="1" applyNumberFormat="1" applyFont="1" applyFill="1" applyBorder="1" applyAlignment="1">
      <alignment horizontal="left" vertical="center"/>
    </xf>
    <xf numFmtId="43" fontId="6" fillId="0" borderId="3" xfId="1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49" fontId="7" fillId="0" borderId="3" xfId="2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 shrinkToFit="1"/>
    </xf>
    <xf numFmtId="176" fontId="6" fillId="0" borderId="3" xfId="1" applyNumberFormat="1" applyFont="1" applyFill="1" applyBorder="1" applyAlignment="1">
      <alignment horizontal="left" vertical="center" wrapText="1"/>
    </xf>
    <xf numFmtId="49" fontId="6" fillId="0" borderId="3" xfId="1" applyNumberFormat="1" applyFont="1" applyFill="1" applyBorder="1" applyAlignment="1">
      <alignment horizontal="left" vertical="center" wrapText="1"/>
    </xf>
    <xf numFmtId="177" fontId="30" fillId="2" borderId="3" xfId="1" applyNumberFormat="1" applyFont="1" applyFill="1" applyBorder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/>
    </xf>
    <xf numFmtId="176" fontId="31" fillId="2" borderId="3" xfId="1" applyNumberFormat="1" applyFont="1" applyFill="1" applyBorder="1" applyAlignment="1">
      <alignment horizontal="left" vertical="center"/>
    </xf>
    <xf numFmtId="176" fontId="31" fillId="0" borderId="3" xfId="1" applyNumberFormat="1" applyFont="1" applyFill="1" applyBorder="1" applyAlignment="1">
      <alignment horizontal="left" vertical="center"/>
    </xf>
    <xf numFmtId="176" fontId="6" fillId="2" borderId="3" xfId="1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177" fontId="7" fillId="2" borderId="3" xfId="1" applyNumberFormat="1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/>
    </xf>
    <xf numFmtId="43" fontId="9" fillId="0" borderId="0" xfId="1" applyFont="1" applyFill="1" applyBorder="1" applyAlignment="1">
      <alignment horizontal="left" vertical="center"/>
    </xf>
    <xf numFmtId="43" fontId="6" fillId="0" borderId="0" xfId="0" applyNumberFormat="1" applyFont="1" applyFill="1" applyBorder="1" applyAlignment="1">
      <alignment horizontal="left" vertical="center"/>
    </xf>
    <xf numFmtId="43" fontId="9" fillId="2" borderId="0" xfId="0" applyNumberFormat="1" applyFont="1" applyFill="1" applyBorder="1" applyAlignment="1">
      <alignment horizontal="left" vertical="center"/>
    </xf>
    <xf numFmtId="0" fontId="43" fillId="6" borderId="0" xfId="0" applyFont="1" applyFill="1" applyAlignment="1">
      <alignment horizontal="left" vertical="center"/>
    </xf>
    <xf numFmtId="176" fontId="6" fillId="3" borderId="3" xfId="1" applyNumberFormat="1" applyFont="1" applyFill="1" applyBorder="1" applyAlignment="1">
      <alignment horizontal="left" vertical="center"/>
    </xf>
    <xf numFmtId="14" fontId="0" fillId="0" borderId="0" xfId="0" applyNumberFormat="1" applyAlignment="1">
      <alignment horizontal="left" vertical="center"/>
    </xf>
    <xf numFmtId="0" fontId="31" fillId="0" borderId="3" xfId="0" applyFont="1" applyFill="1" applyBorder="1" applyAlignment="1">
      <alignment horizontal="center" vertical="center"/>
    </xf>
    <xf numFmtId="43" fontId="31" fillId="2" borderId="3" xfId="0" applyNumberFormat="1" applyFont="1" applyFill="1" applyBorder="1" applyAlignment="1">
      <alignment horizontal="center" vertical="center"/>
    </xf>
    <xf numFmtId="43" fontId="31" fillId="2" borderId="0" xfId="0" applyNumberFormat="1" applyFont="1" applyFill="1" applyBorder="1" applyAlignment="1">
      <alignment horizontal="center" vertical="center"/>
    </xf>
    <xf numFmtId="177" fontId="30" fillId="2" borderId="3" xfId="1" applyNumberFormat="1" applyFont="1" applyFill="1" applyBorder="1" applyAlignment="1">
      <alignment horizontal="center" vertical="center" wrapText="1"/>
    </xf>
    <xf numFmtId="179" fontId="36" fillId="0" borderId="3" xfId="1" applyNumberFormat="1" applyFont="1" applyFill="1" applyBorder="1" applyAlignment="1" applyProtection="1">
      <alignment horizontal="center" vertical="center"/>
      <protection hidden="1"/>
    </xf>
    <xf numFmtId="179" fontId="36" fillId="0" borderId="3" xfId="1" applyNumberFormat="1" applyFont="1" applyBorder="1" applyAlignment="1" applyProtection="1">
      <alignment horizontal="center" vertical="center"/>
      <protection hidden="1"/>
    </xf>
    <xf numFmtId="179" fontId="36" fillId="0" borderId="3" xfId="1" applyNumberFormat="1" applyFont="1" applyFill="1" applyBorder="1" applyAlignment="1" applyProtection="1">
      <alignment horizontal="center"/>
      <protection hidden="1"/>
    </xf>
    <xf numFmtId="179" fontId="37" fillId="0" borderId="3" xfId="1" applyNumberFormat="1" applyFont="1" applyFill="1" applyBorder="1" applyAlignment="1" applyProtection="1">
      <alignment horizontal="center" vertical="center"/>
      <protection hidden="1"/>
    </xf>
    <xf numFmtId="0" fontId="31" fillId="2" borderId="0" xfId="0" applyFont="1" applyFill="1" applyBorder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176" fontId="30" fillId="0" borderId="3" xfId="1" applyNumberFormat="1" applyFont="1" applyFill="1" applyBorder="1" applyAlignment="1">
      <alignment horizontal="left" vertical="center"/>
    </xf>
    <xf numFmtId="176" fontId="30" fillId="0" borderId="3" xfId="0" applyNumberFormat="1" applyFont="1" applyFill="1" applyBorder="1" applyAlignment="1">
      <alignment horizontal="left" vertical="center"/>
    </xf>
    <xf numFmtId="0" fontId="30" fillId="0" borderId="0" xfId="0" applyFont="1" applyFill="1" applyAlignment="1">
      <alignment horizontal="left" vertical="center"/>
    </xf>
    <xf numFmtId="179" fontId="6" fillId="2" borderId="3" xfId="0" applyNumberFormat="1" applyFont="1" applyFill="1" applyBorder="1" applyAlignment="1">
      <alignment horizontal="left" vertical="center"/>
    </xf>
    <xf numFmtId="180" fontId="35" fillId="0" borderId="16" xfId="0" applyNumberFormat="1" applyFont="1" applyBorder="1" applyAlignment="1" applyProtection="1">
      <alignment horizontal="left" vertical="center" wrapText="1"/>
      <protection hidden="1"/>
    </xf>
    <xf numFmtId="10" fontId="35" fillId="0" borderId="16" xfId="0" applyNumberFormat="1" applyFont="1" applyBorder="1" applyAlignment="1" applyProtection="1">
      <alignment horizontal="left" vertical="center" wrapText="1"/>
    </xf>
    <xf numFmtId="182" fontId="35" fillId="0" borderId="16" xfId="0" applyNumberFormat="1" applyFont="1" applyBorder="1" applyAlignment="1" applyProtection="1">
      <alignment horizontal="left" vertical="center" wrapText="1"/>
      <protection hidden="1"/>
    </xf>
    <xf numFmtId="180" fontId="35" fillId="0" borderId="16" xfId="0" applyNumberFormat="1" applyFont="1" applyBorder="1" applyAlignment="1" applyProtection="1">
      <alignment horizontal="center" vertical="center" wrapText="1"/>
      <protection hidden="1"/>
    </xf>
    <xf numFmtId="0" fontId="31" fillId="2" borderId="16" xfId="0" applyFont="1" applyFill="1" applyBorder="1" applyAlignment="1">
      <alignment horizontal="left" vertical="center"/>
    </xf>
    <xf numFmtId="180" fontId="31" fillId="2" borderId="3" xfId="0" applyNumberFormat="1" applyFont="1" applyFill="1" applyBorder="1" applyAlignment="1">
      <alignment horizontal="left" vertical="center"/>
    </xf>
    <xf numFmtId="180" fontId="35" fillId="0" borderId="3" xfId="0" applyNumberFormat="1" applyFont="1" applyBorder="1" applyAlignment="1" applyProtection="1">
      <alignment horizontal="left" vertical="center" wrapText="1"/>
    </xf>
    <xf numFmtId="184" fontId="31" fillId="2" borderId="0" xfId="6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shrinkToFit="1"/>
    </xf>
    <xf numFmtId="180" fontId="6" fillId="2" borderId="3" xfId="0" applyNumberFormat="1" applyFont="1" applyFill="1" applyBorder="1" applyAlignment="1">
      <alignment horizontal="left" vertical="center"/>
    </xf>
    <xf numFmtId="0" fontId="6" fillId="2" borderId="0" xfId="1" applyNumberFormat="1" applyFont="1" applyFill="1" applyBorder="1" applyAlignment="1">
      <alignment horizontal="left" vertical="center"/>
    </xf>
    <xf numFmtId="179" fontId="35" fillId="0" borderId="3" xfId="0" applyNumberFormat="1" applyFont="1" applyBorder="1" applyAlignment="1" applyProtection="1">
      <alignment horizontal="left" vertical="center" wrapText="1"/>
    </xf>
    <xf numFmtId="0" fontId="44" fillId="0" borderId="3" xfId="0" applyFont="1" applyBorder="1">
      <alignment vertical="center"/>
    </xf>
    <xf numFmtId="0" fontId="44" fillId="0" borderId="0" xfId="0" applyFont="1">
      <alignment vertical="center"/>
    </xf>
    <xf numFmtId="0" fontId="44" fillId="0" borderId="0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44" fillId="0" borderId="0" xfId="0" applyFont="1" applyBorder="1">
      <alignment vertical="center"/>
    </xf>
    <xf numFmtId="0" fontId="44" fillId="0" borderId="3" xfId="0" applyFont="1" applyBorder="1" applyAlignment="1">
      <alignment horizontal="center" vertical="center"/>
    </xf>
    <xf numFmtId="0" fontId="44" fillId="0" borderId="3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/>
    </xf>
    <xf numFmtId="180" fontId="23" fillId="0" borderId="3" xfId="0" applyNumberFormat="1" applyFont="1" applyBorder="1" applyAlignment="1" applyProtection="1">
      <alignment horizontal="left" vertical="center" wrapText="1"/>
    </xf>
    <xf numFmtId="180" fontId="35" fillId="0" borderId="17" xfId="0" applyNumberFormat="1" applyFont="1" applyBorder="1" applyAlignment="1" applyProtection="1">
      <alignment horizontal="left" vertical="center" wrapText="1"/>
      <protection hidden="1"/>
    </xf>
    <xf numFmtId="180" fontId="35" fillId="0" borderId="18" xfId="0" applyNumberFormat="1" applyFont="1" applyBorder="1" applyAlignment="1" applyProtection="1">
      <alignment horizontal="left" vertical="center" wrapText="1"/>
      <protection hidden="1"/>
    </xf>
    <xf numFmtId="180" fontId="35" fillId="0" borderId="11" xfId="0" applyNumberFormat="1" applyFont="1" applyBorder="1" applyAlignment="1" applyProtection="1">
      <alignment horizontal="left" vertical="center" wrapText="1"/>
      <protection hidden="1"/>
    </xf>
    <xf numFmtId="0" fontId="35" fillId="0" borderId="3" xfId="0" applyFont="1" applyBorder="1" applyAlignment="1" applyProtection="1">
      <alignment horizontal="left"/>
      <protection hidden="1"/>
    </xf>
    <xf numFmtId="180" fontId="36" fillId="0" borderId="17" xfId="0" applyNumberFormat="1" applyFont="1" applyFill="1" applyBorder="1" applyAlignment="1" applyProtection="1">
      <alignment horizontal="left" vertical="center" wrapText="1"/>
      <protection hidden="1"/>
    </xf>
    <xf numFmtId="180" fontId="36" fillId="0" borderId="18" xfId="0" applyNumberFormat="1" applyFont="1" applyFill="1" applyBorder="1" applyAlignment="1" applyProtection="1">
      <alignment horizontal="left" vertical="center" wrapText="1"/>
      <protection hidden="1"/>
    </xf>
    <xf numFmtId="180" fontId="36" fillId="0" borderId="11" xfId="0" applyNumberFormat="1" applyFont="1" applyFill="1" applyBorder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left"/>
      <protection hidden="1"/>
    </xf>
    <xf numFmtId="177" fontId="30" fillId="2" borderId="3" xfId="1" applyNumberFormat="1" applyFont="1" applyFill="1" applyBorder="1" applyAlignment="1">
      <alignment horizontal="left" vertical="center" wrapText="1"/>
    </xf>
    <xf numFmtId="49" fontId="31" fillId="2" borderId="3" xfId="1" applyNumberFormat="1" applyFont="1" applyFill="1" applyBorder="1" applyAlignment="1">
      <alignment horizontal="left" vertical="center" wrapText="1"/>
    </xf>
    <xf numFmtId="176" fontId="31" fillId="2" borderId="3" xfId="1" applyNumberFormat="1" applyFont="1" applyFill="1" applyBorder="1" applyAlignment="1">
      <alignment horizontal="left" vertical="center"/>
    </xf>
    <xf numFmtId="0" fontId="30" fillId="2" borderId="3" xfId="0" applyFont="1" applyFill="1" applyBorder="1" applyAlignment="1">
      <alignment horizontal="left" vertical="center" wrapText="1" shrinkToFit="1"/>
    </xf>
    <xf numFmtId="176" fontId="31" fillId="2" borderId="3" xfId="1" applyNumberFormat="1" applyFont="1" applyFill="1" applyBorder="1" applyAlignment="1">
      <alignment horizontal="left" vertical="center" wrapText="1"/>
    </xf>
    <xf numFmtId="0" fontId="31" fillId="2" borderId="3" xfId="0" applyFont="1" applyFill="1" applyBorder="1" applyAlignment="1">
      <alignment horizontal="left" vertical="center"/>
    </xf>
    <xf numFmtId="43" fontId="28" fillId="2" borderId="3" xfId="1" applyFont="1" applyFill="1" applyBorder="1" applyAlignment="1">
      <alignment horizontal="left" vertical="center"/>
    </xf>
    <xf numFmtId="177" fontId="30" fillId="7" borderId="3" xfId="1" applyNumberFormat="1" applyFont="1" applyFill="1" applyBorder="1" applyAlignment="1">
      <alignment horizontal="left" vertical="center" wrapText="1"/>
    </xf>
    <xf numFmtId="43" fontId="31" fillId="2" borderId="3" xfId="1" applyNumberFormat="1" applyFont="1" applyFill="1" applyBorder="1" applyAlignment="1">
      <alignment horizontal="left" vertical="center"/>
    </xf>
    <xf numFmtId="49" fontId="30" fillId="2" borderId="3" xfId="2" applyNumberFormat="1" applyFont="1" applyFill="1" applyBorder="1" applyAlignment="1">
      <alignment horizontal="left" vertical="center" wrapText="1"/>
    </xf>
    <xf numFmtId="176" fontId="30" fillId="2" borderId="3" xfId="1" applyNumberFormat="1" applyFont="1" applyFill="1" applyBorder="1" applyAlignment="1">
      <alignment horizontal="left" vertical="center" wrapText="1"/>
    </xf>
    <xf numFmtId="0" fontId="30" fillId="2" borderId="3" xfId="0" applyFont="1" applyFill="1" applyBorder="1" applyAlignment="1">
      <alignment horizontal="left" vertical="center" wrapText="1"/>
    </xf>
    <xf numFmtId="177" fontId="29" fillId="2" borderId="3" xfId="1" applyNumberFormat="1" applyFont="1" applyFill="1" applyBorder="1" applyAlignment="1">
      <alignment horizontal="left" vertical="center" wrapText="1"/>
    </xf>
    <xf numFmtId="177" fontId="30" fillId="0" borderId="3" xfId="1" applyNumberFormat="1" applyFont="1" applyFill="1" applyBorder="1" applyAlignment="1">
      <alignment horizontal="left" vertical="center" wrapText="1"/>
    </xf>
    <xf numFmtId="49" fontId="29" fillId="2" borderId="3" xfId="0" applyNumberFormat="1" applyFont="1" applyFill="1" applyBorder="1" applyAlignment="1">
      <alignment horizontal="left" vertical="center"/>
    </xf>
    <xf numFmtId="0" fontId="29" fillId="2" borderId="3" xfId="0" applyFont="1" applyFill="1" applyBorder="1" applyAlignment="1">
      <alignment horizontal="left" vertical="center" shrinkToFit="1"/>
    </xf>
    <xf numFmtId="49" fontId="30" fillId="2" borderId="3" xfId="1" applyNumberFormat="1" applyFont="1" applyFill="1" applyBorder="1" applyAlignment="1">
      <alignment horizontal="left" vertical="center" wrapText="1"/>
    </xf>
    <xf numFmtId="49" fontId="30" fillId="0" borderId="3" xfId="2" applyNumberFormat="1" applyFont="1" applyFill="1" applyBorder="1" applyAlignment="1">
      <alignment horizontal="left" vertical="center" wrapText="1"/>
    </xf>
    <xf numFmtId="176" fontId="31" fillId="2" borderId="16" xfId="6" applyNumberFormat="1" applyFont="1" applyFill="1" applyBorder="1" applyAlignment="1">
      <alignment horizontal="left" vertical="center" wrapText="1"/>
    </xf>
    <xf numFmtId="176" fontId="31" fillId="2" borderId="10" xfId="6" applyNumberFormat="1" applyFont="1" applyFill="1" applyBorder="1" applyAlignment="1">
      <alignment horizontal="left" vertical="center" wrapText="1"/>
    </xf>
    <xf numFmtId="49" fontId="31" fillId="2" borderId="16" xfId="1" applyNumberFormat="1" applyFont="1" applyFill="1" applyBorder="1" applyAlignment="1">
      <alignment horizontal="left" vertical="center"/>
    </xf>
    <xf numFmtId="49" fontId="31" fillId="2" borderId="10" xfId="1" applyNumberFormat="1" applyFont="1" applyFill="1" applyBorder="1" applyAlignment="1">
      <alignment horizontal="left" vertical="center"/>
    </xf>
    <xf numFmtId="176" fontId="31" fillId="2" borderId="16" xfId="1" applyNumberFormat="1" applyFont="1" applyFill="1" applyBorder="1" applyAlignment="1">
      <alignment horizontal="left" vertical="center"/>
    </xf>
    <xf numFmtId="176" fontId="31" fillId="2" borderId="10" xfId="1" applyNumberFormat="1" applyFont="1" applyFill="1" applyBorder="1" applyAlignment="1">
      <alignment horizontal="left" vertical="center"/>
    </xf>
    <xf numFmtId="176" fontId="31" fillId="2" borderId="16" xfId="0" applyNumberFormat="1" applyFont="1" applyFill="1" applyBorder="1" applyAlignment="1">
      <alignment horizontal="left" vertical="center"/>
    </xf>
    <xf numFmtId="176" fontId="31" fillId="2" borderId="10" xfId="0" applyNumberFormat="1" applyFont="1" applyFill="1" applyBorder="1" applyAlignment="1">
      <alignment horizontal="left" vertical="center"/>
    </xf>
    <xf numFmtId="43" fontId="31" fillId="0" borderId="16" xfId="1" applyNumberFormat="1" applyFont="1" applyFill="1" applyBorder="1" applyAlignment="1">
      <alignment horizontal="left" vertical="center"/>
    </xf>
    <xf numFmtId="43" fontId="31" fillId="0" borderId="10" xfId="1" applyNumberFormat="1" applyFont="1" applyFill="1" applyBorder="1" applyAlignment="1">
      <alignment horizontal="left" vertical="center"/>
    </xf>
    <xf numFmtId="43" fontId="31" fillId="0" borderId="3" xfId="1" applyNumberFormat="1" applyFont="1" applyFill="1" applyBorder="1" applyAlignment="1">
      <alignment horizontal="left" vertical="center"/>
    </xf>
    <xf numFmtId="0" fontId="31" fillId="0" borderId="3" xfId="0" applyFont="1" applyFill="1" applyBorder="1" applyAlignment="1">
      <alignment horizontal="left" vertical="center"/>
    </xf>
    <xf numFmtId="0" fontId="30" fillId="0" borderId="3" xfId="0" applyFont="1" applyFill="1" applyBorder="1" applyAlignment="1">
      <alignment horizontal="left" vertical="center" wrapText="1" shrinkToFit="1"/>
    </xf>
    <xf numFmtId="176" fontId="31" fillId="0" borderId="3" xfId="1" applyNumberFormat="1" applyFont="1" applyFill="1" applyBorder="1" applyAlignment="1">
      <alignment horizontal="left" vertical="center" wrapText="1"/>
    </xf>
    <xf numFmtId="49" fontId="31" fillId="0" borderId="3" xfId="1" applyNumberFormat="1" applyFont="1" applyFill="1" applyBorder="1" applyAlignment="1">
      <alignment horizontal="left" vertical="center" wrapText="1"/>
    </xf>
    <xf numFmtId="176" fontId="31" fillId="0" borderId="3" xfId="1" applyNumberFormat="1" applyFont="1" applyFill="1" applyBorder="1" applyAlignment="1">
      <alignment horizontal="left" vertical="center"/>
    </xf>
    <xf numFmtId="49" fontId="31" fillId="0" borderId="16" xfId="1" applyNumberFormat="1" applyFont="1" applyFill="1" applyBorder="1" applyAlignment="1">
      <alignment horizontal="left" vertical="center" wrapText="1"/>
    </xf>
    <xf numFmtId="49" fontId="31" fillId="0" borderId="10" xfId="1" applyNumberFormat="1" applyFont="1" applyFill="1" applyBorder="1" applyAlignment="1">
      <alignment horizontal="left" vertical="center" wrapText="1"/>
    </xf>
    <xf numFmtId="0" fontId="44" fillId="0" borderId="3" xfId="0" applyFont="1" applyBorder="1" applyAlignment="1">
      <alignment horizontal="center" vertical="center"/>
    </xf>
    <xf numFmtId="180" fontId="23" fillId="0" borderId="17" xfId="0" applyNumberFormat="1" applyFont="1" applyBorder="1" applyAlignment="1" applyProtection="1">
      <alignment horizontal="left" vertical="center" wrapText="1"/>
      <protection hidden="1"/>
    </xf>
    <xf numFmtId="180" fontId="23" fillId="0" borderId="18" xfId="0" applyNumberFormat="1" applyFont="1" applyBorder="1" applyAlignment="1" applyProtection="1">
      <alignment horizontal="left" vertical="center" wrapText="1"/>
      <protection hidden="1"/>
    </xf>
    <xf numFmtId="180" fontId="23" fillId="0" borderId="11" xfId="0" applyNumberFormat="1" applyFont="1" applyBorder="1" applyAlignment="1" applyProtection="1">
      <alignment horizontal="left" vertical="center" wrapText="1"/>
      <protection hidden="1"/>
    </xf>
    <xf numFmtId="180" fontId="23" fillId="0" borderId="17" xfId="0" applyNumberFormat="1" applyFont="1" applyBorder="1" applyAlignment="1" applyProtection="1">
      <alignment horizontal="center" vertical="center" wrapText="1"/>
      <protection hidden="1"/>
    </xf>
    <xf numFmtId="180" fontId="23" fillId="0" borderId="18" xfId="0" applyNumberFormat="1" applyFont="1" applyBorder="1" applyAlignment="1" applyProtection="1">
      <alignment horizontal="center" vertical="center" wrapText="1"/>
      <protection hidden="1"/>
    </xf>
    <xf numFmtId="180" fontId="23" fillId="0" borderId="11" xfId="0" applyNumberFormat="1" applyFont="1" applyBorder="1" applyAlignment="1" applyProtection="1">
      <alignment horizontal="center" vertical="center" wrapText="1"/>
      <protection hidden="1"/>
    </xf>
    <xf numFmtId="180" fontId="24" fillId="0" borderId="17" xfId="0" applyNumberFormat="1" applyFont="1" applyFill="1" applyBorder="1" applyAlignment="1" applyProtection="1">
      <alignment horizontal="left" vertical="center" wrapText="1"/>
      <protection hidden="1"/>
    </xf>
    <xf numFmtId="180" fontId="24" fillId="0" borderId="18" xfId="0" applyNumberFormat="1" applyFont="1" applyFill="1" applyBorder="1" applyAlignment="1" applyProtection="1">
      <alignment horizontal="left" vertical="center" wrapText="1"/>
      <protection hidden="1"/>
    </xf>
    <xf numFmtId="180" fontId="24" fillId="0" borderId="11" xfId="0" applyNumberFormat="1" applyFont="1" applyFill="1" applyBorder="1" applyAlignment="1" applyProtection="1">
      <alignment horizontal="left" vertical="center" wrapText="1"/>
      <protection hidden="1"/>
    </xf>
    <xf numFmtId="0" fontId="23" fillId="0" borderId="3" xfId="0" applyFont="1" applyBorder="1" applyAlignment="1" applyProtection="1">
      <alignment horizontal="left"/>
      <protection hidden="1"/>
    </xf>
    <xf numFmtId="177" fontId="7" fillId="2" borderId="16" xfId="1" applyNumberFormat="1" applyFont="1" applyFill="1" applyBorder="1" applyAlignment="1">
      <alignment horizontal="center" vertical="center" wrapText="1"/>
    </xf>
    <xf numFmtId="177" fontId="7" fillId="2" borderId="10" xfId="1" applyNumberFormat="1" applyFont="1" applyFill="1" applyBorder="1" applyAlignment="1">
      <alignment horizontal="center" vertical="center" wrapText="1"/>
    </xf>
    <xf numFmtId="176" fontId="6" fillId="2" borderId="3" xfId="1" applyNumberFormat="1" applyFont="1" applyFill="1" applyBorder="1" applyAlignment="1">
      <alignment horizontal="left" vertical="center"/>
    </xf>
    <xf numFmtId="43" fontId="6" fillId="2" borderId="3" xfId="1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49" fontId="7" fillId="3" borderId="3" xfId="2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 shrinkToFit="1"/>
    </xf>
    <xf numFmtId="176" fontId="6" fillId="2" borderId="3" xfId="1" applyNumberFormat="1" applyFont="1" applyFill="1" applyBorder="1" applyAlignment="1">
      <alignment horizontal="left" vertical="center" wrapText="1"/>
    </xf>
    <xf numFmtId="49" fontId="6" fillId="2" borderId="3" xfId="1" applyNumberFormat="1" applyFont="1" applyFill="1" applyBorder="1" applyAlignment="1">
      <alignment horizontal="left" vertical="center" wrapText="1"/>
    </xf>
    <xf numFmtId="176" fontId="6" fillId="0" borderId="3" xfId="1" applyNumberFormat="1" applyFont="1" applyFill="1" applyBorder="1" applyAlignment="1">
      <alignment horizontal="left" vertical="center"/>
    </xf>
    <xf numFmtId="43" fontId="6" fillId="0" borderId="3" xfId="1" applyNumberFormat="1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49" fontId="7" fillId="0" borderId="3" xfId="2" applyNumberFormat="1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left" vertical="center" wrapText="1" shrinkToFit="1"/>
    </xf>
    <xf numFmtId="176" fontId="6" fillId="0" borderId="3" xfId="1" applyNumberFormat="1" applyFont="1" applyFill="1" applyBorder="1" applyAlignment="1">
      <alignment horizontal="left" vertical="center" wrapText="1"/>
    </xf>
    <xf numFmtId="49" fontId="6" fillId="0" borderId="3" xfId="1" applyNumberFormat="1" applyFont="1" applyFill="1" applyBorder="1" applyAlignment="1">
      <alignment horizontal="left" vertical="center" wrapText="1"/>
    </xf>
    <xf numFmtId="177" fontId="7" fillId="2" borderId="3" xfId="1" applyNumberFormat="1" applyFont="1" applyFill="1" applyBorder="1" applyAlignment="1">
      <alignment horizontal="left" vertical="center" wrapText="1"/>
    </xf>
    <xf numFmtId="177" fontId="25" fillId="2" borderId="3" xfId="1" applyNumberFormat="1" applyFont="1" applyFill="1" applyBorder="1" applyAlignment="1">
      <alignment horizontal="left" vertical="center" wrapText="1"/>
    </xf>
    <xf numFmtId="176" fontId="7" fillId="2" borderId="3" xfId="1" applyNumberFormat="1" applyFont="1" applyFill="1" applyBorder="1" applyAlignment="1">
      <alignment horizontal="left" vertical="center" wrapText="1"/>
    </xf>
    <xf numFmtId="177" fontId="7" fillId="0" borderId="3" xfId="1" applyNumberFormat="1" applyFont="1" applyFill="1" applyBorder="1" applyAlignment="1">
      <alignment horizontal="left" vertical="center" wrapText="1"/>
    </xf>
    <xf numFmtId="43" fontId="7" fillId="2" borderId="3" xfId="1" applyFont="1" applyFill="1" applyBorder="1" applyAlignment="1">
      <alignment horizontal="left" vertical="center"/>
    </xf>
    <xf numFmtId="49" fontId="25" fillId="2" borderId="3" xfId="0" applyNumberFormat="1" applyFont="1" applyFill="1" applyBorder="1" applyAlignment="1">
      <alignment horizontal="left" vertical="center"/>
    </xf>
    <xf numFmtId="0" fontId="25" fillId="2" borderId="3" xfId="0" applyFont="1" applyFill="1" applyBorder="1" applyAlignment="1">
      <alignment horizontal="left" vertical="center" shrinkToFit="1"/>
    </xf>
    <xf numFmtId="49" fontId="7" fillId="2" borderId="3" xfId="1" applyNumberFormat="1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180" fontId="35" fillId="0" borderId="3" xfId="0" applyNumberFormat="1" applyFont="1" applyBorder="1" applyAlignment="1" applyProtection="1">
      <alignment horizontal="left" vertical="center" wrapText="1"/>
      <protection hidden="1"/>
    </xf>
    <xf numFmtId="0" fontId="31" fillId="2" borderId="17" xfId="0" applyFont="1" applyFill="1" applyBorder="1" applyAlignment="1">
      <alignment horizontal="center" vertical="center"/>
    </xf>
    <xf numFmtId="0" fontId="31" fillId="2" borderId="18" xfId="0" applyFont="1" applyFill="1" applyBorder="1" applyAlignment="1">
      <alignment horizontal="center" vertical="center"/>
    </xf>
    <xf numFmtId="0" fontId="31" fillId="2" borderId="11" xfId="0" applyFont="1" applyFill="1" applyBorder="1" applyAlignment="1">
      <alignment horizontal="center" vertical="center"/>
    </xf>
    <xf numFmtId="180" fontId="35" fillId="0" borderId="17" xfId="0" applyNumberFormat="1" applyFont="1" applyBorder="1" applyAlignment="1" applyProtection="1">
      <alignment horizontal="center" vertical="center" wrapText="1"/>
      <protection hidden="1"/>
    </xf>
    <xf numFmtId="180" fontId="35" fillId="0" borderId="18" xfId="0" applyNumberFormat="1" applyFont="1" applyBorder="1" applyAlignment="1" applyProtection="1">
      <alignment horizontal="center" vertical="center" wrapText="1"/>
      <protection hidden="1"/>
    </xf>
    <xf numFmtId="180" fontId="35" fillId="0" borderId="11" xfId="0" applyNumberFormat="1" applyFont="1" applyBorder="1" applyAlignment="1" applyProtection="1">
      <alignment horizontal="center" vertical="center" wrapText="1"/>
      <protection hidden="1"/>
    </xf>
    <xf numFmtId="177" fontId="30" fillId="0" borderId="16" xfId="1" applyNumberFormat="1" applyFont="1" applyFill="1" applyBorder="1" applyAlignment="1">
      <alignment horizontal="center" vertical="center" wrapText="1"/>
    </xf>
    <xf numFmtId="177" fontId="30" fillId="0" borderId="10" xfId="1" applyNumberFormat="1" applyFont="1" applyFill="1" applyBorder="1" applyAlignment="1">
      <alignment horizontal="center" vertical="center" wrapText="1"/>
    </xf>
    <xf numFmtId="0" fontId="31" fillId="2" borderId="17" xfId="0" applyFont="1" applyFill="1" applyBorder="1" applyAlignment="1">
      <alignment horizontal="left" vertical="center"/>
    </xf>
    <xf numFmtId="0" fontId="31" fillId="2" borderId="18" xfId="0" applyFont="1" applyFill="1" applyBorder="1" applyAlignment="1">
      <alignment horizontal="left" vertical="center"/>
    </xf>
    <xf numFmtId="0" fontId="31" fillId="2" borderId="11" xfId="0" applyFont="1" applyFill="1" applyBorder="1" applyAlignment="1">
      <alignment horizontal="left" vertical="center"/>
    </xf>
    <xf numFmtId="43" fontId="31" fillId="0" borderId="3" xfId="1" applyNumberFormat="1" applyFont="1" applyFill="1" applyBorder="1" applyAlignment="1">
      <alignment horizontal="center" vertical="center"/>
    </xf>
    <xf numFmtId="43" fontId="31" fillId="2" borderId="3" xfId="1" applyNumberFormat="1" applyFont="1" applyFill="1" applyBorder="1" applyAlignment="1">
      <alignment horizontal="center" vertical="center"/>
    </xf>
    <xf numFmtId="0" fontId="30" fillId="2" borderId="3" xfId="0" applyFont="1" applyFill="1" applyBorder="1" applyAlignment="1">
      <alignment horizontal="left" vertical="center" shrinkToFit="1"/>
    </xf>
    <xf numFmtId="49" fontId="31" fillId="2" borderId="3" xfId="0" applyNumberFormat="1" applyFont="1" applyFill="1" applyBorder="1" applyAlignment="1">
      <alignment horizontal="left" vertical="center"/>
    </xf>
    <xf numFmtId="49" fontId="30" fillId="6" borderId="3" xfId="2" applyNumberFormat="1" applyFont="1" applyFill="1" applyBorder="1" applyAlignment="1">
      <alignment horizontal="left" vertical="center" wrapText="1"/>
    </xf>
    <xf numFmtId="176" fontId="31" fillId="6" borderId="3" xfId="1" applyNumberFormat="1" applyFont="1" applyFill="1" applyBorder="1" applyAlignment="1">
      <alignment horizontal="left" vertical="center"/>
    </xf>
    <xf numFmtId="43" fontId="31" fillId="6" borderId="3" xfId="1" applyNumberFormat="1" applyFont="1" applyFill="1" applyBorder="1" applyAlignment="1">
      <alignment horizontal="center" vertical="center"/>
    </xf>
    <xf numFmtId="43" fontId="28" fillId="0" borderId="3" xfId="1" applyFont="1" applyFill="1" applyBorder="1" applyAlignment="1">
      <alignment horizontal="left" vertical="center"/>
    </xf>
    <xf numFmtId="49" fontId="30" fillId="0" borderId="3" xfId="0" applyNumberFormat="1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shrinkToFit="1"/>
    </xf>
    <xf numFmtId="0" fontId="30" fillId="0" borderId="3" xfId="0" applyFont="1" applyFill="1" applyBorder="1" applyAlignment="1">
      <alignment horizontal="left" vertical="center" shrinkToFit="1"/>
    </xf>
    <xf numFmtId="176" fontId="30" fillId="0" borderId="3" xfId="1" applyNumberFormat="1" applyFont="1" applyFill="1" applyBorder="1" applyAlignment="1">
      <alignment horizontal="left" vertical="center" wrapText="1"/>
    </xf>
    <xf numFmtId="49" fontId="30" fillId="0" borderId="3" xfId="1" applyNumberFormat="1" applyFont="1" applyFill="1" applyBorder="1" applyAlignment="1">
      <alignment horizontal="left" vertical="center" wrapText="1"/>
    </xf>
    <xf numFmtId="0" fontId="30" fillId="0" borderId="3" xfId="0" applyFont="1" applyFill="1" applyBorder="1" applyAlignment="1">
      <alignment horizontal="center" vertical="center" wrapText="1"/>
    </xf>
    <xf numFmtId="177" fontId="4" fillId="2" borderId="16" xfId="1" applyNumberFormat="1" applyFont="1" applyFill="1" applyBorder="1" applyAlignment="1">
      <alignment horizontal="center" vertical="center" wrapText="1"/>
    </xf>
    <xf numFmtId="177" fontId="4" fillId="2" borderId="10" xfId="1" applyNumberFormat="1" applyFont="1" applyFill="1" applyBorder="1" applyAlignment="1">
      <alignment horizontal="center" vertical="center" wrapText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176" fontId="6" fillId="0" borderId="16" xfId="1" applyNumberFormat="1" applyFont="1" applyFill="1" applyBorder="1" applyAlignment="1">
      <alignment horizontal="left" vertical="center"/>
    </xf>
    <xf numFmtId="176" fontId="6" fillId="0" borderId="10" xfId="1" applyNumberFormat="1" applyFont="1" applyFill="1" applyBorder="1" applyAlignment="1">
      <alignment horizontal="left" vertical="center"/>
    </xf>
    <xf numFmtId="43" fontId="6" fillId="0" borderId="16" xfId="1" applyNumberFormat="1" applyFont="1" applyFill="1" applyBorder="1" applyAlignment="1">
      <alignment horizontal="left" vertical="center"/>
    </xf>
    <xf numFmtId="43" fontId="6" fillId="0" borderId="10" xfId="1" applyNumberFormat="1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10" xfId="0" applyFont="1" applyFill="1" applyBorder="1" applyAlignment="1">
      <alignment horizontal="left" vertical="center"/>
    </xf>
    <xf numFmtId="49" fontId="7" fillId="0" borderId="16" xfId="2" applyNumberFormat="1" applyFont="1" applyFill="1" applyBorder="1" applyAlignment="1">
      <alignment horizontal="left" vertical="center" wrapText="1"/>
    </xf>
    <xf numFmtId="49" fontId="7" fillId="0" borderId="10" xfId="2" applyNumberFormat="1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left" vertical="center" wrapText="1" shrinkToFit="1"/>
    </xf>
    <xf numFmtId="0" fontId="7" fillId="0" borderId="10" xfId="0" applyFont="1" applyFill="1" applyBorder="1" applyAlignment="1">
      <alignment horizontal="left" vertical="center" wrapText="1" shrinkToFit="1"/>
    </xf>
    <xf numFmtId="176" fontId="6" fillId="0" borderId="16" xfId="1" applyNumberFormat="1" applyFont="1" applyFill="1" applyBorder="1" applyAlignment="1">
      <alignment horizontal="left" vertical="center" wrapText="1"/>
    </xf>
    <xf numFmtId="176" fontId="6" fillId="0" borderId="10" xfId="1" applyNumberFormat="1" applyFont="1" applyFill="1" applyBorder="1" applyAlignment="1">
      <alignment horizontal="left" vertical="center" wrapText="1"/>
    </xf>
    <xf numFmtId="49" fontId="6" fillId="0" borderId="16" xfId="1" applyNumberFormat="1" applyFont="1" applyFill="1" applyBorder="1" applyAlignment="1">
      <alignment horizontal="left" vertical="center" wrapText="1"/>
    </xf>
    <xf numFmtId="49" fontId="6" fillId="0" borderId="10" xfId="1" applyNumberFormat="1" applyFont="1" applyFill="1" applyBorder="1" applyAlignment="1">
      <alignment horizontal="left" vertical="center" wrapText="1"/>
    </xf>
    <xf numFmtId="49" fontId="6" fillId="2" borderId="16" xfId="1" applyNumberFormat="1" applyFont="1" applyFill="1" applyBorder="1" applyAlignment="1">
      <alignment horizontal="left" vertical="center" wrapText="1"/>
    </xf>
    <xf numFmtId="49" fontId="6" fillId="2" borderId="10" xfId="1" applyNumberFormat="1" applyFont="1" applyFill="1" applyBorder="1" applyAlignment="1">
      <alignment horizontal="left" vertical="center" wrapText="1"/>
    </xf>
    <xf numFmtId="0" fontId="6" fillId="2" borderId="16" xfId="0" applyFont="1" applyFill="1" applyBorder="1" applyAlignment="1">
      <alignment horizontal="left" vertical="center"/>
    </xf>
    <xf numFmtId="0" fontId="6" fillId="2" borderId="10" xfId="0" applyFont="1" applyFill="1" applyBorder="1" applyAlignment="1">
      <alignment horizontal="left" vertical="center"/>
    </xf>
    <xf numFmtId="49" fontId="7" fillId="2" borderId="3" xfId="2" applyNumberFormat="1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center"/>
    </xf>
    <xf numFmtId="0" fontId="6" fillId="2" borderId="18" xfId="0" applyFont="1" applyFill="1" applyBorder="1" applyAlignment="1">
      <alignment horizontal="left" vertical="center"/>
    </xf>
    <xf numFmtId="0" fontId="6" fillId="2" borderId="11" xfId="0" applyFont="1" applyFill="1" applyBorder="1" applyAlignment="1">
      <alignment horizontal="left" vertical="center"/>
    </xf>
    <xf numFmtId="49" fontId="7" fillId="0" borderId="3" xfId="0" applyNumberFormat="1" applyFont="1" applyFill="1" applyBorder="1" applyAlignment="1">
      <alignment horizontal="left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176" fontId="6" fillId="2" borderId="16" xfId="1" applyNumberFormat="1" applyFont="1" applyFill="1" applyBorder="1" applyAlignment="1">
      <alignment horizontal="left" vertical="center"/>
    </xf>
    <xf numFmtId="176" fontId="6" fillId="2" borderId="10" xfId="1" applyNumberFormat="1" applyFont="1" applyFill="1" applyBorder="1" applyAlignment="1">
      <alignment horizontal="left" vertical="center"/>
    </xf>
    <xf numFmtId="43" fontId="6" fillId="2" borderId="16" xfId="1" applyNumberFormat="1" applyFont="1" applyFill="1" applyBorder="1" applyAlignment="1">
      <alignment horizontal="left" vertical="center"/>
    </xf>
    <xf numFmtId="43" fontId="6" fillId="2" borderId="10" xfId="1" applyNumberFormat="1" applyFont="1" applyFill="1" applyBorder="1" applyAlignment="1">
      <alignment horizontal="left" vertical="center"/>
    </xf>
    <xf numFmtId="49" fontId="7" fillId="2" borderId="16" xfId="0" applyNumberFormat="1" applyFont="1" applyFill="1" applyBorder="1" applyAlignment="1">
      <alignment horizontal="left" vertical="center" wrapText="1"/>
    </xf>
    <xf numFmtId="49" fontId="7" fillId="2" borderId="10" xfId="0" applyNumberFormat="1" applyFont="1" applyFill="1" applyBorder="1" applyAlignment="1">
      <alignment horizontal="left" vertical="center" wrapText="1"/>
    </xf>
    <xf numFmtId="0" fontId="7" fillId="2" borderId="16" xfId="0" applyFont="1" applyFill="1" applyBorder="1" applyAlignment="1">
      <alignment horizontal="left" vertical="center" wrapText="1" shrinkToFit="1"/>
    </xf>
    <xf numFmtId="0" fontId="7" fillId="2" borderId="10" xfId="0" applyFont="1" applyFill="1" applyBorder="1" applyAlignment="1">
      <alignment horizontal="left" vertical="center" wrapText="1" shrinkToFit="1"/>
    </xf>
    <xf numFmtId="176" fontId="6" fillId="2" borderId="16" xfId="1" applyNumberFormat="1" applyFont="1" applyFill="1" applyBorder="1" applyAlignment="1">
      <alignment horizontal="left" vertical="center" wrapText="1"/>
    </xf>
    <xf numFmtId="176" fontId="6" fillId="2" borderId="10" xfId="1" applyNumberFormat="1" applyFont="1" applyFill="1" applyBorder="1" applyAlignment="1">
      <alignment horizontal="left" vertical="center" wrapText="1"/>
    </xf>
    <xf numFmtId="49" fontId="7" fillId="2" borderId="16" xfId="2" applyNumberFormat="1" applyFont="1" applyFill="1" applyBorder="1" applyAlignment="1">
      <alignment horizontal="left" vertical="center" wrapText="1"/>
    </xf>
    <xf numFmtId="49" fontId="7" fillId="2" borderId="10" xfId="2" applyNumberFormat="1" applyFont="1" applyFill="1" applyBorder="1" applyAlignment="1">
      <alignment horizontal="left" vertical="center" wrapText="1"/>
    </xf>
    <xf numFmtId="49" fontId="6" fillId="2" borderId="3" xfId="0" applyNumberFormat="1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shrinkToFit="1"/>
    </xf>
    <xf numFmtId="49" fontId="7" fillId="4" borderId="3" xfId="2" applyNumberFormat="1" applyFont="1" applyFill="1" applyBorder="1" applyAlignment="1">
      <alignment horizontal="left" vertical="center" wrapText="1"/>
    </xf>
    <xf numFmtId="177" fontId="4" fillId="2" borderId="3" xfId="1" applyNumberFormat="1" applyFont="1" applyFill="1" applyBorder="1" applyAlignment="1">
      <alignment horizontal="left" vertical="center" wrapText="1"/>
    </xf>
    <xf numFmtId="177" fontId="2" fillId="2" borderId="3" xfId="1" applyNumberFormat="1" applyFont="1" applyFill="1" applyBorder="1" applyAlignment="1">
      <alignment horizontal="left" vertical="center" wrapText="1"/>
    </xf>
    <xf numFmtId="176" fontId="4" fillId="2" borderId="3" xfId="1" applyNumberFormat="1" applyFont="1" applyFill="1" applyBorder="1" applyAlignment="1">
      <alignment horizontal="left" vertical="center" wrapText="1"/>
    </xf>
    <xf numFmtId="177" fontId="4" fillId="0" borderId="3" xfId="1" applyNumberFormat="1" applyFont="1" applyFill="1" applyBorder="1" applyAlignment="1">
      <alignment horizontal="left" vertical="center" wrapText="1"/>
    </xf>
    <xf numFmtId="43" fontId="4" fillId="2" borderId="3" xfId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 shrinkToFit="1"/>
    </xf>
    <xf numFmtId="49" fontId="4" fillId="2" borderId="3" xfId="1" applyNumberFormat="1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22" fillId="0" borderId="3" xfId="0" applyFont="1" applyFill="1" applyBorder="1" applyAlignment="1">
      <alignment horizontal="left" vertical="center"/>
    </xf>
    <xf numFmtId="0" fontId="21" fillId="0" borderId="3" xfId="0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49" fontId="0" fillId="0" borderId="14" xfId="0" applyNumberFormat="1" applyBorder="1" applyAlignment="1">
      <alignment horizontal="left" vertical="center"/>
    </xf>
    <xf numFmtId="49" fontId="0" fillId="0" borderId="12" xfId="0" applyNumberFormat="1" applyBorder="1" applyAlignment="1">
      <alignment horizontal="left" vertical="center"/>
    </xf>
    <xf numFmtId="0" fontId="0" fillId="7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7" borderId="3" xfId="0" applyFill="1" applyBorder="1" applyAlignment="1">
      <alignment horizontal="left" vertical="center"/>
    </xf>
    <xf numFmtId="180" fontId="24" fillId="0" borderId="17" xfId="0" applyNumberFormat="1" applyFont="1" applyFill="1" applyBorder="1" applyAlignment="1" applyProtection="1">
      <alignment horizontal="center" vertical="center" wrapText="1"/>
      <protection hidden="1"/>
    </xf>
    <xf numFmtId="180" fontId="24" fillId="0" borderId="18" xfId="0" applyNumberFormat="1" applyFont="1" applyFill="1" applyBorder="1" applyAlignment="1" applyProtection="1">
      <alignment horizontal="center" vertical="center" wrapText="1"/>
      <protection hidden="1"/>
    </xf>
    <xf numFmtId="180" fontId="24" fillId="0" borderId="11" xfId="0" applyNumberFormat="1" applyFont="1" applyFill="1" applyBorder="1" applyAlignment="1" applyProtection="1">
      <alignment horizontal="center" vertical="center" wrapText="1"/>
      <protection hidden="1"/>
    </xf>
    <xf numFmtId="0" fontId="42" fillId="0" borderId="12" xfId="0" applyFont="1" applyBorder="1" applyAlignment="1">
      <alignment horizontal="left" vertical="center"/>
    </xf>
    <xf numFmtId="0" fontId="23" fillId="0" borderId="3" xfId="0" applyFont="1" applyBorder="1" applyAlignment="1" applyProtection="1">
      <alignment horizontal="center"/>
      <protection hidden="1"/>
    </xf>
    <xf numFmtId="43" fontId="0" fillId="0" borderId="13" xfId="0" applyNumberFormat="1" applyBorder="1" applyAlignment="1">
      <alignment horizontal="center" vertical="center"/>
    </xf>
    <xf numFmtId="43" fontId="0" fillId="0" borderId="0" xfId="0" applyNumberFormat="1" applyAlignment="1">
      <alignment horizontal="center" vertical="center"/>
    </xf>
  </cellXfs>
  <cellStyles count="10">
    <cellStyle name="百分比" xfId="9" builtinId="5"/>
    <cellStyle name="常规" xfId="0" builtinId="0"/>
    <cellStyle name="常规 13 2" xfId="6"/>
    <cellStyle name="常规 13 2 2" xfId="7"/>
    <cellStyle name="常规 5" xfId="5"/>
    <cellStyle name="常规 5 6 5" xfId="3"/>
    <cellStyle name="常规 5 6 7" xfId="4"/>
    <cellStyle name="常规 6" xfId="8"/>
    <cellStyle name="货币" xfId="2" builtinId="4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8-1-29&#23500;&#21147;&#20013;&#24515;-&#29579;&#36229;&#23731;&#19968;&#2345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5991;&#26723;\tencent%20files\583763606\filerecv\2017&#24180;&#31199;&#37329;&#32479;&#35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致函链接"/>
      <sheetName val="预评函-封皮"/>
      <sheetName val="预评函-1"/>
      <sheetName val="预评函-2"/>
      <sheetName val="预评函-3"/>
      <sheetName val="预评函-4"/>
      <sheetName val="预评函-5"/>
      <sheetName val="使用说明"/>
      <sheetName val="估价师及机构信息"/>
      <sheetName val="定义"/>
      <sheetName val="项目基本情况"/>
      <sheetName val="数据-基础表"/>
      <sheetName val="抵押物清单（分楼）"/>
      <sheetName val="数据-汇总表"/>
      <sheetName val="数据-取费表"/>
      <sheetName val="估价对象房地状况"/>
      <sheetName val="系统读取表"/>
      <sheetName val="结果表"/>
      <sheetName val="成本法-地下仓储"/>
      <sheetName val="成本法 (元)"/>
      <sheetName val="成本法-地下车库"/>
      <sheetName val="假设开发法"/>
      <sheetName val="收益法"/>
      <sheetName val="收益法 (元)"/>
      <sheetName val="收益法（汇总）"/>
      <sheetName val="酒店收入计算"/>
      <sheetName val="比较法-住宅"/>
      <sheetName val="比较法-商业"/>
      <sheetName val="比较法-办公"/>
      <sheetName val="比较法-工业"/>
      <sheetName val="比较法-车位"/>
      <sheetName val="比较法-仓储"/>
      <sheetName val="土地比较法-住宅、综合"/>
      <sheetName val="土地比较法-工业"/>
      <sheetName val="典型户型修正"/>
      <sheetName val="基准地价修正"/>
      <sheetName val="修正"/>
      <sheetName val="容积率修正"/>
      <sheetName val="基准地价（汇总）"/>
      <sheetName val="地价"/>
      <sheetName val="成本法（废）"/>
      <sheetName val="区片价"/>
      <sheetName val="因素修正幅度"/>
      <sheetName val="存贷款利率"/>
      <sheetName val="区片价（范围）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B2">
            <v>25166</v>
          </cell>
        </row>
        <row r="3">
          <cell r="B3">
            <v>18407</v>
          </cell>
        </row>
      </sheetData>
      <sheetData sheetId="19"/>
      <sheetData sheetId="20">
        <row r="2">
          <cell r="B2">
            <v>35035</v>
          </cell>
        </row>
        <row r="3">
          <cell r="B3">
            <v>14660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22">
          <cell r="R22">
            <v>84228</v>
          </cell>
          <cell r="S22">
            <v>505303</v>
          </cell>
        </row>
      </sheetData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楼盘租金明细表"/>
      <sheetName val="物业出租情况表"/>
      <sheetName val="欠租明细表"/>
      <sheetName val="财务月报租金"/>
      <sheetName val="Sheet1"/>
      <sheetName val="11月实收"/>
      <sheetName val="发票汇总"/>
      <sheetName val="Sheet2"/>
      <sheetName val="租金统计"/>
      <sheetName val="CBD"/>
      <sheetName val="全市"/>
    </sheetNames>
    <sheetDataSet>
      <sheetData sheetId="0">
        <row r="286">
          <cell r="F286">
            <v>4832.8</v>
          </cell>
          <cell r="G286">
            <v>483333.33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C467"/>
  <sheetViews>
    <sheetView workbookViewId="0">
      <pane xSplit="7" ySplit="18" topLeftCell="I61" activePane="bottomRight" state="frozen"/>
      <selection pane="topRight" activeCell="I1" sqref="I1"/>
      <selection pane="bottomLeft" activeCell="A21" sqref="A21"/>
      <selection pane="bottomRight" activeCell="J74" sqref="J74"/>
    </sheetView>
  </sheetViews>
  <sheetFormatPr defaultColWidth="9" defaultRowHeight="14.25" outlineLevelCol="1"/>
  <cols>
    <col min="1" max="1" width="5" style="173" customWidth="1"/>
    <col min="2" max="2" width="15" style="174" customWidth="1"/>
    <col min="3" max="3" width="23.625" style="24" customWidth="1"/>
    <col min="4" max="4" width="17" style="175" customWidth="1"/>
    <col min="5" max="5" width="10.625" style="176" customWidth="1" outlineLevel="1"/>
    <col min="6" max="6" width="10.625" style="177" customWidth="1"/>
    <col min="7" max="7" width="10.625" style="178" customWidth="1"/>
    <col min="8" max="8" width="10.625" style="72" customWidth="1"/>
    <col min="9" max="9" width="10.625" style="177" customWidth="1"/>
    <col min="10" max="10" width="10.625" style="86" customWidth="1"/>
    <col min="11" max="93" width="10.625" style="72" customWidth="1"/>
    <col min="94" max="94" width="17.75" style="73" customWidth="1"/>
    <col min="95" max="95" width="9" style="74" customWidth="1"/>
    <col min="96" max="96" width="11.75" style="74" customWidth="1"/>
    <col min="97" max="97" width="8.875" style="74" customWidth="1"/>
    <col min="98" max="98" width="12.375" style="74" customWidth="1"/>
    <col min="99" max="99" width="13" style="74" customWidth="1"/>
    <col min="100" max="100" width="12.375" style="74" customWidth="1"/>
    <col min="101" max="101" width="12.25" style="74" customWidth="1"/>
    <col min="102" max="102" width="12.125" style="74" customWidth="1"/>
    <col min="103" max="103" width="11.625" style="74" customWidth="1"/>
    <col min="104" max="104" width="12" style="74" customWidth="1"/>
    <col min="105" max="105" width="13" style="74" customWidth="1"/>
    <col min="106" max="106" width="11.625" style="74" customWidth="1"/>
    <col min="107" max="108" width="12" style="74" customWidth="1"/>
    <col min="109" max="111" width="11.625" style="74" customWidth="1"/>
    <col min="112" max="112" width="11.125" style="74" customWidth="1"/>
    <col min="113" max="113" width="12" style="74" customWidth="1"/>
    <col min="114" max="114" width="13" style="74" customWidth="1"/>
    <col min="115" max="115" width="13.625" style="74" customWidth="1"/>
    <col min="116" max="116" width="11.875" style="74" customWidth="1"/>
    <col min="117" max="118" width="11.625" style="74" customWidth="1"/>
    <col min="119" max="119" width="12" style="74" customWidth="1"/>
    <col min="120" max="120" width="12.75" style="74" customWidth="1"/>
    <col min="121" max="121" width="11.625" style="74" customWidth="1"/>
    <col min="122" max="122" width="12.125" style="74" customWidth="1"/>
    <col min="123" max="124" width="11.625" style="74" customWidth="1"/>
    <col min="125" max="125" width="12.5" style="74" customWidth="1"/>
    <col min="126" max="300" width="11.625" style="74" customWidth="1"/>
    <col min="301" max="301" width="17.75" style="74" customWidth="1"/>
    <col min="302" max="303" width="9" style="74" customWidth="1"/>
    <col min="304" max="304" width="16.25" style="74" customWidth="1"/>
    <col min="305" max="305" width="24" style="74" customWidth="1"/>
    <col min="306" max="306" width="9" style="74"/>
    <col min="307" max="307" width="11.75" style="74" customWidth="1"/>
    <col min="308" max="308" width="8.875" style="74" customWidth="1"/>
    <col min="309" max="309" width="17.375" style="74" customWidth="1"/>
    <col min="310" max="310" width="13.25" style="74" customWidth="1"/>
    <col min="311" max="311" width="25.75" style="74" customWidth="1"/>
    <col min="312" max="312" width="11.125" style="74" customWidth="1"/>
    <col min="313" max="313" width="10.75" style="74" customWidth="1"/>
    <col min="314" max="314" width="9" style="74" customWidth="1"/>
    <col min="315" max="315" width="9.75" style="74" customWidth="1"/>
    <col min="316" max="316" width="7.5" style="74" customWidth="1"/>
    <col min="317" max="317" width="13.25" style="74" customWidth="1"/>
    <col min="318" max="318" width="11.75" style="74" customWidth="1"/>
    <col min="319" max="319" width="8.875" style="74" customWidth="1"/>
    <col min="320" max="320" width="9.625" style="74" customWidth="1"/>
    <col min="321" max="322" width="11.875" style="74" customWidth="1"/>
    <col min="323" max="323" width="11.5" style="74" customWidth="1"/>
    <col min="324" max="339" width="12.25" style="74" customWidth="1"/>
    <col min="340" max="340" width="13" style="74" customWidth="1"/>
    <col min="341" max="345" width="12.375" style="74" customWidth="1"/>
    <col min="346" max="346" width="13" style="74" customWidth="1"/>
    <col min="347" max="348" width="12.375" style="74" customWidth="1"/>
    <col min="349" max="349" width="13" style="74" customWidth="1"/>
    <col min="350" max="350" width="13.125" style="74" customWidth="1"/>
    <col min="351" max="351" width="13" style="74" customWidth="1"/>
    <col min="352" max="352" width="13.125" style="74" customWidth="1"/>
    <col min="353" max="354" width="12.375" style="74" customWidth="1"/>
    <col min="355" max="355" width="13" style="74" customWidth="1"/>
    <col min="356" max="356" width="12.375" style="74" customWidth="1"/>
    <col min="357" max="357" width="12.25" style="74" customWidth="1"/>
    <col min="358" max="358" width="12.125" style="74" customWidth="1"/>
    <col min="359" max="359" width="11.625" style="74" customWidth="1"/>
    <col min="360" max="360" width="12" style="74" customWidth="1"/>
    <col min="361" max="361" width="13" style="74" customWidth="1"/>
    <col min="362" max="362" width="11.625" style="74" customWidth="1"/>
    <col min="363" max="364" width="12" style="74" customWidth="1"/>
    <col min="365" max="367" width="11.625" style="74" customWidth="1"/>
    <col min="368" max="368" width="11.125" style="74" customWidth="1"/>
    <col min="369" max="369" width="12" style="74" customWidth="1"/>
    <col min="370" max="370" width="13" style="74" customWidth="1"/>
    <col min="371" max="371" width="13.625" style="74" customWidth="1"/>
    <col min="372" max="372" width="11.875" style="74" customWidth="1"/>
    <col min="373" max="374" width="11.625" style="74" customWidth="1"/>
    <col min="375" max="375" width="12" style="74" customWidth="1"/>
    <col min="376" max="376" width="12.75" style="74" customWidth="1"/>
    <col min="377" max="377" width="11.625" style="74" customWidth="1"/>
    <col min="378" max="378" width="12.125" style="74" customWidth="1"/>
    <col min="379" max="380" width="11.625" style="74" customWidth="1"/>
    <col min="381" max="381" width="12.5" style="74" customWidth="1"/>
    <col min="382" max="556" width="11.625" style="74" customWidth="1"/>
    <col min="557" max="557" width="17.75" style="74" customWidth="1"/>
    <col min="558" max="559" width="9" style="74" customWidth="1"/>
    <col min="560" max="560" width="16.25" style="74" customWidth="1"/>
    <col min="561" max="561" width="24" style="74" customWidth="1"/>
    <col min="562" max="562" width="9" style="74"/>
    <col min="563" max="563" width="11.75" style="74" customWidth="1"/>
    <col min="564" max="564" width="8.875" style="74" customWidth="1"/>
    <col min="565" max="565" width="17.375" style="74" customWidth="1"/>
    <col min="566" max="566" width="13.25" style="74" customWidth="1"/>
    <col min="567" max="567" width="25.75" style="74" customWidth="1"/>
    <col min="568" max="568" width="11.125" style="74" customWidth="1"/>
    <col min="569" max="569" width="10.75" style="74" customWidth="1"/>
    <col min="570" max="570" width="9" style="74" customWidth="1"/>
    <col min="571" max="571" width="9.75" style="74" customWidth="1"/>
    <col min="572" max="572" width="7.5" style="74" customWidth="1"/>
    <col min="573" max="573" width="13.25" style="74" customWidth="1"/>
    <col min="574" max="574" width="11.75" style="74" customWidth="1"/>
    <col min="575" max="575" width="8.875" style="74" customWidth="1"/>
    <col min="576" max="576" width="9.625" style="74" customWidth="1"/>
    <col min="577" max="578" width="11.875" style="74" customWidth="1"/>
    <col min="579" max="579" width="11.5" style="74" customWidth="1"/>
    <col min="580" max="595" width="12.25" style="74" customWidth="1"/>
    <col min="596" max="596" width="13" style="74" customWidth="1"/>
    <col min="597" max="601" width="12.375" style="74" customWidth="1"/>
    <col min="602" max="602" width="13" style="74" customWidth="1"/>
    <col min="603" max="604" width="12.375" style="74" customWidth="1"/>
    <col min="605" max="605" width="13" style="74" customWidth="1"/>
    <col min="606" max="606" width="13.125" style="74" customWidth="1"/>
    <col min="607" max="607" width="13" style="74" customWidth="1"/>
    <col min="608" max="608" width="13.125" style="74" customWidth="1"/>
    <col min="609" max="610" width="12.375" style="74" customWidth="1"/>
    <col min="611" max="611" width="13" style="74" customWidth="1"/>
    <col min="612" max="612" width="12.375" style="74" customWidth="1"/>
    <col min="613" max="613" width="12.25" style="74" customWidth="1"/>
    <col min="614" max="614" width="12.125" style="74" customWidth="1"/>
    <col min="615" max="615" width="11.625" style="74" customWidth="1"/>
    <col min="616" max="616" width="12" style="74" customWidth="1"/>
    <col min="617" max="617" width="13" style="74" customWidth="1"/>
    <col min="618" max="618" width="11.625" style="74" customWidth="1"/>
    <col min="619" max="620" width="12" style="74" customWidth="1"/>
    <col min="621" max="623" width="11.625" style="74" customWidth="1"/>
    <col min="624" max="624" width="11.125" style="74" customWidth="1"/>
    <col min="625" max="625" width="12" style="74" customWidth="1"/>
    <col min="626" max="626" width="13" style="74" customWidth="1"/>
    <col min="627" max="627" width="13.625" style="74" customWidth="1"/>
    <col min="628" max="628" width="11.875" style="74" customWidth="1"/>
    <col min="629" max="630" width="11.625" style="74" customWidth="1"/>
    <col min="631" max="631" width="12" style="74" customWidth="1"/>
    <col min="632" max="632" width="12.75" style="74" customWidth="1"/>
    <col min="633" max="633" width="11.625" style="74" customWidth="1"/>
    <col min="634" max="634" width="12.125" style="74" customWidth="1"/>
    <col min="635" max="636" width="11.625" style="74" customWidth="1"/>
    <col min="637" max="637" width="12.5" style="74" customWidth="1"/>
    <col min="638" max="812" width="11.625" style="74" customWidth="1"/>
    <col min="813" max="813" width="17.75" style="74" customWidth="1"/>
    <col min="814" max="815" width="9" style="74" customWidth="1"/>
    <col min="816" max="816" width="16.25" style="74" customWidth="1"/>
    <col min="817" max="817" width="24" style="74" customWidth="1"/>
    <col min="818" max="818" width="9" style="74"/>
    <col min="819" max="819" width="11.75" style="74" customWidth="1"/>
    <col min="820" max="820" width="8.875" style="74" customWidth="1"/>
    <col min="821" max="821" width="17.375" style="74" customWidth="1"/>
    <col min="822" max="822" width="13.25" style="74" customWidth="1"/>
    <col min="823" max="823" width="25.75" style="74" customWidth="1"/>
    <col min="824" max="824" width="11.125" style="74" customWidth="1"/>
    <col min="825" max="825" width="10.75" style="74" customWidth="1"/>
    <col min="826" max="826" width="9" style="74" customWidth="1"/>
    <col min="827" max="827" width="9.75" style="74" customWidth="1"/>
    <col min="828" max="828" width="7.5" style="74" customWidth="1"/>
    <col min="829" max="829" width="13.25" style="74" customWidth="1"/>
    <col min="830" max="830" width="11.75" style="74" customWidth="1"/>
    <col min="831" max="831" width="8.875" style="74" customWidth="1"/>
    <col min="832" max="832" width="9.625" style="74" customWidth="1"/>
    <col min="833" max="834" width="11.875" style="74" customWidth="1"/>
    <col min="835" max="835" width="11.5" style="74" customWidth="1"/>
    <col min="836" max="851" width="12.25" style="74" customWidth="1"/>
    <col min="852" max="852" width="13" style="74" customWidth="1"/>
    <col min="853" max="857" width="12.375" style="74" customWidth="1"/>
    <col min="858" max="858" width="13" style="74" customWidth="1"/>
    <col min="859" max="860" width="12.375" style="74" customWidth="1"/>
    <col min="861" max="861" width="13" style="74" customWidth="1"/>
    <col min="862" max="862" width="13.125" style="74" customWidth="1"/>
    <col min="863" max="863" width="13" style="74" customWidth="1"/>
    <col min="864" max="864" width="13.125" style="74" customWidth="1"/>
    <col min="865" max="866" width="12.375" style="74" customWidth="1"/>
    <col min="867" max="867" width="13" style="74" customWidth="1"/>
    <col min="868" max="868" width="12.375" style="74" customWidth="1"/>
    <col min="869" max="869" width="12.25" style="74" customWidth="1"/>
    <col min="870" max="870" width="12.125" style="74" customWidth="1"/>
    <col min="871" max="871" width="11.625" style="74" customWidth="1"/>
    <col min="872" max="872" width="12" style="74" customWidth="1"/>
    <col min="873" max="873" width="13" style="74" customWidth="1"/>
    <col min="874" max="874" width="11.625" style="74" customWidth="1"/>
    <col min="875" max="876" width="12" style="74" customWidth="1"/>
    <col min="877" max="879" width="11.625" style="74" customWidth="1"/>
    <col min="880" max="880" width="11.125" style="74" customWidth="1"/>
    <col min="881" max="881" width="12" style="74" customWidth="1"/>
    <col min="882" max="882" width="13" style="74" customWidth="1"/>
    <col min="883" max="883" width="13.625" style="74" customWidth="1"/>
    <col min="884" max="884" width="11.875" style="74" customWidth="1"/>
    <col min="885" max="886" width="11.625" style="74" customWidth="1"/>
    <col min="887" max="887" width="12" style="74" customWidth="1"/>
    <col min="888" max="888" width="12.75" style="74" customWidth="1"/>
    <col min="889" max="889" width="11.625" style="74" customWidth="1"/>
    <col min="890" max="890" width="12.125" style="74" customWidth="1"/>
    <col min="891" max="892" width="11.625" style="74" customWidth="1"/>
    <col min="893" max="893" width="12.5" style="74" customWidth="1"/>
    <col min="894" max="1068" width="11.625" style="74" customWidth="1"/>
    <col min="1069" max="1069" width="17.75" style="74" customWidth="1"/>
    <col min="1070" max="1071" width="9" style="74" customWidth="1"/>
    <col min="1072" max="1072" width="16.25" style="74" customWidth="1"/>
    <col min="1073" max="1073" width="24" style="74" customWidth="1"/>
    <col min="1074" max="1074" width="9" style="74"/>
    <col min="1075" max="1075" width="11.75" style="74" customWidth="1"/>
    <col min="1076" max="1076" width="8.875" style="74" customWidth="1"/>
    <col min="1077" max="1077" width="17.375" style="74" customWidth="1"/>
    <col min="1078" max="1078" width="13.25" style="74" customWidth="1"/>
    <col min="1079" max="1079" width="25.75" style="74" customWidth="1"/>
    <col min="1080" max="1080" width="11.125" style="74" customWidth="1"/>
    <col min="1081" max="1081" width="10.75" style="74" customWidth="1"/>
    <col min="1082" max="1082" width="9" style="74" customWidth="1"/>
    <col min="1083" max="1083" width="9.75" style="74" customWidth="1"/>
    <col min="1084" max="1084" width="7.5" style="74" customWidth="1"/>
    <col min="1085" max="1085" width="13.25" style="74" customWidth="1"/>
    <col min="1086" max="1086" width="11.75" style="74" customWidth="1"/>
    <col min="1087" max="1087" width="8.875" style="74" customWidth="1"/>
    <col min="1088" max="1088" width="9.625" style="74" customWidth="1"/>
    <col min="1089" max="1090" width="11.875" style="74" customWidth="1"/>
    <col min="1091" max="1091" width="11.5" style="74" customWidth="1"/>
    <col min="1092" max="1107" width="12.25" style="74" customWidth="1"/>
    <col min="1108" max="1108" width="13" style="74" customWidth="1"/>
    <col min="1109" max="1113" width="12.375" style="74" customWidth="1"/>
    <col min="1114" max="1114" width="13" style="74" customWidth="1"/>
    <col min="1115" max="1116" width="12.375" style="74" customWidth="1"/>
    <col min="1117" max="1117" width="13" style="74" customWidth="1"/>
    <col min="1118" max="1118" width="13.125" style="74" customWidth="1"/>
    <col min="1119" max="1119" width="13" style="74" customWidth="1"/>
    <col min="1120" max="1120" width="13.125" style="74" customWidth="1"/>
    <col min="1121" max="1122" width="12.375" style="74" customWidth="1"/>
    <col min="1123" max="1123" width="13" style="74" customWidth="1"/>
    <col min="1124" max="1124" width="12.375" style="74" customWidth="1"/>
    <col min="1125" max="1125" width="12.25" style="74" customWidth="1"/>
    <col min="1126" max="1126" width="12.125" style="74" customWidth="1"/>
    <col min="1127" max="1127" width="11.625" style="74" customWidth="1"/>
    <col min="1128" max="1128" width="12" style="74" customWidth="1"/>
    <col min="1129" max="1129" width="13" style="74" customWidth="1"/>
    <col min="1130" max="1130" width="11.625" style="74" customWidth="1"/>
    <col min="1131" max="1132" width="12" style="74" customWidth="1"/>
    <col min="1133" max="1135" width="11.625" style="74" customWidth="1"/>
    <col min="1136" max="1136" width="11.125" style="74" customWidth="1"/>
    <col min="1137" max="1137" width="12" style="74" customWidth="1"/>
    <col min="1138" max="1138" width="13" style="74" customWidth="1"/>
    <col min="1139" max="1139" width="13.625" style="74" customWidth="1"/>
    <col min="1140" max="1140" width="11.875" style="74" customWidth="1"/>
    <col min="1141" max="1142" width="11.625" style="74" customWidth="1"/>
    <col min="1143" max="1143" width="12" style="74" customWidth="1"/>
    <col min="1144" max="1144" width="12.75" style="74" customWidth="1"/>
    <col min="1145" max="1145" width="11.625" style="74" customWidth="1"/>
    <col min="1146" max="1146" width="12.125" style="74" customWidth="1"/>
    <col min="1147" max="1148" width="11.625" style="74" customWidth="1"/>
    <col min="1149" max="1149" width="12.5" style="74" customWidth="1"/>
    <col min="1150" max="1324" width="11.625" style="74" customWidth="1"/>
    <col min="1325" max="1325" width="17.75" style="74" customWidth="1"/>
    <col min="1326" max="1327" width="9" style="74" customWidth="1"/>
    <col min="1328" max="1328" width="16.25" style="74" customWidth="1"/>
    <col min="1329" max="1329" width="24" style="74" customWidth="1"/>
    <col min="1330" max="1330" width="9" style="74"/>
    <col min="1331" max="1331" width="11.75" style="74" customWidth="1"/>
    <col min="1332" max="1332" width="8.875" style="74" customWidth="1"/>
    <col min="1333" max="1333" width="17.375" style="74" customWidth="1"/>
    <col min="1334" max="1334" width="13.25" style="74" customWidth="1"/>
    <col min="1335" max="1335" width="25.75" style="74" customWidth="1"/>
    <col min="1336" max="1336" width="11.125" style="74" customWidth="1"/>
    <col min="1337" max="1337" width="10.75" style="74" customWidth="1"/>
    <col min="1338" max="1338" width="9" style="74" customWidth="1"/>
    <col min="1339" max="1339" width="9.75" style="74" customWidth="1"/>
    <col min="1340" max="1340" width="7.5" style="74" customWidth="1"/>
    <col min="1341" max="1341" width="13.25" style="74" customWidth="1"/>
    <col min="1342" max="1342" width="11.75" style="74" customWidth="1"/>
    <col min="1343" max="1343" width="8.875" style="74" customWidth="1"/>
    <col min="1344" max="1344" width="9.625" style="74" customWidth="1"/>
    <col min="1345" max="1346" width="11.875" style="74" customWidth="1"/>
    <col min="1347" max="1347" width="11.5" style="74" customWidth="1"/>
    <col min="1348" max="1363" width="12.25" style="74" customWidth="1"/>
    <col min="1364" max="1364" width="13" style="74" customWidth="1"/>
    <col min="1365" max="1369" width="12.375" style="74" customWidth="1"/>
    <col min="1370" max="1370" width="13" style="74" customWidth="1"/>
    <col min="1371" max="1372" width="12.375" style="74" customWidth="1"/>
    <col min="1373" max="1373" width="13" style="74" customWidth="1"/>
    <col min="1374" max="1374" width="13.125" style="74" customWidth="1"/>
    <col min="1375" max="1375" width="13" style="74" customWidth="1"/>
    <col min="1376" max="1376" width="13.125" style="74" customWidth="1"/>
    <col min="1377" max="1378" width="12.375" style="74" customWidth="1"/>
    <col min="1379" max="1379" width="13" style="74" customWidth="1"/>
    <col min="1380" max="1380" width="12.375" style="74" customWidth="1"/>
    <col min="1381" max="1381" width="12.25" style="74" customWidth="1"/>
    <col min="1382" max="1382" width="12.125" style="74" customWidth="1"/>
    <col min="1383" max="1383" width="11.625" style="74" customWidth="1"/>
    <col min="1384" max="1384" width="12" style="74" customWidth="1"/>
    <col min="1385" max="1385" width="13" style="74" customWidth="1"/>
    <col min="1386" max="1386" width="11.625" style="74" customWidth="1"/>
    <col min="1387" max="1388" width="12" style="74" customWidth="1"/>
    <col min="1389" max="1391" width="11.625" style="74" customWidth="1"/>
    <col min="1392" max="1392" width="11.125" style="74" customWidth="1"/>
    <col min="1393" max="1393" width="12" style="74" customWidth="1"/>
    <col min="1394" max="1394" width="13" style="74" customWidth="1"/>
    <col min="1395" max="1395" width="13.625" style="74" customWidth="1"/>
    <col min="1396" max="1396" width="11.875" style="74" customWidth="1"/>
    <col min="1397" max="1398" width="11.625" style="74" customWidth="1"/>
    <col min="1399" max="1399" width="12" style="74" customWidth="1"/>
    <col min="1400" max="1400" width="12.75" style="74" customWidth="1"/>
    <col min="1401" max="1401" width="11.625" style="74" customWidth="1"/>
    <col min="1402" max="1402" width="12.125" style="74" customWidth="1"/>
    <col min="1403" max="1404" width="11.625" style="74" customWidth="1"/>
    <col min="1405" max="1405" width="12.5" style="74" customWidth="1"/>
    <col min="1406" max="1580" width="11.625" style="74" customWidth="1"/>
    <col min="1581" max="1581" width="17.75" style="74" customWidth="1"/>
    <col min="1582" max="1583" width="9" style="74" customWidth="1"/>
    <col min="1584" max="1584" width="16.25" style="74" customWidth="1"/>
    <col min="1585" max="1585" width="24" style="74" customWidth="1"/>
    <col min="1586" max="1586" width="9" style="74"/>
    <col min="1587" max="1587" width="11.75" style="74" customWidth="1"/>
    <col min="1588" max="1588" width="8.875" style="74" customWidth="1"/>
    <col min="1589" max="1589" width="17.375" style="74" customWidth="1"/>
    <col min="1590" max="1590" width="13.25" style="74" customWidth="1"/>
    <col min="1591" max="1591" width="25.75" style="74" customWidth="1"/>
    <col min="1592" max="1592" width="11.125" style="74" customWidth="1"/>
    <col min="1593" max="1593" width="10.75" style="74" customWidth="1"/>
    <col min="1594" max="1594" width="9" style="74" customWidth="1"/>
    <col min="1595" max="1595" width="9.75" style="74" customWidth="1"/>
    <col min="1596" max="1596" width="7.5" style="74" customWidth="1"/>
    <col min="1597" max="1597" width="13.25" style="74" customWidth="1"/>
    <col min="1598" max="1598" width="11.75" style="74" customWidth="1"/>
    <col min="1599" max="1599" width="8.875" style="74" customWidth="1"/>
    <col min="1600" max="1600" width="9.625" style="74" customWidth="1"/>
    <col min="1601" max="1602" width="11.875" style="74" customWidth="1"/>
    <col min="1603" max="1603" width="11.5" style="74" customWidth="1"/>
    <col min="1604" max="1619" width="12.25" style="74" customWidth="1"/>
    <col min="1620" max="1620" width="13" style="74" customWidth="1"/>
    <col min="1621" max="1625" width="12.375" style="74" customWidth="1"/>
    <col min="1626" max="1626" width="13" style="74" customWidth="1"/>
    <col min="1627" max="1628" width="12.375" style="74" customWidth="1"/>
    <col min="1629" max="1629" width="13" style="74" customWidth="1"/>
    <col min="1630" max="1630" width="13.125" style="74" customWidth="1"/>
    <col min="1631" max="1631" width="13" style="74" customWidth="1"/>
    <col min="1632" max="1632" width="13.125" style="74" customWidth="1"/>
    <col min="1633" max="1634" width="12.375" style="74" customWidth="1"/>
    <col min="1635" max="1635" width="13" style="74" customWidth="1"/>
    <col min="1636" max="1636" width="12.375" style="74" customWidth="1"/>
    <col min="1637" max="1637" width="12.25" style="74" customWidth="1"/>
    <col min="1638" max="1638" width="12.125" style="74" customWidth="1"/>
    <col min="1639" max="1639" width="11.625" style="74" customWidth="1"/>
    <col min="1640" max="1640" width="12" style="74" customWidth="1"/>
    <col min="1641" max="1641" width="13" style="74" customWidth="1"/>
    <col min="1642" max="1642" width="11.625" style="74" customWidth="1"/>
    <col min="1643" max="1644" width="12" style="74" customWidth="1"/>
    <col min="1645" max="1647" width="11.625" style="74" customWidth="1"/>
    <col min="1648" max="1648" width="11.125" style="74" customWidth="1"/>
    <col min="1649" max="1649" width="12" style="74" customWidth="1"/>
    <col min="1650" max="1650" width="13" style="74" customWidth="1"/>
    <col min="1651" max="1651" width="13.625" style="74" customWidth="1"/>
    <col min="1652" max="1652" width="11.875" style="74" customWidth="1"/>
    <col min="1653" max="1654" width="11.625" style="74" customWidth="1"/>
    <col min="1655" max="1655" width="12" style="74" customWidth="1"/>
    <col min="1656" max="1656" width="12.75" style="74" customWidth="1"/>
    <col min="1657" max="1657" width="11.625" style="74" customWidth="1"/>
    <col min="1658" max="1658" width="12.125" style="74" customWidth="1"/>
    <col min="1659" max="1660" width="11.625" style="74" customWidth="1"/>
    <col min="1661" max="1661" width="12.5" style="74" customWidth="1"/>
    <col min="1662" max="1836" width="11.625" style="74" customWidth="1"/>
    <col min="1837" max="1837" width="17.75" style="74" customWidth="1"/>
    <col min="1838" max="1839" width="9" style="74" customWidth="1"/>
    <col min="1840" max="1840" width="16.25" style="74" customWidth="1"/>
    <col min="1841" max="1841" width="24" style="74" customWidth="1"/>
    <col min="1842" max="1842" width="9" style="74"/>
    <col min="1843" max="1843" width="11.75" style="74" customWidth="1"/>
    <col min="1844" max="1844" width="8.875" style="74" customWidth="1"/>
    <col min="1845" max="1845" width="17.375" style="74" customWidth="1"/>
    <col min="1846" max="1846" width="13.25" style="74" customWidth="1"/>
    <col min="1847" max="1847" width="25.75" style="74" customWidth="1"/>
    <col min="1848" max="1848" width="11.125" style="74" customWidth="1"/>
    <col min="1849" max="1849" width="10.75" style="74" customWidth="1"/>
    <col min="1850" max="1850" width="9" style="74" customWidth="1"/>
    <col min="1851" max="1851" width="9.75" style="74" customWidth="1"/>
    <col min="1852" max="1852" width="7.5" style="74" customWidth="1"/>
    <col min="1853" max="1853" width="13.25" style="74" customWidth="1"/>
    <col min="1854" max="1854" width="11.75" style="74" customWidth="1"/>
    <col min="1855" max="1855" width="8.875" style="74" customWidth="1"/>
    <col min="1856" max="1856" width="9.625" style="74" customWidth="1"/>
    <col min="1857" max="1858" width="11.875" style="74" customWidth="1"/>
    <col min="1859" max="1859" width="11.5" style="74" customWidth="1"/>
    <col min="1860" max="1875" width="12.25" style="74" customWidth="1"/>
    <col min="1876" max="1876" width="13" style="74" customWidth="1"/>
    <col min="1877" max="1881" width="12.375" style="74" customWidth="1"/>
    <col min="1882" max="1882" width="13" style="74" customWidth="1"/>
    <col min="1883" max="1884" width="12.375" style="74" customWidth="1"/>
    <col min="1885" max="1885" width="13" style="74" customWidth="1"/>
    <col min="1886" max="1886" width="13.125" style="74" customWidth="1"/>
    <col min="1887" max="1887" width="13" style="74" customWidth="1"/>
    <col min="1888" max="1888" width="13.125" style="74" customWidth="1"/>
    <col min="1889" max="1890" width="12.375" style="74" customWidth="1"/>
    <col min="1891" max="1891" width="13" style="74" customWidth="1"/>
    <col min="1892" max="1892" width="12.375" style="74" customWidth="1"/>
    <col min="1893" max="1893" width="12.25" style="74" customWidth="1"/>
    <col min="1894" max="1894" width="12.125" style="74" customWidth="1"/>
    <col min="1895" max="1895" width="11.625" style="74" customWidth="1"/>
    <col min="1896" max="1896" width="12" style="74" customWidth="1"/>
    <col min="1897" max="1897" width="13" style="74" customWidth="1"/>
    <col min="1898" max="1898" width="11.625" style="74" customWidth="1"/>
    <col min="1899" max="1900" width="12" style="74" customWidth="1"/>
    <col min="1901" max="1903" width="11.625" style="74" customWidth="1"/>
    <col min="1904" max="1904" width="11.125" style="74" customWidth="1"/>
    <col min="1905" max="1905" width="12" style="74" customWidth="1"/>
    <col min="1906" max="1906" width="13" style="74" customWidth="1"/>
    <col min="1907" max="1907" width="13.625" style="74" customWidth="1"/>
    <col min="1908" max="1908" width="11.875" style="74" customWidth="1"/>
    <col min="1909" max="1910" width="11.625" style="74" customWidth="1"/>
    <col min="1911" max="1911" width="12" style="74" customWidth="1"/>
    <col min="1912" max="1912" width="12.75" style="74" customWidth="1"/>
    <col min="1913" max="1913" width="11.625" style="74" customWidth="1"/>
    <col min="1914" max="1914" width="12.125" style="74" customWidth="1"/>
    <col min="1915" max="1916" width="11.625" style="74" customWidth="1"/>
    <col min="1917" max="1917" width="12.5" style="74" customWidth="1"/>
    <col min="1918" max="2092" width="11.625" style="74" customWidth="1"/>
    <col min="2093" max="2093" width="17.75" style="74" customWidth="1"/>
    <col min="2094" max="2095" width="9" style="74" customWidth="1"/>
    <col min="2096" max="2096" width="16.25" style="74" customWidth="1"/>
    <col min="2097" max="2097" width="24" style="74" customWidth="1"/>
    <col min="2098" max="2098" width="9" style="74"/>
    <col min="2099" max="2099" width="11.75" style="74" customWidth="1"/>
    <col min="2100" max="2100" width="8.875" style="74" customWidth="1"/>
    <col min="2101" max="2101" width="17.375" style="74" customWidth="1"/>
    <col min="2102" max="2102" width="13.25" style="74" customWidth="1"/>
    <col min="2103" max="2103" width="25.75" style="74" customWidth="1"/>
    <col min="2104" max="2104" width="11.125" style="74" customWidth="1"/>
    <col min="2105" max="2105" width="10.75" style="74" customWidth="1"/>
    <col min="2106" max="2106" width="9" style="74" customWidth="1"/>
    <col min="2107" max="2107" width="9.75" style="74" customWidth="1"/>
    <col min="2108" max="2108" width="7.5" style="74" customWidth="1"/>
    <col min="2109" max="2109" width="13.25" style="74" customWidth="1"/>
    <col min="2110" max="2110" width="11.75" style="74" customWidth="1"/>
    <col min="2111" max="2111" width="8.875" style="74" customWidth="1"/>
    <col min="2112" max="2112" width="9.625" style="74" customWidth="1"/>
    <col min="2113" max="2114" width="11.875" style="74" customWidth="1"/>
    <col min="2115" max="2115" width="11.5" style="74" customWidth="1"/>
    <col min="2116" max="2131" width="12.25" style="74" customWidth="1"/>
    <col min="2132" max="2132" width="13" style="74" customWidth="1"/>
    <col min="2133" max="2137" width="12.375" style="74" customWidth="1"/>
    <col min="2138" max="2138" width="13" style="74" customWidth="1"/>
    <col min="2139" max="2140" width="12.375" style="74" customWidth="1"/>
    <col min="2141" max="2141" width="13" style="74" customWidth="1"/>
    <col min="2142" max="2142" width="13.125" style="74" customWidth="1"/>
    <col min="2143" max="2143" width="13" style="74" customWidth="1"/>
    <col min="2144" max="2144" width="13.125" style="74" customWidth="1"/>
    <col min="2145" max="2146" width="12.375" style="74" customWidth="1"/>
    <col min="2147" max="2147" width="13" style="74" customWidth="1"/>
    <col min="2148" max="2148" width="12.375" style="74" customWidth="1"/>
    <col min="2149" max="2149" width="12.25" style="74" customWidth="1"/>
    <col min="2150" max="2150" width="12.125" style="74" customWidth="1"/>
    <col min="2151" max="2151" width="11.625" style="74" customWidth="1"/>
    <col min="2152" max="2152" width="12" style="74" customWidth="1"/>
    <col min="2153" max="2153" width="13" style="74" customWidth="1"/>
    <col min="2154" max="2154" width="11.625" style="74" customWidth="1"/>
    <col min="2155" max="2156" width="12" style="74" customWidth="1"/>
    <col min="2157" max="2159" width="11.625" style="74" customWidth="1"/>
    <col min="2160" max="2160" width="11.125" style="74" customWidth="1"/>
    <col min="2161" max="2161" width="12" style="74" customWidth="1"/>
    <col min="2162" max="2162" width="13" style="74" customWidth="1"/>
    <col min="2163" max="2163" width="13.625" style="74" customWidth="1"/>
    <col min="2164" max="2164" width="11.875" style="74" customWidth="1"/>
    <col min="2165" max="2166" width="11.625" style="74" customWidth="1"/>
    <col min="2167" max="2167" width="12" style="74" customWidth="1"/>
    <col min="2168" max="2168" width="12.75" style="74" customWidth="1"/>
    <col min="2169" max="2169" width="11.625" style="74" customWidth="1"/>
    <col min="2170" max="2170" width="12.125" style="74" customWidth="1"/>
    <col min="2171" max="2172" width="11.625" style="74" customWidth="1"/>
    <col min="2173" max="2173" width="12.5" style="74" customWidth="1"/>
    <col min="2174" max="2348" width="11.625" style="74" customWidth="1"/>
    <col min="2349" max="2349" width="17.75" style="74" customWidth="1"/>
    <col min="2350" max="2351" width="9" style="74" customWidth="1"/>
    <col min="2352" max="2352" width="16.25" style="74" customWidth="1"/>
    <col min="2353" max="2353" width="24" style="74" customWidth="1"/>
    <col min="2354" max="2354" width="9" style="74"/>
    <col min="2355" max="2355" width="11.75" style="74" customWidth="1"/>
    <col min="2356" max="2356" width="8.875" style="74" customWidth="1"/>
    <col min="2357" max="2357" width="17.375" style="74" customWidth="1"/>
    <col min="2358" max="2358" width="13.25" style="74" customWidth="1"/>
    <col min="2359" max="2359" width="25.75" style="74" customWidth="1"/>
    <col min="2360" max="2360" width="11.125" style="74" customWidth="1"/>
    <col min="2361" max="2361" width="10.75" style="74" customWidth="1"/>
    <col min="2362" max="2362" width="9" style="74" customWidth="1"/>
    <col min="2363" max="2363" width="9.75" style="74" customWidth="1"/>
    <col min="2364" max="2364" width="7.5" style="74" customWidth="1"/>
    <col min="2365" max="2365" width="13.25" style="74" customWidth="1"/>
    <col min="2366" max="2366" width="11.75" style="74" customWidth="1"/>
    <col min="2367" max="2367" width="8.875" style="74" customWidth="1"/>
    <col min="2368" max="2368" width="9.625" style="74" customWidth="1"/>
    <col min="2369" max="2370" width="11.875" style="74" customWidth="1"/>
    <col min="2371" max="2371" width="11.5" style="74" customWidth="1"/>
    <col min="2372" max="2387" width="12.25" style="74" customWidth="1"/>
    <col min="2388" max="2388" width="13" style="74" customWidth="1"/>
    <col min="2389" max="2393" width="12.375" style="74" customWidth="1"/>
    <col min="2394" max="2394" width="13" style="74" customWidth="1"/>
    <col min="2395" max="2396" width="12.375" style="74" customWidth="1"/>
    <col min="2397" max="2397" width="13" style="74" customWidth="1"/>
    <col min="2398" max="2398" width="13.125" style="74" customWidth="1"/>
    <col min="2399" max="2399" width="13" style="74" customWidth="1"/>
    <col min="2400" max="2400" width="13.125" style="74" customWidth="1"/>
    <col min="2401" max="2402" width="12.375" style="74" customWidth="1"/>
    <col min="2403" max="2403" width="13" style="74" customWidth="1"/>
    <col min="2404" max="2404" width="12.375" style="74" customWidth="1"/>
    <col min="2405" max="2405" width="12.25" style="74" customWidth="1"/>
    <col min="2406" max="2406" width="12.125" style="74" customWidth="1"/>
    <col min="2407" max="2407" width="11.625" style="74" customWidth="1"/>
    <col min="2408" max="2408" width="12" style="74" customWidth="1"/>
    <col min="2409" max="2409" width="13" style="74" customWidth="1"/>
    <col min="2410" max="2410" width="11.625" style="74" customWidth="1"/>
    <col min="2411" max="2412" width="12" style="74" customWidth="1"/>
    <col min="2413" max="2415" width="11.625" style="74" customWidth="1"/>
    <col min="2416" max="2416" width="11.125" style="74" customWidth="1"/>
    <col min="2417" max="2417" width="12" style="74" customWidth="1"/>
    <col min="2418" max="2418" width="13" style="74" customWidth="1"/>
    <col min="2419" max="2419" width="13.625" style="74" customWidth="1"/>
    <col min="2420" max="2420" width="11.875" style="74" customWidth="1"/>
    <col min="2421" max="2422" width="11.625" style="74" customWidth="1"/>
    <col min="2423" max="2423" width="12" style="74" customWidth="1"/>
    <col min="2424" max="2424" width="12.75" style="74" customWidth="1"/>
    <col min="2425" max="2425" width="11.625" style="74" customWidth="1"/>
    <col min="2426" max="2426" width="12.125" style="74" customWidth="1"/>
    <col min="2427" max="2428" width="11.625" style="74" customWidth="1"/>
    <col min="2429" max="2429" width="12.5" style="74" customWidth="1"/>
    <col min="2430" max="2604" width="11.625" style="74" customWidth="1"/>
    <col min="2605" max="2605" width="17.75" style="74" customWidth="1"/>
    <col min="2606" max="2607" width="9" style="74" customWidth="1"/>
    <col min="2608" max="2608" width="16.25" style="74" customWidth="1"/>
    <col min="2609" max="2609" width="24" style="74" customWidth="1"/>
    <col min="2610" max="2610" width="9" style="74"/>
    <col min="2611" max="2611" width="11.75" style="74" customWidth="1"/>
    <col min="2612" max="2612" width="8.875" style="74" customWidth="1"/>
    <col min="2613" max="2613" width="17.375" style="74" customWidth="1"/>
    <col min="2614" max="2614" width="13.25" style="74" customWidth="1"/>
    <col min="2615" max="2615" width="25.75" style="74" customWidth="1"/>
    <col min="2616" max="2616" width="11.125" style="74" customWidth="1"/>
    <col min="2617" max="2617" width="10.75" style="74" customWidth="1"/>
    <col min="2618" max="2618" width="9" style="74" customWidth="1"/>
    <col min="2619" max="2619" width="9.75" style="74" customWidth="1"/>
    <col min="2620" max="2620" width="7.5" style="74" customWidth="1"/>
    <col min="2621" max="2621" width="13.25" style="74" customWidth="1"/>
    <col min="2622" max="2622" width="11.75" style="74" customWidth="1"/>
    <col min="2623" max="2623" width="8.875" style="74" customWidth="1"/>
    <col min="2624" max="2624" width="9.625" style="74" customWidth="1"/>
    <col min="2625" max="2626" width="11.875" style="74" customWidth="1"/>
    <col min="2627" max="2627" width="11.5" style="74" customWidth="1"/>
    <col min="2628" max="2643" width="12.25" style="74" customWidth="1"/>
    <col min="2644" max="2644" width="13" style="74" customWidth="1"/>
    <col min="2645" max="2649" width="12.375" style="74" customWidth="1"/>
    <col min="2650" max="2650" width="13" style="74" customWidth="1"/>
    <col min="2651" max="2652" width="12.375" style="74" customWidth="1"/>
    <col min="2653" max="2653" width="13" style="74" customWidth="1"/>
    <col min="2654" max="2654" width="13.125" style="74" customWidth="1"/>
    <col min="2655" max="2655" width="13" style="74" customWidth="1"/>
    <col min="2656" max="2656" width="13.125" style="74" customWidth="1"/>
    <col min="2657" max="2658" width="12.375" style="74" customWidth="1"/>
    <col min="2659" max="2659" width="13" style="74" customWidth="1"/>
    <col min="2660" max="2660" width="12.375" style="74" customWidth="1"/>
    <col min="2661" max="2661" width="12.25" style="74" customWidth="1"/>
    <col min="2662" max="2662" width="12.125" style="74" customWidth="1"/>
    <col min="2663" max="2663" width="11.625" style="74" customWidth="1"/>
    <col min="2664" max="2664" width="12" style="74" customWidth="1"/>
    <col min="2665" max="2665" width="13" style="74" customWidth="1"/>
    <col min="2666" max="2666" width="11.625" style="74" customWidth="1"/>
    <col min="2667" max="2668" width="12" style="74" customWidth="1"/>
    <col min="2669" max="2671" width="11.625" style="74" customWidth="1"/>
    <col min="2672" max="2672" width="11.125" style="74" customWidth="1"/>
    <col min="2673" max="2673" width="12" style="74" customWidth="1"/>
    <col min="2674" max="2674" width="13" style="74" customWidth="1"/>
    <col min="2675" max="2675" width="13.625" style="74" customWidth="1"/>
    <col min="2676" max="2676" width="11.875" style="74" customWidth="1"/>
    <col min="2677" max="2678" width="11.625" style="74" customWidth="1"/>
    <col min="2679" max="2679" width="12" style="74" customWidth="1"/>
    <col min="2680" max="2680" width="12.75" style="74" customWidth="1"/>
    <col min="2681" max="2681" width="11.625" style="74" customWidth="1"/>
    <col min="2682" max="2682" width="12.125" style="74" customWidth="1"/>
    <col min="2683" max="2684" width="11.625" style="74" customWidth="1"/>
    <col min="2685" max="2685" width="12.5" style="74" customWidth="1"/>
    <col min="2686" max="2860" width="11.625" style="74" customWidth="1"/>
    <col min="2861" max="2861" width="17.75" style="74" customWidth="1"/>
    <col min="2862" max="2863" width="9" style="74" customWidth="1"/>
    <col min="2864" max="2864" width="16.25" style="74" customWidth="1"/>
    <col min="2865" max="2865" width="24" style="74" customWidth="1"/>
    <col min="2866" max="2866" width="9" style="74"/>
    <col min="2867" max="2867" width="11.75" style="74" customWidth="1"/>
    <col min="2868" max="2868" width="8.875" style="74" customWidth="1"/>
    <col min="2869" max="2869" width="17.375" style="74" customWidth="1"/>
    <col min="2870" max="2870" width="13.25" style="74" customWidth="1"/>
    <col min="2871" max="2871" width="25.75" style="74" customWidth="1"/>
    <col min="2872" max="2872" width="11.125" style="74" customWidth="1"/>
    <col min="2873" max="2873" width="10.75" style="74" customWidth="1"/>
    <col min="2874" max="2874" width="9" style="74" customWidth="1"/>
    <col min="2875" max="2875" width="9.75" style="74" customWidth="1"/>
    <col min="2876" max="2876" width="7.5" style="74" customWidth="1"/>
    <col min="2877" max="2877" width="13.25" style="74" customWidth="1"/>
    <col min="2878" max="2878" width="11.75" style="74" customWidth="1"/>
    <col min="2879" max="2879" width="8.875" style="74" customWidth="1"/>
    <col min="2880" max="2880" width="9.625" style="74" customWidth="1"/>
    <col min="2881" max="2882" width="11.875" style="74" customWidth="1"/>
    <col min="2883" max="2883" width="11.5" style="74" customWidth="1"/>
    <col min="2884" max="2899" width="12.25" style="74" customWidth="1"/>
    <col min="2900" max="2900" width="13" style="74" customWidth="1"/>
    <col min="2901" max="2905" width="12.375" style="74" customWidth="1"/>
    <col min="2906" max="2906" width="13" style="74" customWidth="1"/>
    <col min="2907" max="2908" width="12.375" style="74" customWidth="1"/>
    <col min="2909" max="2909" width="13" style="74" customWidth="1"/>
    <col min="2910" max="2910" width="13.125" style="74" customWidth="1"/>
    <col min="2911" max="2911" width="13" style="74" customWidth="1"/>
    <col min="2912" max="2912" width="13.125" style="74" customWidth="1"/>
    <col min="2913" max="2914" width="12.375" style="74" customWidth="1"/>
    <col min="2915" max="2915" width="13" style="74" customWidth="1"/>
    <col min="2916" max="2916" width="12.375" style="74" customWidth="1"/>
    <col min="2917" max="2917" width="12.25" style="74" customWidth="1"/>
    <col min="2918" max="2918" width="12.125" style="74" customWidth="1"/>
    <col min="2919" max="2919" width="11.625" style="74" customWidth="1"/>
    <col min="2920" max="2920" width="12" style="74" customWidth="1"/>
    <col min="2921" max="2921" width="13" style="74" customWidth="1"/>
    <col min="2922" max="2922" width="11.625" style="74" customWidth="1"/>
    <col min="2923" max="2924" width="12" style="74" customWidth="1"/>
    <col min="2925" max="2927" width="11.625" style="74" customWidth="1"/>
    <col min="2928" max="2928" width="11.125" style="74" customWidth="1"/>
    <col min="2929" max="2929" width="12" style="74" customWidth="1"/>
    <col min="2930" max="2930" width="13" style="74" customWidth="1"/>
    <col min="2931" max="2931" width="13.625" style="74" customWidth="1"/>
    <col min="2932" max="2932" width="11.875" style="74" customWidth="1"/>
    <col min="2933" max="2934" width="11.625" style="74" customWidth="1"/>
    <col min="2935" max="2935" width="12" style="74" customWidth="1"/>
    <col min="2936" max="2936" width="12.75" style="74" customWidth="1"/>
    <col min="2937" max="2937" width="11.625" style="74" customWidth="1"/>
    <col min="2938" max="2938" width="12.125" style="74" customWidth="1"/>
    <col min="2939" max="2940" width="11.625" style="74" customWidth="1"/>
    <col min="2941" max="2941" width="12.5" style="74" customWidth="1"/>
    <col min="2942" max="3116" width="11.625" style="74" customWidth="1"/>
    <col min="3117" max="3117" width="17.75" style="74" customWidth="1"/>
    <col min="3118" max="3119" width="9" style="74" customWidth="1"/>
    <col min="3120" max="3120" width="16.25" style="74" customWidth="1"/>
    <col min="3121" max="3121" width="24" style="74" customWidth="1"/>
    <col min="3122" max="3122" width="9" style="74"/>
    <col min="3123" max="3123" width="11.75" style="74" customWidth="1"/>
    <col min="3124" max="3124" width="8.875" style="74" customWidth="1"/>
    <col min="3125" max="3125" width="17.375" style="74" customWidth="1"/>
    <col min="3126" max="3126" width="13.25" style="74" customWidth="1"/>
    <col min="3127" max="3127" width="25.75" style="74" customWidth="1"/>
    <col min="3128" max="3128" width="11.125" style="74" customWidth="1"/>
    <col min="3129" max="3129" width="10.75" style="74" customWidth="1"/>
    <col min="3130" max="3130" width="9" style="74" customWidth="1"/>
    <col min="3131" max="3131" width="9.75" style="74" customWidth="1"/>
    <col min="3132" max="3132" width="7.5" style="74" customWidth="1"/>
    <col min="3133" max="3133" width="13.25" style="74" customWidth="1"/>
    <col min="3134" max="3134" width="11.75" style="74" customWidth="1"/>
    <col min="3135" max="3135" width="8.875" style="74" customWidth="1"/>
    <col min="3136" max="3136" width="9.625" style="74" customWidth="1"/>
    <col min="3137" max="3138" width="11.875" style="74" customWidth="1"/>
    <col min="3139" max="3139" width="11.5" style="74" customWidth="1"/>
    <col min="3140" max="3155" width="12.25" style="74" customWidth="1"/>
    <col min="3156" max="3156" width="13" style="74" customWidth="1"/>
    <col min="3157" max="3161" width="12.375" style="74" customWidth="1"/>
    <col min="3162" max="3162" width="13" style="74" customWidth="1"/>
    <col min="3163" max="3164" width="12.375" style="74" customWidth="1"/>
    <col min="3165" max="3165" width="13" style="74" customWidth="1"/>
    <col min="3166" max="3166" width="13.125" style="74" customWidth="1"/>
    <col min="3167" max="3167" width="13" style="74" customWidth="1"/>
    <col min="3168" max="3168" width="13.125" style="74" customWidth="1"/>
    <col min="3169" max="3170" width="12.375" style="74" customWidth="1"/>
    <col min="3171" max="3171" width="13" style="74" customWidth="1"/>
    <col min="3172" max="3172" width="12.375" style="74" customWidth="1"/>
    <col min="3173" max="3173" width="12.25" style="74" customWidth="1"/>
    <col min="3174" max="3174" width="12.125" style="74" customWidth="1"/>
    <col min="3175" max="3175" width="11.625" style="74" customWidth="1"/>
    <col min="3176" max="3176" width="12" style="74" customWidth="1"/>
    <col min="3177" max="3177" width="13" style="74" customWidth="1"/>
    <col min="3178" max="3178" width="11.625" style="74" customWidth="1"/>
    <col min="3179" max="3180" width="12" style="74" customWidth="1"/>
    <col min="3181" max="3183" width="11.625" style="74" customWidth="1"/>
    <col min="3184" max="3184" width="11.125" style="74" customWidth="1"/>
    <col min="3185" max="3185" width="12" style="74" customWidth="1"/>
    <col min="3186" max="3186" width="13" style="74" customWidth="1"/>
    <col min="3187" max="3187" width="13.625" style="74" customWidth="1"/>
    <col min="3188" max="3188" width="11.875" style="74" customWidth="1"/>
    <col min="3189" max="3190" width="11.625" style="74" customWidth="1"/>
    <col min="3191" max="3191" width="12" style="74" customWidth="1"/>
    <col min="3192" max="3192" width="12.75" style="74" customWidth="1"/>
    <col min="3193" max="3193" width="11.625" style="74" customWidth="1"/>
    <col min="3194" max="3194" width="12.125" style="74" customWidth="1"/>
    <col min="3195" max="3196" width="11.625" style="74" customWidth="1"/>
    <col min="3197" max="3197" width="12.5" style="74" customWidth="1"/>
    <col min="3198" max="3372" width="11.625" style="74" customWidth="1"/>
    <col min="3373" max="3373" width="17.75" style="74" customWidth="1"/>
    <col min="3374" max="3375" width="9" style="74" customWidth="1"/>
    <col min="3376" max="3376" width="16.25" style="74" customWidth="1"/>
    <col min="3377" max="3377" width="24" style="74" customWidth="1"/>
    <col min="3378" max="3378" width="9" style="74"/>
    <col min="3379" max="3379" width="11.75" style="74" customWidth="1"/>
    <col min="3380" max="3380" width="8.875" style="74" customWidth="1"/>
    <col min="3381" max="3381" width="17.375" style="74" customWidth="1"/>
    <col min="3382" max="3382" width="13.25" style="74" customWidth="1"/>
    <col min="3383" max="3383" width="25.75" style="74" customWidth="1"/>
    <col min="3384" max="3384" width="11.125" style="74" customWidth="1"/>
    <col min="3385" max="3385" width="10.75" style="74" customWidth="1"/>
    <col min="3386" max="3386" width="9" style="74" customWidth="1"/>
    <col min="3387" max="3387" width="9.75" style="74" customWidth="1"/>
    <col min="3388" max="3388" width="7.5" style="74" customWidth="1"/>
    <col min="3389" max="3389" width="13.25" style="74" customWidth="1"/>
    <col min="3390" max="3390" width="11.75" style="74" customWidth="1"/>
    <col min="3391" max="3391" width="8.875" style="74" customWidth="1"/>
    <col min="3392" max="3392" width="9.625" style="74" customWidth="1"/>
    <col min="3393" max="3394" width="11.875" style="74" customWidth="1"/>
    <col min="3395" max="3395" width="11.5" style="74" customWidth="1"/>
    <col min="3396" max="3411" width="12.25" style="74" customWidth="1"/>
    <col min="3412" max="3412" width="13" style="74" customWidth="1"/>
    <col min="3413" max="3417" width="12.375" style="74" customWidth="1"/>
    <col min="3418" max="3418" width="13" style="74" customWidth="1"/>
    <col min="3419" max="3420" width="12.375" style="74" customWidth="1"/>
    <col min="3421" max="3421" width="13" style="74" customWidth="1"/>
    <col min="3422" max="3422" width="13.125" style="74" customWidth="1"/>
    <col min="3423" max="3423" width="13" style="74" customWidth="1"/>
    <col min="3424" max="3424" width="13.125" style="74" customWidth="1"/>
    <col min="3425" max="3426" width="12.375" style="74" customWidth="1"/>
    <col min="3427" max="3427" width="13" style="74" customWidth="1"/>
    <col min="3428" max="3428" width="12.375" style="74" customWidth="1"/>
    <col min="3429" max="3429" width="12.25" style="74" customWidth="1"/>
    <col min="3430" max="3430" width="12.125" style="74" customWidth="1"/>
    <col min="3431" max="3431" width="11.625" style="74" customWidth="1"/>
    <col min="3432" max="3432" width="12" style="74" customWidth="1"/>
    <col min="3433" max="3433" width="13" style="74" customWidth="1"/>
    <col min="3434" max="3434" width="11.625" style="74" customWidth="1"/>
    <col min="3435" max="3436" width="12" style="74" customWidth="1"/>
    <col min="3437" max="3439" width="11.625" style="74" customWidth="1"/>
    <col min="3440" max="3440" width="11.125" style="74" customWidth="1"/>
    <col min="3441" max="3441" width="12" style="74" customWidth="1"/>
    <col min="3442" max="3442" width="13" style="74" customWidth="1"/>
    <col min="3443" max="3443" width="13.625" style="74" customWidth="1"/>
    <col min="3444" max="3444" width="11.875" style="74" customWidth="1"/>
    <col min="3445" max="3446" width="11.625" style="74" customWidth="1"/>
    <col min="3447" max="3447" width="12" style="74" customWidth="1"/>
    <col min="3448" max="3448" width="12.75" style="74" customWidth="1"/>
    <col min="3449" max="3449" width="11.625" style="74" customWidth="1"/>
    <col min="3450" max="3450" width="12.125" style="74" customWidth="1"/>
    <col min="3451" max="3452" width="11.625" style="74" customWidth="1"/>
    <col min="3453" max="3453" width="12.5" style="74" customWidth="1"/>
    <col min="3454" max="3628" width="11.625" style="74" customWidth="1"/>
    <col min="3629" max="3629" width="17.75" style="74" customWidth="1"/>
    <col min="3630" max="3631" width="9" style="74" customWidth="1"/>
    <col min="3632" max="3632" width="16.25" style="74" customWidth="1"/>
    <col min="3633" max="3633" width="24" style="74" customWidth="1"/>
    <col min="3634" max="3634" width="9" style="74"/>
    <col min="3635" max="3635" width="11.75" style="74" customWidth="1"/>
    <col min="3636" max="3636" width="8.875" style="74" customWidth="1"/>
    <col min="3637" max="3637" width="17.375" style="74" customWidth="1"/>
    <col min="3638" max="3638" width="13.25" style="74" customWidth="1"/>
    <col min="3639" max="3639" width="25.75" style="74" customWidth="1"/>
    <col min="3640" max="3640" width="11.125" style="74" customWidth="1"/>
    <col min="3641" max="3641" width="10.75" style="74" customWidth="1"/>
    <col min="3642" max="3642" width="9" style="74" customWidth="1"/>
    <col min="3643" max="3643" width="9.75" style="74" customWidth="1"/>
    <col min="3644" max="3644" width="7.5" style="74" customWidth="1"/>
    <col min="3645" max="3645" width="13.25" style="74" customWidth="1"/>
    <col min="3646" max="3646" width="11.75" style="74" customWidth="1"/>
    <col min="3647" max="3647" width="8.875" style="74" customWidth="1"/>
    <col min="3648" max="3648" width="9.625" style="74" customWidth="1"/>
    <col min="3649" max="3650" width="11.875" style="74" customWidth="1"/>
    <col min="3651" max="3651" width="11.5" style="74" customWidth="1"/>
    <col min="3652" max="3667" width="12.25" style="74" customWidth="1"/>
    <col min="3668" max="3668" width="13" style="74" customWidth="1"/>
    <col min="3669" max="3673" width="12.375" style="74" customWidth="1"/>
    <col min="3674" max="3674" width="13" style="74" customWidth="1"/>
    <col min="3675" max="3676" width="12.375" style="74" customWidth="1"/>
    <col min="3677" max="3677" width="13" style="74" customWidth="1"/>
    <col min="3678" max="3678" width="13.125" style="74" customWidth="1"/>
    <col min="3679" max="3679" width="13" style="74" customWidth="1"/>
    <col min="3680" max="3680" width="13.125" style="74" customWidth="1"/>
    <col min="3681" max="3682" width="12.375" style="74" customWidth="1"/>
    <col min="3683" max="3683" width="13" style="74" customWidth="1"/>
    <col min="3684" max="3684" width="12.375" style="74" customWidth="1"/>
    <col min="3685" max="3685" width="12.25" style="74" customWidth="1"/>
    <col min="3686" max="3686" width="12.125" style="74" customWidth="1"/>
    <col min="3687" max="3687" width="11.625" style="74" customWidth="1"/>
    <col min="3688" max="3688" width="12" style="74" customWidth="1"/>
    <col min="3689" max="3689" width="13" style="74" customWidth="1"/>
    <col min="3690" max="3690" width="11.625" style="74" customWidth="1"/>
    <col min="3691" max="3692" width="12" style="74" customWidth="1"/>
    <col min="3693" max="3695" width="11.625" style="74" customWidth="1"/>
    <col min="3696" max="3696" width="11.125" style="74" customWidth="1"/>
    <col min="3697" max="3697" width="12" style="74" customWidth="1"/>
    <col min="3698" max="3698" width="13" style="74" customWidth="1"/>
    <col min="3699" max="3699" width="13.625" style="74" customWidth="1"/>
    <col min="3700" max="3700" width="11.875" style="74" customWidth="1"/>
    <col min="3701" max="3702" width="11.625" style="74" customWidth="1"/>
    <col min="3703" max="3703" width="12" style="74" customWidth="1"/>
    <col min="3704" max="3704" width="12.75" style="74" customWidth="1"/>
    <col min="3705" max="3705" width="11.625" style="74" customWidth="1"/>
    <col min="3706" max="3706" width="12.125" style="74" customWidth="1"/>
    <col min="3707" max="3708" width="11.625" style="74" customWidth="1"/>
    <col min="3709" max="3709" width="12.5" style="74" customWidth="1"/>
    <col min="3710" max="3884" width="11.625" style="74" customWidth="1"/>
    <col min="3885" max="3885" width="17.75" style="74" customWidth="1"/>
    <col min="3886" max="3887" width="9" style="74" customWidth="1"/>
    <col min="3888" max="3888" width="16.25" style="74" customWidth="1"/>
    <col min="3889" max="3889" width="24" style="74" customWidth="1"/>
    <col min="3890" max="3890" width="9" style="74"/>
    <col min="3891" max="3891" width="11.75" style="74" customWidth="1"/>
    <col min="3892" max="3892" width="8.875" style="74" customWidth="1"/>
    <col min="3893" max="3893" width="17.375" style="74" customWidth="1"/>
    <col min="3894" max="3894" width="13.25" style="74" customWidth="1"/>
    <col min="3895" max="3895" width="25.75" style="74" customWidth="1"/>
    <col min="3896" max="3896" width="11.125" style="74" customWidth="1"/>
    <col min="3897" max="3897" width="10.75" style="74" customWidth="1"/>
    <col min="3898" max="3898" width="9" style="74" customWidth="1"/>
    <col min="3899" max="3899" width="9.75" style="74" customWidth="1"/>
    <col min="3900" max="3900" width="7.5" style="74" customWidth="1"/>
    <col min="3901" max="3901" width="13.25" style="74" customWidth="1"/>
    <col min="3902" max="3902" width="11.75" style="74" customWidth="1"/>
    <col min="3903" max="3903" width="8.875" style="74" customWidth="1"/>
    <col min="3904" max="3904" width="9.625" style="74" customWidth="1"/>
    <col min="3905" max="3906" width="11.875" style="74" customWidth="1"/>
    <col min="3907" max="3907" width="11.5" style="74" customWidth="1"/>
    <col min="3908" max="3923" width="12.25" style="74" customWidth="1"/>
    <col min="3924" max="3924" width="13" style="74" customWidth="1"/>
    <col min="3925" max="3929" width="12.375" style="74" customWidth="1"/>
    <col min="3930" max="3930" width="13" style="74" customWidth="1"/>
    <col min="3931" max="3932" width="12.375" style="74" customWidth="1"/>
    <col min="3933" max="3933" width="13" style="74" customWidth="1"/>
    <col min="3934" max="3934" width="13.125" style="74" customWidth="1"/>
    <col min="3935" max="3935" width="13" style="74" customWidth="1"/>
    <col min="3936" max="3936" width="13.125" style="74" customWidth="1"/>
    <col min="3937" max="3938" width="12.375" style="74" customWidth="1"/>
    <col min="3939" max="3939" width="13" style="74" customWidth="1"/>
    <col min="3940" max="3940" width="12.375" style="74" customWidth="1"/>
    <col min="3941" max="3941" width="12.25" style="74" customWidth="1"/>
    <col min="3942" max="3942" width="12.125" style="74" customWidth="1"/>
    <col min="3943" max="3943" width="11.625" style="74" customWidth="1"/>
    <col min="3944" max="3944" width="12" style="74" customWidth="1"/>
    <col min="3945" max="3945" width="13" style="74" customWidth="1"/>
    <col min="3946" max="3946" width="11.625" style="74" customWidth="1"/>
    <col min="3947" max="3948" width="12" style="74" customWidth="1"/>
    <col min="3949" max="3951" width="11.625" style="74" customWidth="1"/>
    <col min="3952" max="3952" width="11.125" style="74" customWidth="1"/>
    <col min="3953" max="3953" width="12" style="74" customWidth="1"/>
    <col min="3954" max="3954" width="13" style="74" customWidth="1"/>
    <col min="3955" max="3955" width="13.625" style="74" customWidth="1"/>
    <col min="3956" max="3956" width="11.875" style="74" customWidth="1"/>
    <col min="3957" max="3958" width="11.625" style="74" customWidth="1"/>
    <col min="3959" max="3959" width="12" style="74" customWidth="1"/>
    <col min="3960" max="3960" width="12.75" style="74" customWidth="1"/>
    <col min="3961" max="3961" width="11.625" style="74" customWidth="1"/>
    <col min="3962" max="3962" width="12.125" style="74" customWidth="1"/>
    <col min="3963" max="3964" width="11.625" style="74" customWidth="1"/>
    <col min="3965" max="3965" width="12.5" style="74" customWidth="1"/>
    <col min="3966" max="4140" width="11.625" style="74" customWidth="1"/>
    <col min="4141" max="4141" width="17.75" style="74" customWidth="1"/>
    <col min="4142" max="4143" width="9" style="74" customWidth="1"/>
    <col min="4144" max="4144" width="16.25" style="74" customWidth="1"/>
    <col min="4145" max="4145" width="24" style="74" customWidth="1"/>
    <col min="4146" max="4146" width="9" style="74"/>
    <col min="4147" max="4147" width="11.75" style="74" customWidth="1"/>
    <col min="4148" max="4148" width="8.875" style="74" customWidth="1"/>
    <col min="4149" max="4149" width="17.375" style="74" customWidth="1"/>
    <col min="4150" max="4150" width="13.25" style="74" customWidth="1"/>
    <col min="4151" max="4151" width="25.75" style="74" customWidth="1"/>
    <col min="4152" max="4152" width="11.125" style="74" customWidth="1"/>
    <col min="4153" max="4153" width="10.75" style="74" customWidth="1"/>
    <col min="4154" max="4154" width="9" style="74" customWidth="1"/>
    <col min="4155" max="4155" width="9.75" style="74" customWidth="1"/>
    <col min="4156" max="4156" width="7.5" style="74" customWidth="1"/>
    <col min="4157" max="4157" width="13.25" style="74" customWidth="1"/>
    <col min="4158" max="4158" width="11.75" style="74" customWidth="1"/>
    <col min="4159" max="4159" width="8.875" style="74" customWidth="1"/>
    <col min="4160" max="4160" width="9.625" style="74" customWidth="1"/>
    <col min="4161" max="4162" width="11.875" style="74" customWidth="1"/>
    <col min="4163" max="4163" width="11.5" style="74" customWidth="1"/>
    <col min="4164" max="4179" width="12.25" style="74" customWidth="1"/>
    <col min="4180" max="4180" width="13" style="74" customWidth="1"/>
    <col min="4181" max="4185" width="12.375" style="74" customWidth="1"/>
    <col min="4186" max="4186" width="13" style="74" customWidth="1"/>
    <col min="4187" max="4188" width="12.375" style="74" customWidth="1"/>
    <col min="4189" max="4189" width="13" style="74" customWidth="1"/>
    <col min="4190" max="4190" width="13.125" style="74" customWidth="1"/>
    <col min="4191" max="4191" width="13" style="74" customWidth="1"/>
    <col min="4192" max="4192" width="13.125" style="74" customWidth="1"/>
    <col min="4193" max="4194" width="12.375" style="74" customWidth="1"/>
    <col min="4195" max="4195" width="13" style="74" customWidth="1"/>
    <col min="4196" max="4196" width="12.375" style="74" customWidth="1"/>
    <col min="4197" max="4197" width="12.25" style="74" customWidth="1"/>
    <col min="4198" max="4198" width="12.125" style="74" customWidth="1"/>
    <col min="4199" max="4199" width="11.625" style="74" customWidth="1"/>
    <col min="4200" max="4200" width="12" style="74" customWidth="1"/>
    <col min="4201" max="4201" width="13" style="74" customWidth="1"/>
    <col min="4202" max="4202" width="11.625" style="74" customWidth="1"/>
    <col min="4203" max="4204" width="12" style="74" customWidth="1"/>
    <col min="4205" max="4207" width="11.625" style="74" customWidth="1"/>
    <col min="4208" max="4208" width="11.125" style="74" customWidth="1"/>
    <col min="4209" max="4209" width="12" style="74" customWidth="1"/>
    <col min="4210" max="4210" width="13" style="74" customWidth="1"/>
    <col min="4211" max="4211" width="13.625" style="74" customWidth="1"/>
    <col min="4212" max="4212" width="11.875" style="74" customWidth="1"/>
    <col min="4213" max="4214" width="11.625" style="74" customWidth="1"/>
    <col min="4215" max="4215" width="12" style="74" customWidth="1"/>
    <col min="4216" max="4216" width="12.75" style="74" customWidth="1"/>
    <col min="4217" max="4217" width="11.625" style="74" customWidth="1"/>
    <col min="4218" max="4218" width="12.125" style="74" customWidth="1"/>
    <col min="4219" max="4220" width="11.625" style="74" customWidth="1"/>
    <col min="4221" max="4221" width="12.5" style="74" customWidth="1"/>
    <col min="4222" max="4396" width="11.625" style="74" customWidth="1"/>
    <col min="4397" max="4397" width="17.75" style="74" customWidth="1"/>
    <col min="4398" max="4399" width="9" style="74" customWidth="1"/>
    <col min="4400" max="4400" width="16.25" style="74" customWidth="1"/>
    <col min="4401" max="4401" width="24" style="74" customWidth="1"/>
    <col min="4402" max="4402" width="9" style="74"/>
    <col min="4403" max="4403" width="11.75" style="74" customWidth="1"/>
    <col min="4404" max="4404" width="8.875" style="74" customWidth="1"/>
    <col min="4405" max="4405" width="17.375" style="74" customWidth="1"/>
    <col min="4406" max="4406" width="13.25" style="74" customWidth="1"/>
    <col min="4407" max="4407" width="25.75" style="74" customWidth="1"/>
    <col min="4408" max="4408" width="11.125" style="74" customWidth="1"/>
    <col min="4409" max="4409" width="10.75" style="74" customWidth="1"/>
    <col min="4410" max="4410" width="9" style="74" customWidth="1"/>
    <col min="4411" max="4411" width="9.75" style="74" customWidth="1"/>
    <col min="4412" max="4412" width="7.5" style="74" customWidth="1"/>
    <col min="4413" max="4413" width="13.25" style="74" customWidth="1"/>
    <col min="4414" max="4414" width="11.75" style="74" customWidth="1"/>
    <col min="4415" max="4415" width="8.875" style="74" customWidth="1"/>
    <col min="4416" max="4416" width="9.625" style="74" customWidth="1"/>
    <col min="4417" max="4418" width="11.875" style="74" customWidth="1"/>
    <col min="4419" max="4419" width="11.5" style="74" customWidth="1"/>
    <col min="4420" max="4435" width="12.25" style="74" customWidth="1"/>
    <col min="4436" max="4436" width="13" style="74" customWidth="1"/>
    <col min="4437" max="4441" width="12.375" style="74" customWidth="1"/>
    <col min="4442" max="4442" width="13" style="74" customWidth="1"/>
    <col min="4443" max="4444" width="12.375" style="74" customWidth="1"/>
    <col min="4445" max="4445" width="13" style="74" customWidth="1"/>
    <col min="4446" max="4446" width="13.125" style="74" customWidth="1"/>
    <col min="4447" max="4447" width="13" style="74" customWidth="1"/>
    <col min="4448" max="4448" width="13.125" style="74" customWidth="1"/>
    <col min="4449" max="4450" width="12.375" style="74" customWidth="1"/>
    <col min="4451" max="4451" width="13" style="74" customWidth="1"/>
    <col min="4452" max="4452" width="12.375" style="74" customWidth="1"/>
    <col min="4453" max="4453" width="12.25" style="74" customWidth="1"/>
    <col min="4454" max="4454" width="12.125" style="74" customWidth="1"/>
    <col min="4455" max="4455" width="11.625" style="74" customWidth="1"/>
    <col min="4456" max="4456" width="12" style="74" customWidth="1"/>
    <col min="4457" max="4457" width="13" style="74" customWidth="1"/>
    <col min="4458" max="4458" width="11.625" style="74" customWidth="1"/>
    <col min="4459" max="4460" width="12" style="74" customWidth="1"/>
    <col min="4461" max="4463" width="11.625" style="74" customWidth="1"/>
    <col min="4464" max="4464" width="11.125" style="74" customWidth="1"/>
    <col min="4465" max="4465" width="12" style="74" customWidth="1"/>
    <col min="4466" max="4466" width="13" style="74" customWidth="1"/>
    <col min="4467" max="4467" width="13.625" style="74" customWidth="1"/>
    <col min="4468" max="4468" width="11.875" style="74" customWidth="1"/>
    <col min="4469" max="4470" width="11.625" style="74" customWidth="1"/>
    <col min="4471" max="4471" width="12" style="74" customWidth="1"/>
    <col min="4472" max="4472" width="12.75" style="74" customWidth="1"/>
    <col min="4473" max="4473" width="11.625" style="74" customWidth="1"/>
    <col min="4474" max="4474" width="12.125" style="74" customWidth="1"/>
    <col min="4475" max="4476" width="11.625" style="74" customWidth="1"/>
    <col min="4477" max="4477" width="12.5" style="74" customWidth="1"/>
    <col min="4478" max="4652" width="11.625" style="74" customWidth="1"/>
    <col min="4653" max="4653" width="17.75" style="74" customWidth="1"/>
    <col min="4654" max="4655" width="9" style="74" customWidth="1"/>
    <col min="4656" max="4656" width="16.25" style="74" customWidth="1"/>
    <col min="4657" max="4657" width="24" style="74" customWidth="1"/>
    <col min="4658" max="4658" width="9" style="74"/>
    <col min="4659" max="4659" width="11.75" style="74" customWidth="1"/>
    <col min="4660" max="4660" width="8.875" style="74" customWidth="1"/>
    <col min="4661" max="4661" width="17.375" style="74" customWidth="1"/>
    <col min="4662" max="4662" width="13.25" style="74" customWidth="1"/>
    <col min="4663" max="4663" width="25.75" style="74" customWidth="1"/>
    <col min="4664" max="4664" width="11.125" style="74" customWidth="1"/>
    <col min="4665" max="4665" width="10.75" style="74" customWidth="1"/>
    <col min="4666" max="4666" width="9" style="74" customWidth="1"/>
    <col min="4667" max="4667" width="9.75" style="74" customWidth="1"/>
    <col min="4668" max="4668" width="7.5" style="74" customWidth="1"/>
    <col min="4669" max="4669" width="13.25" style="74" customWidth="1"/>
    <col min="4670" max="4670" width="11.75" style="74" customWidth="1"/>
    <col min="4671" max="4671" width="8.875" style="74" customWidth="1"/>
    <col min="4672" max="4672" width="9.625" style="74" customWidth="1"/>
    <col min="4673" max="4674" width="11.875" style="74" customWidth="1"/>
    <col min="4675" max="4675" width="11.5" style="74" customWidth="1"/>
    <col min="4676" max="4691" width="12.25" style="74" customWidth="1"/>
    <col min="4692" max="4692" width="13" style="74" customWidth="1"/>
    <col min="4693" max="4697" width="12.375" style="74" customWidth="1"/>
    <col min="4698" max="4698" width="13" style="74" customWidth="1"/>
    <col min="4699" max="4700" width="12.375" style="74" customWidth="1"/>
    <col min="4701" max="4701" width="13" style="74" customWidth="1"/>
    <col min="4702" max="4702" width="13.125" style="74" customWidth="1"/>
    <col min="4703" max="4703" width="13" style="74" customWidth="1"/>
    <col min="4704" max="4704" width="13.125" style="74" customWidth="1"/>
    <col min="4705" max="4706" width="12.375" style="74" customWidth="1"/>
    <col min="4707" max="4707" width="13" style="74" customWidth="1"/>
    <col min="4708" max="4708" width="12.375" style="74" customWidth="1"/>
    <col min="4709" max="4709" width="12.25" style="74" customWidth="1"/>
    <col min="4710" max="4710" width="12.125" style="74" customWidth="1"/>
    <col min="4711" max="4711" width="11.625" style="74" customWidth="1"/>
    <col min="4712" max="4712" width="12" style="74" customWidth="1"/>
    <col min="4713" max="4713" width="13" style="74" customWidth="1"/>
    <col min="4714" max="4714" width="11.625" style="74" customWidth="1"/>
    <col min="4715" max="4716" width="12" style="74" customWidth="1"/>
    <col min="4717" max="4719" width="11.625" style="74" customWidth="1"/>
    <col min="4720" max="4720" width="11.125" style="74" customWidth="1"/>
    <col min="4721" max="4721" width="12" style="74" customWidth="1"/>
    <col min="4722" max="4722" width="13" style="74" customWidth="1"/>
    <col min="4723" max="4723" width="13.625" style="74" customWidth="1"/>
    <col min="4724" max="4724" width="11.875" style="74" customWidth="1"/>
    <col min="4725" max="4726" width="11.625" style="74" customWidth="1"/>
    <col min="4727" max="4727" width="12" style="74" customWidth="1"/>
    <col min="4728" max="4728" width="12.75" style="74" customWidth="1"/>
    <col min="4729" max="4729" width="11.625" style="74" customWidth="1"/>
    <col min="4730" max="4730" width="12.125" style="74" customWidth="1"/>
    <col min="4731" max="4732" width="11.625" style="74" customWidth="1"/>
    <col min="4733" max="4733" width="12.5" style="74" customWidth="1"/>
    <col min="4734" max="4908" width="11.625" style="74" customWidth="1"/>
    <col min="4909" max="4909" width="17.75" style="74" customWidth="1"/>
    <col min="4910" max="4911" width="9" style="74" customWidth="1"/>
    <col min="4912" max="4912" width="16.25" style="74" customWidth="1"/>
    <col min="4913" max="4913" width="24" style="74" customWidth="1"/>
    <col min="4914" max="4914" width="9" style="74"/>
    <col min="4915" max="4915" width="11.75" style="74" customWidth="1"/>
    <col min="4916" max="4916" width="8.875" style="74" customWidth="1"/>
    <col min="4917" max="4917" width="17.375" style="74" customWidth="1"/>
    <col min="4918" max="4918" width="13.25" style="74" customWidth="1"/>
    <col min="4919" max="4919" width="25.75" style="74" customWidth="1"/>
    <col min="4920" max="4920" width="11.125" style="74" customWidth="1"/>
    <col min="4921" max="4921" width="10.75" style="74" customWidth="1"/>
    <col min="4922" max="4922" width="9" style="74" customWidth="1"/>
    <col min="4923" max="4923" width="9.75" style="74" customWidth="1"/>
    <col min="4924" max="4924" width="7.5" style="74" customWidth="1"/>
    <col min="4925" max="4925" width="13.25" style="74" customWidth="1"/>
    <col min="4926" max="4926" width="11.75" style="74" customWidth="1"/>
    <col min="4927" max="4927" width="8.875" style="74" customWidth="1"/>
    <col min="4928" max="4928" width="9.625" style="74" customWidth="1"/>
    <col min="4929" max="4930" width="11.875" style="74" customWidth="1"/>
    <col min="4931" max="4931" width="11.5" style="74" customWidth="1"/>
    <col min="4932" max="4947" width="12.25" style="74" customWidth="1"/>
    <col min="4948" max="4948" width="13" style="74" customWidth="1"/>
    <col min="4949" max="4953" width="12.375" style="74" customWidth="1"/>
    <col min="4954" max="4954" width="13" style="74" customWidth="1"/>
    <col min="4955" max="4956" width="12.375" style="74" customWidth="1"/>
    <col min="4957" max="4957" width="13" style="74" customWidth="1"/>
    <col min="4958" max="4958" width="13.125" style="74" customWidth="1"/>
    <col min="4959" max="4959" width="13" style="74" customWidth="1"/>
    <col min="4960" max="4960" width="13.125" style="74" customWidth="1"/>
    <col min="4961" max="4962" width="12.375" style="74" customWidth="1"/>
    <col min="4963" max="4963" width="13" style="74" customWidth="1"/>
    <col min="4964" max="4964" width="12.375" style="74" customWidth="1"/>
    <col min="4965" max="4965" width="12.25" style="74" customWidth="1"/>
    <col min="4966" max="4966" width="12.125" style="74" customWidth="1"/>
    <col min="4967" max="4967" width="11.625" style="74" customWidth="1"/>
    <col min="4968" max="4968" width="12" style="74" customWidth="1"/>
    <col min="4969" max="4969" width="13" style="74" customWidth="1"/>
    <col min="4970" max="4970" width="11.625" style="74" customWidth="1"/>
    <col min="4971" max="4972" width="12" style="74" customWidth="1"/>
    <col min="4973" max="4975" width="11.625" style="74" customWidth="1"/>
    <col min="4976" max="4976" width="11.125" style="74" customWidth="1"/>
    <col min="4977" max="4977" width="12" style="74" customWidth="1"/>
    <col min="4978" max="4978" width="13" style="74" customWidth="1"/>
    <col min="4979" max="4979" width="13.625" style="74" customWidth="1"/>
    <col min="4980" max="4980" width="11.875" style="74" customWidth="1"/>
    <col min="4981" max="4982" width="11.625" style="74" customWidth="1"/>
    <col min="4983" max="4983" width="12" style="74" customWidth="1"/>
    <col min="4984" max="4984" width="12.75" style="74" customWidth="1"/>
    <col min="4985" max="4985" width="11.625" style="74" customWidth="1"/>
    <col min="4986" max="4986" width="12.125" style="74" customWidth="1"/>
    <col min="4987" max="4988" width="11.625" style="74" customWidth="1"/>
    <col min="4989" max="4989" width="12.5" style="74" customWidth="1"/>
    <col min="4990" max="5164" width="11.625" style="74" customWidth="1"/>
    <col min="5165" max="5165" width="17.75" style="74" customWidth="1"/>
    <col min="5166" max="5167" width="9" style="74" customWidth="1"/>
    <col min="5168" max="5168" width="16.25" style="74" customWidth="1"/>
    <col min="5169" max="5169" width="24" style="74" customWidth="1"/>
    <col min="5170" max="5170" width="9" style="74"/>
    <col min="5171" max="5171" width="11.75" style="74" customWidth="1"/>
    <col min="5172" max="5172" width="8.875" style="74" customWidth="1"/>
    <col min="5173" max="5173" width="17.375" style="74" customWidth="1"/>
    <col min="5174" max="5174" width="13.25" style="74" customWidth="1"/>
    <col min="5175" max="5175" width="25.75" style="74" customWidth="1"/>
    <col min="5176" max="5176" width="11.125" style="74" customWidth="1"/>
    <col min="5177" max="5177" width="10.75" style="74" customWidth="1"/>
    <col min="5178" max="5178" width="9" style="74" customWidth="1"/>
    <col min="5179" max="5179" width="9.75" style="74" customWidth="1"/>
    <col min="5180" max="5180" width="7.5" style="74" customWidth="1"/>
    <col min="5181" max="5181" width="13.25" style="74" customWidth="1"/>
    <col min="5182" max="5182" width="11.75" style="74" customWidth="1"/>
    <col min="5183" max="5183" width="8.875" style="74" customWidth="1"/>
    <col min="5184" max="5184" width="9.625" style="74" customWidth="1"/>
    <col min="5185" max="5186" width="11.875" style="74" customWidth="1"/>
    <col min="5187" max="5187" width="11.5" style="74" customWidth="1"/>
    <col min="5188" max="5203" width="12.25" style="74" customWidth="1"/>
    <col min="5204" max="5204" width="13" style="74" customWidth="1"/>
    <col min="5205" max="5209" width="12.375" style="74" customWidth="1"/>
    <col min="5210" max="5210" width="13" style="74" customWidth="1"/>
    <col min="5211" max="5212" width="12.375" style="74" customWidth="1"/>
    <col min="5213" max="5213" width="13" style="74" customWidth="1"/>
    <col min="5214" max="5214" width="13.125" style="74" customWidth="1"/>
    <col min="5215" max="5215" width="13" style="74" customWidth="1"/>
    <col min="5216" max="5216" width="13.125" style="74" customWidth="1"/>
    <col min="5217" max="5218" width="12.375" style="74" customWidth="1"/>
    <col min="5219" max="5219" width="13" style="74" customWidth="1"/>
    <col min="5220" max="5220" width="12.375" style="74" customWidth="1"/>
    <col min="5221" max="5221" width="12.25" style="74" customWidth="1"/>
    <col min="5222" max="5222" width="12.125" style="74" customWidth="1"/>
    <col min="5223" max="5223" width="11.625" style="74" customWidth="1"/>
    <col min="5224" max="5224" width="12" style="74" customWidth="1"/>
    <col min="5225" max="5225" width="13" style="74" customWidth="1"/>
    <col min="5226" max="5226" width="11.625" style="74" customWidth="1"/>
    <col min="5227" max="5228" width="12" style="74" customWidth="1"/>
    <col min="5229" max="5231" width="11.625" style="74" customWidth="1"/>
    <col min="5232" max="5232" width="11.125" style="74" customWidth="1"/>
    <col min="5233" max="5233" width="12" style="74" customWidth="1"/>
    <col min="5234" max="5234" width="13" style="74" customWidth="1"/>
    <col min="5235" max="5235" width="13.625" style="74" customWidth="1"/>
    <col min="5236" max="5236" width="11.875" style="74" customWidth="1"/>
    <col min="5237" max="5238" width="11.625" style="74" customWidth="1"/>
    <col min="5239" max="5239" width="12" style="74" customWidth="1"/>
    <col min="5240" max="5240" width="12.75" style="74" customWidth="1"/>
    <col min="5241" max="5241" width="11.625" style="74" customWidth="1"/>
    <col min="5242" max="5242" width="12.125" style="74" customWidth="1"/>
    <col min="5243" max="5244" width="11.625" style="74" customWidth="1"/>
    <col min="5245" max="5245" width="12.5" style="74" customWidth="1"/>
    <col min="5246" max="5420" width="11.625" style="74" customWidth="1"/>
    <col min="5421" max="5421" width="17.75" style="74" customWidth="1"/>
    <col min="5422" max="5423" width="9" style="74" customWidth="1"/>
    <col min="5424" max="5424" width="16.25" style="74" customWidth="1"/>
    <col min="5425" max="5425" width="24" style="74" customWidth="1"/>
    <col min="5426" max="5426" width="9" style="74"/>
    <col min="5427" max="5427" width="11.75" style="74" customWidth="1"/>
    <col min="5428" max="5428" width="8.875" style="74" customWidth="1"/>
    <col min="5429" max="5429" width="17.375" style="74" customWidth="1"/>
    <col min="5430" max="5430" width="13.25" style="74" customWidth="1"/>
    <col min="5431" max="5431" width="25.75" style="74" customWidth="1"/>
    <col min="5432" max="5432" width="11.125" style="74" customWidth="1"/>
    <col min="5433" max="5433" width="10.75" style="74" customWidth="1"/>
    <col min="5434" max="5434" width="9" style="74" customWidth="1"/>
    <col min="5435" max="5435" width="9.75" style="74" customWidth="1"/>
    <col min="5436" max="5436" width="7.5" style="74" customWidth="1"/>
    <col min="5437" max="5437" width="13.25" style="74" customWidth="1"/>
    <col min="5438" max="5438" width="11.75" style="74" customWidth="1"/>
    <col min="5439" max="5439" width="8.875" style="74" customWidth="1"/>
    <col min="5440" max="5440" width="9.625" style="74" customWidth="1"/>
    <col min="5441" max="5442" width="11.875" style="74" customWidth="1"/>
    <col min="5443" max="5443" width="11.5" style="74" customWidth="1"/>
    <col min="5444" max="5459" width="12.25" style="74" customWidth="1"/>
    <col min="5460" max="5460" width="13" style="74" customWidth="1"/>
    <col min="5461" max="5465" width="12.375" style="74" customWidth="1"/>
    <col min="5466" max="5466" width="13" style="74" customWidth="1"/>
    <col min="5467" max="5468" width="12.375" style="74" customWidth="1"/>
    <col min="5469" max="5469" width="13" style="74" customWidth="1"/>
    <col min="5470" max="5470" width="13.125" style="74" customWidth="1"/>
    <col min="5471" max="5471" width="13" style="74" customWidth="1"/>
    <col min="5472" max="5472" width="13.125" style="74" customWidth="1"/>
    <col min="5473" max="5474" width="12.375" style="74" customWidth="1"/>
    <col min="5475" max="5475" width="13" style="74" customWidth="1"/>
    <col min="5476" max="5476" width="12.375" style="74" customWidth="1"/>
    <col min="5477" max="5477" width="12.25" style="74" customWidth="1"/>
    <col min="5478" max="5478" width="12.125" style="74" customWidth="1"/>
    <col min="5479" max="5479" width="11.625" style="74" customWidth="1"/>
    <col min="5480" max="5480" width="12" style="74" customWidth="1"/>
    <col min="5481" max="5481" width="13" style="74" customWidth="1"/>
    <col min="5482" max="5482" width="11.625" style="74" customWidth="1"/>
    <col min="5483" max="5484" width="12" style="74" customWidth="1"/>
    <col min="5485" max="5487" width="11.625" style="74" customWidth="1"/>
    <col min="5488" max="5488" width="11.125" style="74" customWidth="1"/>
    <col min="5489" max="5489" width="12" style="74" customWidth="1"/>
    <col min="5490" max="5490" width="13" style="74" customWidth="1"/>
    <col min="5491" max="5491" width="13.625" style="74" customWidth="1"/>
    <col min="5492" max="5492" width="11.875" style="74" customWidth="1"/>
    <col min="5493" max="5494" width="11.625" style="74" customWidth="1"/>
    <col min="5495" max="5495" width="12" style="74" customWidth="1"/>
    <col min="5496" max="5496" width="12.75" style="74" customWidth="1"/>
    <col min="5497" max="5497" width="11.625" style="74" customWidth="1"/>
    <col min="5498" max="5498" width="12.125" style="74" customWidth="1"/>
    <col min="5499" max="5500" width="11.625" style="74" customWidth="1"/>
    <col min="5501" max="5501" width="12.5" style="74" customWidth="1"/>
    <col min="5502" max="5676" width="11.625" style="74" customWidth="1"/>
    <col min="5677" max="5677" width="17.75" style="74" customWidth="1"/>
    <col min="5678" max="5679" width="9" style="74" customWidth="1"/>
    <col min="5680" max="5680" width="16.25" style="74" customWidth="1"/>
    <col min="5681" max="5681" width="24" style="74" customWidth="1"/>
    <col min="5682" max="5682" width="9" style="74"/>
    <col min="5683" max="5683" width="11.75" style="74" customWidth="1"/>
    <col min="5684" max="5684" width="8.875" style="74" customWidth="1"/>
    <col min="5685" max="5685" width="17.375" style="74" customWidth="1"/>
    <col min="5686" max="5686" width="13.25" style="74" customWidth="1"/>
    <col min="5687" max="5687" width="25.75" style="74" customWidth="1"/>
    <col min="5688" max="5688" width="11.125" style="74" customWidth="1"/>
    <col min="5689" max="5689" width="10.75" style="74" customWidth="1"/>
    <col min="5690" max="5690" width="9" style="74" customWidth="1"/>
    <col min="5691" max="5691" width="9.75" style="74" customWidth="1"/>
    <col min="5692" max="5692" width="7.5" style="74" customWidth="1"/>
    <col min="5693" max="5693" width="13.25" style="74" customWidth="1"/>
    <col min="5694" max="5694" width="11.75" style="74" customWidth="1"/>
    <col min="5695" max="5695" width="8.875" style="74" customWidth="1"/>
    <col min="5696" max="5696" width="9.625" style="74" customWidth="1"/>
    <col min="5697" max="5698" width="11.875" style="74" customWidth="1"/>
    <col min="5699" max="5699" width="11.5" style="74" customWidth="1"/>
    <col min="5700" max="5715" width="12.25" style="74" customWidth="1"/>
    <col min="5716" max="5716" width="13" style="74" customWidth="1"/>
    <col min="5717" max="5721" width="12.375" style="74" customWidth="1"/>
    <col min="5722" max="5722" width="13" style="74" customWidth="1"/>
    <col min="5723" max="5724" width="12.375" style="74" customWidth="1"/>
    <col min="5725" max="5725" width="13" style="74" customWidth="1"/>
    <col min="5726" max="5726" width="13.125" style="74" customWidth="1"/>
    <col min="5727" max="5727" width="13" style="74" customWidth="1"/>
    <col min="5728" max="5728" width="13.125" style="74" customWidth="1"/>
    <col min="5729" max="5730" width="12.375" style="74" customWidth="1"/>
    <col min="5731" max="5731" width="13" style="74" customWidth="1"/>
    <col min="5732" max="5732" width="12.375" style="74" customWidth="1"/>
    <col min="5733" max="5733" width="12.25" style="74" customWidth="1"/>
    <col min="5734" max="5734" width="12.125" style="74" customWidth="1"/>
    <col min="5735" max="5735" width="11.625" style="74" customWidth="1"/>
    <col min="5736" max="5736" width="12" style="74" customWidth="1"/>
    <col min="5737" max="5737" width="13" style="74" customWidth="1"/>
    <col min="5738" max="5738" width="11.625" style="74" customWidth="1"/>
    <col min="5739" max="5740" width="12" style="74" customWidth="1"/>
    <col min="5741" max="5743" width="11.625" style="74" customWidth="1"/>
    <col min="5744" max="5744" width="11.125" style="74" customWidth="1"/>
    <col min="5745" max="5745" width="12" style="74" customWidth="1"/>
    <col min="5746" max="5746" width="13" style="74" customWidth="1"/>
    <col min="5747" max="5747" width="13.625" style="74" customWidth="1"/>
    <col min="5748" max="5748" width="11.875" style="74" customWidth="1"/>
    <col min="5749" max="5750" width="11.625" style="74" customWidth="1"/>
    <col min="5751" max="5751" width="12" style="74" customWidth="1"/>
    <col min="5752" max="5752" width="12.75" style="74" customWidth="1"/>
    <col min="5753" max="5753" width="11.625" style="74" customWidth="1"/>
    <col min="5754" max="5754" width="12.125" style="74" customWidth="1"/>
    <col min="5755" max="5756" width="11.625" style="74" customWidth="1"/>
    <col min="5757" max="5757" width="12.5" style="74" customWidth="1"/>
    <col min="5758" max="5932" width="11.625" style="74" customWidth="1"/>
    <col min="5933" max="5933" width="17.75" style="74" customWidth="1"/>
    <col min="5934" max="5935" width="9" style="74" customWidth="1"/>
    <col min="5936" max="5936" width="16.25" style="74" customWidth="1"/>
    <col min="5937" max="5937" width="24" style="74" customWidth="1"/>
    <col min="5938" max="5938" width="9" style="74"/>
    <col min="5939" max="5939" width="11.75" style="74" customWidth="1"/>
    <col min="5940" max="5940" width="8.875" style="74" customWidth="1"/>
    <col min="5941" max="5941" width="17.375" style="74" customWidth="1"/>
    <col min="5942" max="5942" width="13.25" style="74" customWidth="1"/>
    <col min="5943" max="5943" width="25.75" style="74" customWidth="1"/>
    <col min="5944" max="5944" width="11.125" style="74" customWidth="1"/>
    <col min="5945" max="5945" width="10.75" style="74" customWidth="1"/>
    <col min="5946" max="5946" width="9" style="74" customWidth="1"/>
    <col min="5947" max="5947" width="9.75" style="74" customWidth="1"/>
    <col min="5948" max="5948" width="7.5" style="74" customWidth="1"/>
    <col min="5949" max="5949" width="13.25" style="74" customWidth="1"/>
    <col min="5950" max="5950" width="11.75" style="74" customWidth="1"/>
    <col min="5951" max="5951" width="8.875" style="74" customWidth="1"/>
    <col min="5952" max="5952" width="9.625" style="74" customWidth="1"/>
    <col min="5953" max="5954" width="11.875" style="74" customWidth="1"/>
    <col min="5955" max="5955" width="11.5" style="74" customWidth="1"/>
    <col min="5956" max="5971" width="12.25" style="74" customWidth="1"/>
    <col min="5972" max="5972" width="13" style="74" customWidth="1"/>
    <col min="5973" max="5977" width="12.375" style="74" customWidth="1"/>
    <col min="5978" max="5978" width="13" style="74" customWidth="1"/>
    <col min="5979" max="5980" width="12.375" style="74" customWidth="1"/>
    <col min="5981" max="5981" width="13" style="74" customWidth="1"/>
    <col min="5982" max="5982" width="13.125" style="74" customWidth="1"/>
    <col min="5983" max="5983" width="13" style="74" customWidth="1"/>
    <col min="5984" max="5984" width="13.125" style="74" customWidth="1"/>
    <col min="5985" max="5986" width="12.375" style="74" customWidth="1"/>
    <col min="5987" max="5987" width="13" style="74" customWidth="1"/>
    <col min="5988" max="5988" width="12.375" style="74" customWidth="1"/>
    <col min="5989" max="5989" width="12.25" style="74" customWidth="1"/>
    <col min="5990" max="5990" width="12.125" style="74" customWidth="1"/>
    <col min="5991" max="5991" width="11.625" style="74" customWidth="1"/>
    <col min="5992" max="5992" width="12" style="74" customWidth="1"/>
    <col min="5993" max="5993" width="13" style="74" customWidth="1"/>
    <col min="5994" max="5994" width="11.625" style="74" customWidth="1"/>
    <col min="5995" max="5996" width="12" style="74" customWidth="1"/>
    <col min="5997" max="5999" width="11.625" style="74" customWidth="1"/>
    <col min="6000" max="6000" width="11.125" style="74" customWidth="1"/>
    <col min="6001" max="6001" width="12" style="74" customWidth="1"/>
    <col min="6002" max="6002" width="13" style="74" customWidth="1"/>
    <col min="6003" max="6003" width="13.625" style="74" customWidth="1"/>
    <col min="6004" max="6004" width="11.875" style="74" customWidth="1"/>
    <col min="6005" max="6006" width="11.625" style="74" customWidth="1"/>
    <col min="6007" max="6007" width="12" style="74" customWidth="1"/>
    <col min="6008" max="6008" width="12.75" style="74" customWidth="1"/>
    <col min="6009" max="6009" width="11.625" style="74" customWidth="1"/>
    <col min="6010" max="6010" width="12.125" style="74" customWidth="1"/>
    <col min="6011" max="6012" width="11.625" style="74" customWidth="1"/>
    <col min="6013" max="6013" width="12.5" style="74" customWidth="1"/>
    <col min="6014" max="6188" width="11.625" style="74" customWidth="1"/>
    <col min="6189" max="6189" width="17.75" style="74" customWidth="1"/>
    <col min="6190" max="6191" width="9" style="74" customWidth="1"/>
    <col min="6192" max="6192" width="16.25" style="74" customWidth="1"/>
    <col min="6193" max="6193" width="24" style="74" customWidth="1"/>
    <col min="6194" max="6194" width="9" style="74"/>
    <col min="6195" max="6195" width="11.75" style="74" customWidth="1"/>
    <col min="6196" max="6196" width="8.875" style="74" customWidth="1"/>
    <col min="6197" max="6197" width="17.375" style="74" customWidth="1"/>
    <col min="6198" max="6198" width="13.25" style="74" customWidth="1"/>
    <col min="6199" max="6199" width="25.75" style="74" customWidth="1"/>
    <col min="6200" max="6200" width="11.125" style="74" customWidth="1"/>
    <col min="6201" max="6201" width="10.75" style="74" customWidth="1"/>
    <col min="6202" max="6202" width="9" style="74" customWidth="1"/>
    <col min="6203" max="6203" width="9.75" style="74" customWidth="1"/>
    <col min="6204" max="6204" width="7.5" style="74" customWidth="1"/>
    <col min="6205" max="6205" width="13.25" style="74" customWidth="1"/>
    <col min="6206" max="6206" width="11.75" style="74" customWidth="1"/>
    <col min="6207" max="6207" width="8.875" style="74" customWidth="1"/>
    <col min="6208" max="6208" width="9.625" style="74" customWidth="1"/>
    <col min="6209" max="6210" width="11.875" style="74" customWidth="1"/>
    <col min="6211" max="6211" width="11.5" style="74" customWidth="1"/>
    <col min="6212" max="6227" width="12.25" style="74" customWidth="1"/>
    <col min="6228" max="6228" width="13" style="74" customWidth="1"/>
    <col min="6229" max="6233" width="12.375" style="74" customWidth="1"/>
    <col min="6234" max="6234" width="13" style="74" customWidth="1"/>
    <col min="6235" max="6236" width="12.375" style="74" customWidth="1"/>
    <col min="6237" max="6237" width="13" style="74" customWidth="1"/>
    <col min="6238" max="6238" width="13.125" style="74" customWidth="1"/>
    <col min="6239" max="6239" width="13" style="74" customWidth="1"/>
    <col min="6240" max="6240" width="13.125" style="74" customWidth="1"/>
    <col min="6241" max="6242" width="12.375" style="74" customWidth="1"/>
    <col min="6243" max="6243" width="13" style="74" customWidth="1"/>
    <col min="6244" max="6244" width="12.375" style="74" customWidth="1"/>
    <col min="6245" max="6245" width="12.25" style="74" customWidth="1"/>
    <col min="6246" max="6246" width="12.125" style="74" customWidth="1"/>
    <col min="6247" max="6247" width="11.625" style="74" customWidth="1"/>
    <col min="6248" max="6248" width="12" style="74" customWidth="1"/>
    <col min="6249" max="6249" width="13" style="74" customWidth="1"/>
    <col min="6250" max="6250" width="11.625" style="74" customWidth="1"/>
    <col min="6251" max="6252" width="12" style="74" customWidth="1"/>
    <col min="6253" max="6255" width="11.625" style="74" customWidth="1"/>
    <col min="6256" max="6256" width="11.125" style="74" customWidth="1"/>
    <col min="6257" max="6257" width="12" style="74" customWidth="1"/>
    <col min="6258" max="6258" width="13" style="74" customWidth="1"/>
    <col min="6259" max="6259" width="13.625" style="74" customWidth="1"/>
    <col min="6260" max="6260" width="11.875" style="74" customWidth="1"/>
    <col min="6261" max="6262" width="11.625" style="74" customWidth="1"/>
    <col min="6263" max="6263" width="12" style="74" customWidth="1"/>
    <col min="6264" max="6264" width="12.75" style="74" customWidth="1"/>
    <col min="6265" max="6265" width="11.625" style="74" customWidth="1"/>
    <col min="6266" max="6266" width="12.125" style="74" customWidth="1"/>
    <col min="6267" max="6268" width="11.625" style="74" customWidth="1"/>
    <col min="6269" max="6269" width="12.5" style="74" customWidth="1"/>
    <col min="6270" max="6444" width="11.625" style="74" customWidth="1"/>
    <col min="6445" max="6445" width="17.75" style="74" customWidth="1"/>
    <col min="6446" max="6447" width="9" style="74" customWidth="1"/>
    <col min="6448" max="6448" width="16.25" style="74" customWidth="1"/>
    <col min="6449" max="6449" width="24" style="74" customWidth="1"/>
    <col min="6450" max="6450" width="9" style="74"/>
    <col min="6451" max="6451" width="11.75" style="74" customWidth="1"/>
    <col min="6452" max="6452" width="8.875" style="74" customWidth="1"/>
    <col min="6453" max="6453" width="17.375" style="74" customWidth="1"/>
    <col min="6454" max="6454" width="13.25" style="74" customWidth="1"/>
    <col min="6455" max="6455" width="25.75" style="74" customWidth="1"/>
    <col min="6456" max="6456" width="11.125" style="74" customWidth="1"/>
    <col min="6457" max="6457" width="10.75" style="74" customWidth="1"/>
    <col min="6458" max="6458" width="9" style="74" customWidth="1"/>
    <col min="6459" max="6459" width="9.75" style="74" customWidth="1"/>
    <col min="6460" max="6460" width="7.5" style="74" customWidth="1"/>
    <col min="6461" max="6461" width="13.25" style="74" customWidth="1"/>
    <col min="6462" max="6462" width="11.75" style="74" customWidth="1"/>
    <col min="6463" max="6463" width="8.875" style="74" customWidth="1"/>
    <col min="6464" max="6464" width="9.625" style="74" customWidth="1"/>
    <col min="6465" max="6466" width="11.875" style="74" customWidth="1"/>
    <col min="6467" max="6467" width="11.5" style="74" customWidth="1"/>
    <col min="6468" max="6483" width="12.25" style="74" customWidth="1"/>
    <col min="6484" max="6484" width="13" style="74" customWidth="1"/>
    <col min="6485" max="6489" width="12.375" style="74" customWidth="1"/>
    <col min="6490" max="6490" width="13" style="74" customWidth="1"/>
    <col min="6491" max="6492" width="12.375" style="74" customWidth="1"/>
    <col min="6493" max="6493" width="13" style="74" customWidth="1"/>
    <col min="6494" max="6494" width="13.125" style="74" customWidth="1"/>
    <col min="6495" max="6495" width="13" style="74" customWidth="1"/>
    <col min="6496" max="6496" width="13.125" style="74" customWidth="1"/>
    <col min="6497" max="6498" width="12.375" style="74" customWidth="1"/>
    <col min="6499" max="6499" width="13" style="74" customWidth="1"/>
    <col min="6500" max="6500" width="12.375" style="74" customWidth="1"/>
    <col min="6501" max="6501" width="12.25" style="74" customWidth="1"/>
    <col min="6502" max="6502" width="12.125" style="74" customWidth="1"/>
    <col min="6503" max="6503" width="11.625" style="74" customWidth="1"/>
    <col min="6504" max="6504" width="12" style="74" customWidth="1"/>
    <col min="6505" max="6505" width="13" style="74" customWidth="1"/>
    <col min="6506" max="6506" width="11.625" style="74" customWidth="1"/>
    <col min="6507" max="6508" width="12" style="74" customWidth="1"/>
    <col min="6509" max="6511" width="11.625" style="74" customWidth="1"/>
    <col min="6512" max="6512" width="11.125" style="74" customWidth="1"/>
    <col min="6513" max="6513" width="12" style="74" customWidth="1"/>
    <col min="6514" max="6514" width="13" style="74" customWidth="1"/>
    <col min="6515" max="6515" width="13.625" style="74" customWidth="1"/>
    <col min="6516" max="6516" width="11.875" style="74" customWidth="1"/>
    <col min="6517" max="6518" width="11.625" style="74" customWidth="1"/>
    <col min="6519" max="6519" width="12" style="74" customWidth="1"/>
    <col min="6520" max="6520" width="12.75" style="74" customWidth="1"/>
    <col min="6521" max="6521" width="11.625" style="74" customWidth="1"/>
    <col min="6522" max="6522" width="12.125" style="74" customWidth="1"/>
    <col min="6523" max="6524" width="11.625" style="74" customWidth="1"/>
    <col min="6525" max="6525" width="12.5" style="74" customWidth="1"/>
    <col min="6526" max="6700" width="11.625" style="74" customWidth="1"/>
    <col min="6701" max="6701" width="17.75" style="74" customWidth="1"/>
    <col min="6702" max="6703" width="9" style="74" customWidth="1"/>
    <col min="6704" max="6704" width="16.25" style="74" customWidth="1"/>
    <col min="6705" max="6705" width="24" style="74" customWidth="1"/>
    <col min="6706" max="6706" width="9" style="74"/>
    <col min="6707" max="6707" width="11.75" style="74" customWidth="1"/>
    <col min="6708" max="6708" width="8.875" style="74" customWidth="1"/>
    <col min="6709" max="6709" width="17.375" style="74" customWidth="1"/>
    <col min="6710" max="6710" width="13.25" style="74" customWidth="1"/>
    <col min="6711" max="6711" width="25.75" style="74" customWidth="1"/>
    <col min="6712" max="6712" width="11.125" style="74" customWidth="1"/>
    <col min="6713" max="6713" width="10.75" style="74" customWidth="1"/>
    <col min="6714" max="6714" width="9" style="74" customWidth="1"/>
    <col min="6715" max="6715" width="9.75" style="74" customWidth="1"/>
    <col min="6716" max="6716" width="7.5" style="74" customWidth="1"/>
    <col min="6717" max="6717" width="13.25" style="74" customWidth="1"/>
    <col min="6718" max="6718" width="11.75" style="74" customWidth="1"/>
    <col min="6719" max="6719" width="8.875" style="74" customWidth="1"/>
    <col min="6720" max="6720" width="9.625" style="74" customWidth="1"/>
    <col min="6721" max="6722" width="11.875" style="74" customWidth="1"/>
    <col min="6723" max="6723" width="11.5" style="74" customWidth="1"/>
    <col min="6724" max="6739" width="12.25" style="74" customWidth="1"/>
    <col min="6740" max="6740" width="13" style="74" customWidth="1"/>
    <col min="6741" max="6745" width="12.375" style="74" customWidth="1"/>
    <col min="6746" max="6746" width="13" style="74" customWidth="1"/>
    <col min="6747" max="6748" width="12.375" style="74" customWidth="1"/>
    <col min="6749" max="6749" width="13" style="74" customWidth="1"/>
    <col min="6750" max="6750" width="13.125" style="74" customWidth="1"/>
    <col min="6751" max="6751" width="13" style="74" customWidth="1"/>
    <col min="6752" max="6752" width="13.125" style="74" customWidth="1"/>
    <col min="6753" max="6754" width="12.375" style="74" customWidth="1"/>
    <col min="6755" max="6755" width="13" style="74" customWidth="1"/>
    <col min="6756" max="6756" width="12.375" style="74" customWidth="1"/>
    <col min="6757" max="6757" width="12.25" style="74" customWidth="1"/>
    <col min="6758" max="6758" width="12.125" style="74" customWidth="1"/>
    <col min="6759" max="6759" width="11.625" style="74" customWidth="1"/>
    <col min="6760" max="6760" width="12" style="74" customWidth="1"/>
    <col min="6761" max="6761" width="13" style="74" customWidth="1"/>
    <col min="6762" max="6762" width="11.625" style="74" customWidth="1"/>
    <col min="6763" max="6764" width="12" style="74" customWidth="1"/>
    <col min="6765" max="6767" width="11.625" style="74" customWidth="1"/>
    <col min="6768" max="6768" width="11.125" style="74" customWidth="1"/>
    <col min="6769" max="6769" width="12" style="74" customWidth="1"/>
    <col min="6770" max="6770" width="13" style="74" customWidth="1"/>
    <col min="6771" max="6771" width="13.625" style="74" customWidth="1"/>
    <col min="6772" max="6772" width="11.875" style="74" customWidth="1"/>
    <col min="6773" max="6774" width="11.625" style="74" customWidth="1"/>
    <col min="6775" max="6775" width="12" style="74" customWidth="1"/>
    <col min="6776" max="6776" width="12.75" style="74" customWidth="1"/>
    <col min="6777" max="6777" width="11.625" style="74" customWidth="1"/>
    <col min="6778" max="6778" width="12.125" style="74" customWidth="1"/>
    <col min="6779" max="6780" width="11.625" style="74" customWidth="1"/>
    <col min="6781" max="6781" width="12.5" style="74" customWidth="1"/>
    <col min="6782" max="6956" width="11.625" style="74" customWidth="1"/>
    <col min="6957" max="6957" width="17.75" style="74" customWidth="1"/>
    <col min="6958" max="6959" width="9" style="74" customWidth="1"/>
    <col min="6960" max="6960" width="16.25" style="74" customWidth="1"/>
    <col min="6961" max="6961" width="24" style="74" customWidth="1"/>
    <col min="6962" max="6962" width="9" style="74"/>
    <col min="6963" max="6963" width="11.75" style="74" customWidth="1"/>
    <col min="6964" max="6964" width="8.875" style="74" customWidth="1"/>
    <col min="6965" max="6965" width="17.375" style="74" customWidth="1"/>
    <col min="6966" max="6966" width="13.25" style="74" customWidth="1"/>
    <col min="6967" max="6967" width="25.75" style="74" customWidth="1"/>
    <col min="6968" max="6968" width="11.125" style="74" customWidth="1"/>
    <col min="6969" max="6969" width="10.75" style="74" customWidth="1"/>
    <col min="6970" max="6970" width="9" style="74" customWidth="1"/>
    <col min="6971" max="6971" width="9.75" style="74" customWidth="1"/>
    <col min="6972" max="6972" width="7.5" style="74" customWidth="1"/>
    <col min="6973" max="6973" width="13.25" style="74" customWidth="1"/>
    <col min="6974" max="6974" width="11.75" style="74" customWidth="1"/>
    <col min="6975" max="6975" width="8.875" style="74" customWidth="1"/>
    <col min="6976" max="6976" width="9.625" style="74" customWidth="1"/>
    <col min="6977" max="6978" width="11.875" style="74" customWidth="1"/>
    <col min="6979" max="6979" width="11.5" style="74" customWidth="1"/>
    <col min="6980" max="6995" width="12.25" style="74" customWidth="1"/>
    <col min="6996" max="6996" width="13" style="74" customWidth="1"/>
    <col min="6997" max="7001" width="12.375" style="74" customWidth="1"/>
    <col min="7002" max="7002" width="13" style="74" customWidth="1"/>
    <col min="7003" max="7004" width="12.375" style="74" customWidth="1"/>
    <col min="7005" max="7005" width="13" style="74" customWidth="1"/>
    <col min="7006" max="7006" width="13.125" style="74" customWidth="1"/>
    <col min="7007" max="7007" width="13" style="74" customWidth="1"/>
    <col min="7008" max="7008" width="13.125" style="74" customWidth="1"/>
    <col min="7009" max="7010" width="12.375" style="74" customWidth="1"/>
    <col min="7011" max="7011" width="13" style="74" customWidth="1"/>
    <col min="7012" max="7012" width="12.375" style="74" customWidth="1"/>
    <col min="7013" max="7013" width="12.25" style="74" customWidth="1"/>
    <col min="7014" max="7014" width="12.125" style="74" customWidth="1"/>
    <col min="7015" max="7015" width="11.625" style="74" customWidth="1"/>
    <col min="7016" max="7016" width="12" style="74" customWidth="1"/>
    <col min="7017" max="7017" width="13" style="74" customWidth="1"/>
    <col min="7018" max="7018" width="11.625" style="74" customWidth="1"/>
    <col min="7019" max="7020" width="12" style="74" customWidth="1"/>
    <col min="7021" max="7023" width="11.625" style="74" customWidth="1"/>
    <col min="7024" max="7024" width="11.125" style="74" customWidth="1"/>
    <col min="7025" max="7025" width="12" style="74" customWidth="1"/>
    <col min="7026" max="7026" width="13" style="74" customWidth="1"/>
    <col min="7027" max="7027" width="13.625" style="74" customWidth="1"/>
    <col min="7028" max="7028" width="11.875" style="74" customWidth="1"/>
    <col min="7029" max="7030" width="11.625" style="74" customWidth="1"/>
    <col min="7031" max="7031" width="12" style="74" customWidth="1"/>
    <col min="7032" max="7032" width="12.75" style="74" customWidth="1"/>
    <col min="7033" max="7033" width="11.625" style="74" customWidth="1"/>
    <col min="7034" max="7034" width="12.125" style="74" customWidth="1"/>
    <col min="7035" max="7036" width="11.625" style="74" customWidth="1"/>
    <col min="7037" max="7037" width="12.5" style="74" customWidth="1"/>
    <col min="7038" max="7212" width="11.625" style="74" customWidth="1"/>
    <col min="7213" max="7213" width="17.75" style="74" customWidth="1"/>
    <col min="7214" max="7215" width="9" style="74" customWidth="1"/>
    <col min="7216" max="7216" width="16.25" style="74" customWidth="1"/>
    <col min="7217" max="7217" width="24" style="74" customWidth="1"/>
    <col min="7218" max="7218" width="9" style="74"/>
    <col min="7219" max="7219" width="11.75" style="74" customWidth="1"/>
    <col min="7220" max="7220" width="8.875" style="74" customWidth="1"/>
    <col min="7221" max="7221" width="17.375" style="74" customWidth="1"/>
    <col min="7222" max="7222" width="13.25" style="74" customWidth="1"/>
    <col min="7223" max="7223" width="25.75" style="74" customWidth="1"/>
    <col min="7224" max="7224" width="11.125" style="74" customWidth="1"/>
    <col min="7225" max="7225" width="10.75" style="74" customWidth="1"/>
    <col min="7226" max="7226" width="9" style="74" customWidth="1"/>
    <col min="7227" max="7227" width="9.75" style="74" customWidth="1"/>
    <col min="7228" max="7228" width="7.5" style="74" customWidth="1"/>
    <col min="7229" max="7229" width="13.25" style="74" customWidth="1"/>
    <col min="7230" max="7230" width="11.75" style="74" customWidth="1"/>
    <col min="7231" max="7231" width="8.875" style="74" customWidth="1"/>
    <col min="7232" max="7232" width="9.625" style="74" customWidth="1"/>
    <col min="7233" max="7234" width="11.875" style="74" customWidth="1"/>
    <col min="7235" max="7235" width="11.5" style="74" customWidth="1"/>
    <col min="7236" max="7251" width="12.25" style="74" customWidth="1"/>
    <col min="7252" max="7252" width="13" style="74" customWidth="1"/>
    <col min="7253" max="7257" width="12.375" style="74" customWidth="1"/>
    <col min="7258" max="7258" width="13" style="74" customWidth="1"/>
    <col min="7259" max="7260" width="12.375" style="74" customWidth="1"/>
    <col min="7261" max="7261" width="13" style="74" customWidth="1"/>
    <col min="7262" max="7262" width="13.125" style="74" customWidth="1"/>
    <col min="7263" max="7263" width="13" style="74" customWidth="1"/>
    <col min="7264" max="7264" width="13.125" style="74" customWidth="1"/>
    <col min="7265" max="7266" width="12.375" style="74" customWidth="1"/>
    <col min="7267" max="7267" width="13" style="74" customWidth="1"/>
    <col min="7268" max="7268" width="12.375" style="74" customWidth="1"/>
    <col min="7269" max="7269" width="12.25" style="74" customWidth="1"/>
    <col min="7270" max="7270" width="12.125" style="74" customWidth="1"/>
    <col min="7271" max="7271" width="11.625" style="74" customWidth="1"/>
    <col min="7272" max="7272" width="12" style="74" customWidth="1"/>
    <col min="7273" max="7273" width="13" style="74" customWidth="1"/>
    <col min="7274" max="7274" width="11.625" style="74" customWidth="1"/>
    <col min="7275" max="7276" width="12" style="74" customWidth="1"/>
    <col min="7277" max="7279" width="11.625" style="74" customWidth="1"/>
    <col min="7280" max="7280" width="11.125" style="74" customWidth="1"/>
    <col min="7281" max="7281" width="12" style="74" customWidth="1"/>
    <col min="7282" max="7282" width="13" style="74" customWidth="1"/>
    <col min="7283" max="7283" width="13.625" style="74" customWidth="1"/>
    <col min="7284" max="7284" width="11.875" style="74" customWidth="1"/>
    <col min="7285" max="7286" width="11.625" style="74" customWidth="1"/>
    <col min="7287" max="7287" width="12" style="74" customWidth="1"/>
    <col min="7288" max="7288" width="12.75" style="74" customWidth="1"/>
    <col min="7289" max="7289" width="11.625" style="74" customWidth="1"/>
    <col min="7290" max="7290" width="12.125" style="74" customWidth="1"/>
    <col min="7291" max="7292" width="11.625" style="74" customWidth="1"/>
    <col min="7293" max="7293" width="12.5" style="74" customWidth="1"/>
    <col min="7294" max="7468" width="11.625" style="74" customWidth="1"/>
    <col min="7469" max="7469" width="17.75" style="74" customWidth="1"/>
    <col min="7470" max="7471" width="9" style="74" customWidth="1"/>
    <col min="7472" max="7472" width="16.25" style="74" customWidth="1"/>
    <col min="7473" max="7473" width="24" style="74" customWidth="1"/>
    <col min="7474" max="7474" width="9" style="74"/>
    <col min="7475" max="7475" width="11.75" style="74" customWidth="1"/>
    <col min="7476" max="7476" width="8.875" style="74" customWidth="1"/>
    <col min="7477" max="7477" width="17.375" style="74" customWidth="1"/>
    <col min="7478" max="7478" width="13.25" style="74" customWidth="1"/>
    <col min="7479" max="7479" width="25.75" style="74" customWidth="1"/>
    <col min="7480" max="7480" width="11.125" style="74" customWidth="1"/>
    <col min="7481" max="7481" width="10.75" style="74" customWidth="1"/>
    <col min="7482" max="7482" width="9" style="74" customWidth="1"/>
    <col min="7483" max="7483" width="9.75" style="74" customWidth="1"/>
    <col min="7484" max="7484" width="7.5" style="74" customWidth="1"/>
    <col min="7485" max="7485" width="13.25" style="74" customWidth="1"/>
    <col min="7486" max="7486" width="11.75" style="74" customWidth="1"/>
    <col min="7487" max="7487" width="8.875" style="74" customWidth="1"/>
    <col min="7488" max="7488" width="9.625" style="74" customWidth="1"/>
    <col min="7489" max="7490" width="11.875" style="74" customWidth="1"/>
    <col min="7491" max="7491" width="11.5" style="74" customWidth="1"/>
    <col min="7492" max="7507" width="12.25" style="74" customWidth="1"/>
    <col min="7508" max="7508" width="13" style="74" customWidth="1"/>
    <col min="7509" max="7513" width="12.375" style="74" customWidth="1"/>
    <col min="7514" max="7514" width="13" style="74" customWidth="1"/>
    <col min="7515" max="7516" width="12.375" style="74" customWidth="1"/>
    <col min="7517" max="7517" width="13" style="74" customWidth="1"/>
    <col min="7518" max="7518" width="13.125" style="74" customWidth="1"/>
    <col min="7519" max="7519" width="13" style="74" customWidth="1"/>
    <col min="7520" max="7520" width="13.125" style="74" customWidth="1"/>
    <col min="7521" max="7522" width="12.375" style="74" customWidth="1"/>
    <col min="7523" max="7523" width="13" style="74" customWidth="1"/>
    <col min="7524" max="7524" width="12.375" style="74" customWidth="1"/>
    <col min="7525" max="7525" width="12.25" style="74" customWidth="1"/>
    <col min="7526" max="7526" width="12.125" style="74" customWidth="1"/>
    <col min="7527" max="7527" width="11.625" style="74" customWidth="1"/>
    <col min="7528" max="7528" width="12" style="74" customWidth="1"/>
    <col min="7529" max="7529" width="13" style="74" customWidth="1"/>
    <col min="7530" max="7530" width="11.625" style="74" customWidth="1"/>
    <col min="7531" max="7532" width="12" style="74" customWidth="1"/>
    <col min="7533" max="7535" width="11.625" style="74" customWidth="1"/>
    <col min="7536" max="7536" width="11.125" style="74" customWidth="1"/>
    <col min="7537" max="7537" width="12" style="74" customWidth="1"/>
    <col min="7538" max="7538" width="13" style="74" customWidth="1"/>
    <col min="7539" max="7539" width="13.625" style="74" customWidth="1"/>
    <col min="7540" max="7540" width="11.875" style="74" customWidth="1"/>
    <col min="7541" max="7542" width="11.625" style="74" customWidth="1"/>
    <col min="7543" max="7543" width="12" style="74" customWidth="1"/>
    <col min="7544" max="7544" width="12.75" style="74" customWidth="1"/>
    <col min="7545" max="7545" width="11.625" style="74" customWidth="1"/>
    <col min="7546" max="7546" width="12.125" style="74" customWidth="1"/>
    <col min="7547" max="7548" width="11.625" style="74" customWidth="1"/>
    <col min="7549" max="7549" width="12.5" style="74" customWidth="1"/>
    <col min="7550" max="7724" width="11.625" style="74" customWidth="1"/>
    <col min="7725" max="7725" width="17.75" style="74" customWidth="1"/>
    <col min="7726" max="7727" width="9" style="74" customWidth="1"/>
    <col min="7728" max="7728" width="16.25" style="74" customWidth="1"/>
    <col min="7729" max="7729" width="24" style="74" customWidth="1"/>
    <col min="7730" max="7730" width="9" style="74"/>
    <col min="7731" max="7731" width="11.75" style="74" customWidth="1"/>
    <col min="7732" max="7732" width="8.875" style="74" customWidth="1"/>
    <col min="7733" max="7733" width="17.375" style="74" customWidth="1"/>
    <col min="7734" max="7734" width="13.25" style="74" customWidth="1"/>
    <col min="7735" max="7735" width="25.75" style="74" customWidth="1"/>
    <col min="7736" max="7736" width="11.125" style="74" customWidth="1"/>
    <col min="7737" max="7737" width="10.75" style="74" customWidth="1"/>
    <col min="7738" max="7738" width="9" style="74" customWidth="1"/>
    <col min="7739" max="7739" width="9.75" style="74" customWidth="1"/>
    <col min="7740" max="7740" width="7.5" style="74" customWidth="1"/>
    <col min="7741" max="7741" width="13.25" style="74" customWidth="1"/>
    <col min="7742" max="7742" width="11.75" style="74" customWidth="1"/>
    <col min="7743" max="7743" width="8.875" style="74" customWidth="1"/>
    <col min="7744" max="7744" width="9.625" style="74" customWidth="1"/>
    <col min="7745" max="7746" width="11.875" style="74" customWidth="1"/>
    <col min="7747" max="7747" width="11.5" style="74" customWidth="1"/>
    <col min="7748" max="7763" width="12.25" style="74" customWidth="1"/>
    <col min="7764" max="7764" width="13" style="74" customWidth="1"/>
    <col min="7765" max="7769" width="12.375" style="74" customWidth="1"/>
    <col min="7770" max="7770" width="13" style="74" customWidth="1"/>
    <col min="7771" max="7772" width="12.375" style="74" customWidth="1"/>
    <col min="7773" max="7773" width="13" style="74" customWidth="1"/>
    <col min="7774" max="7774" width="13.125" style="74" customWidth="1"/>
    <col min="7775" max="7775" width="13" style="74" customWidth="1"/>
    <col min="7776" max="7776" width="13.125" style="74" customWidth="1"/>
    <col min="7777" max="7778" width="12.375" style="74" customWidth="1"/>
    <col min="7779" max="7779" width="13" style="74" customWidth="1"/>
    <col min="7780" max="7780" width="12.375" style="74" customWidth="1"/>
    <col min="7781" max="7781" width="12.25" style="74" customWidth="1"/>
    <col min="7782" max="7782" width="12.125" style="74" customWidth="1"/>
    <col min="7783" max="7783" width="11.625" style="74" customWidth="1"/>
    <col min="7784" max="7784" width="12" style="74" customWidth="1"/>
    <col min="7785" max="7785" width="13" style="74" customWidth="1"/>
    <col min="7786" max="7786" width="11.625" style="74" customWidth="1"/>
    <col min="7787" max="7788" width="12" style="74" customWidth="1"/>
    <col min="7789" max="7791" width="11.625" style="74" customWidth="1"/>
    <col min="7792" max="7792" width="11.125" style="74" customWidth="1"/>
    <col min="7793" max="7793" width="12" style="74" customWidth="1"/>
    <col min="7794" max="7794" width="13" style="74" customWidth="1"/>
    <col min="7795" max="7795" width="13.625" style="74" customWidth="1"/>
    <col min="7796" max="7796" width="11.875" style="74" customWidth="1"/>
    <col min="7797" max="7798" width="11.625" style="74" customWidth="1"/>
    <col min="7799" max="7799" width="12" style="74" customWidth="1"/>
    <col min="7800" max="7800" width="12.75" style="74" customWidth="1"/>
    <col min="7801" max="7801" width="11.625" style="74" customWidth="1"/>
    <col min="7802" max="7802" width="12.125" style="74" customWidth="1"/>
    <col min="7803" max="7804" width="11.625" style="74" customWidth="1"/>
    <col min="7805" max="7805" width="12.5" style="74" customWidth="1"/>
    <col min="7806" max="7980" width="11.625" style="74" customWidth="1"/>
    <col min="7981" max="7981" width="17.75" style="74" customWidth="1"/>
    <col min="7982" max="7983" width="9" style="74" customWidth="1"/>
    <col min="7984" max="7984" width="16.25" style="74" customWidth="1"/>
    <col min="7985" max="7985" width="24" style="74" customWidth="1"/>
    <col min="7986" max="7986" width="9" style="74"/>
    <col min="7987" max="7987" width="11.75" style="74" customWidth="1"/>
    <col min="7988" max="7988" width="8.875" style="74" customWidth="1"/>
    <col min="7989" max="7989" width="17.375" style="74" customWidth="1"/>
    <col min="7990" max="7990" width="13.25" style="74" customWidth="1"/>
    <col min="7991" max="7991" width="25.75" style="74" customWidth="1"/>
    <col min="7992" max="7992" width="11.125" style="74" customWidth="1"/>
    <col min="7993" max="7993" width="10.75" style="74" customWidth="1"/>
    <col min="7994" max="7994" width="9" style="74" customWidth="1"/>
    <col min="7995" max="7995" width="9.75" style="74" customWidth="1"/>
    <col min="7996" max="7996" width="7.5" style="74" customWidth="1"/>
    <col min="7997" max="7997" width="13.25" style="74" customWidth="1"/>
    <col min="7998" max="7998" width="11.75" style="74" customWidth="1"/>
    <col min="7999" max="7999" width="8.875" style="74" customWidth="1"/>
    <col min="8000" max="8000" width="9.625" style="74" customWidth="1"/>
    <col min="8001" max="8002" width="11.875" style="74" customWidth="1"/>
    <col min="8003" max="8003" width="11.5" style="74" customWidth="1"/>
    <col min="8004" max="8019" width="12.25" style="74" customWidth="1"/>
    <col min="8020" max="8020" width="13" style="74" customWidth="1"/>
    <col min="8021" max="8025" width="12.375" style="74" customWidth="1"/>
    <col min="8026" max="8026" width="13" style="74" customWidth="1"/>
    <col min="8027" max="8028" width="12.375" style="74" customWidth="1"/>
    <col min="8029" max="8029" width="13" style="74" customWidth="1"/>
    <col min="8030" max="8030" width="13.125" style="74" customWidth="1"/>
    <col min="8031" max="8031" width="13" style="74" customWidth="1"/>
    <col min="8032" max="8032" width="13.125" style="74" customWidth="1"/>
    <col min="8033" max="8034" width="12.375" style="74" customWidth="1"/>
    <col min="8035" max="8035" width="13" style="74" customWidth="1"/>
    <col min="8036" max="8036" width="12.375" style="74" customWidth="1"/>
    <col min="8037" max="8037" width="12.25" style="74" customWidth="1"/>
    <col min="8038" max="8038" width="12.125" style="74" customWidth="1"/>
    <col min="8039" max="8039" width="11.625" style="74" customWidth="1"/>
    <col min="8040" max="8040" width="12" style="74" customWidth="1"/>
    <col min="8041" max="8041" width="13" style="74" customWidth="1"/>
    <col min="8042" max="8042" width="11.625" style="74" customWidth="1"/>
    <col min="8043" max="8044" width="12" style="74" customWidth="1"/>
    <col min="8045" max="8047" width="11.625" style="74" customWidth="1"/>
    <col min="8048" max="8048" width="11.125" style="74" customWidth="1"/>
    <col min="8049" max="8049" width="12" style="74" customWidth="1"/>
    <col min="8050" max="8050" width="13" style="74" customWidth="1"/>
    <col min="8051" max="8051" width="13.625" style="74" customWidth="1"/>
    <col min="8052" max="8052" width="11.875" style="74" customWidth="1"/>
    <col min="8053" max="8054" width="11.625" style="74" customWidth="1"/>
    <col min="8055" max="8055" width="12" style="74" customWidth="1"/>
    <col min="8056" max="8056" width="12.75" style="74" customWidth="1"/>
    <col min="8057" max="8057" width="11.625" style="74" customWidth="1"/>
    <col min="8058" max="8058" width="12.125" style="74" customWidth="1"/>
    <col min="8059" max="8060" width="11.625" style="74" customWidth="1"/>
    <col min="8061" max="8061" width="12.5" style="74" customWidth="1"/>
    <col min="8062" max="8236" width="11.625" style="74" customWidth="1"/>
    <col min="8237" max="8237" width="17.75" style="74" customWidth="1"/>
    <col min="8238" max="8239" width="9" style="74" customWidth="1"/>
    <col min="8240" max="8240" width="16.25" style="74" customWidth="1"/>
    <col min="8241" max="8241" width="24" style="74" customWidth="1"/>
    <col min="8242" max="8242" width="9" style="74"/>
    <col min="8243" max="8243" width="11.75" style="74" customWidth="1"/>
    <col min="8244" max="8244" width="8.875" style="74" customWidth="1"/>
    <col min="8245" max="8245" width="17.375" style="74" customWidth="1"/>
    <col min="8246" max="8246" width="13.25" style="74" customWidth="1"/>
    <col min="8247" max="8247" width="25.75" style="74" customWidth="1"/>
    <col min="8248" max="8248" width="11.125" style="74" customWidth="1"/>
    <col min="8249" max="8249" width="10.75" style="74" customWidth="1"/>
    <col min="8250" max="8250" width="9" style="74" customWidth="1"/>
    <col min="8251" max="8251" width="9.75" style="74" customWidth="1"/>
    <col min="8252" max="8252" width="7.5" style="74" customWidth="1"/>
    <col min="8253" max="8253" width="13.25" style="74" customWidth="1"/>
    <col min="8254" max="8254" width="11.75" style="74" customWidth="1"/>
    <col min="8255" max="8255" width="8.875" style="74" customWidth="1"/>
    <col min="8256" max="8256" width="9.625" style="74" customWidth="1"/>
    <col min="8257" max="8258" width="11.875" style="74" customWidth="1"/>
    <col min="8259" max="8259" width="11.5" style="74" customWidth="1"/>
    <col min="8260" max="8275" width="12.25" style="74" customWidth="1"/>
    <col min="8276" max="8276" width="13" style="74" customWidth="1"/>
    <col min="8277" max="8281" width="12.375" style="74" customWidth="1"/>
    <col min="8282" max="8282" width="13" style="74" customWidth="1"/>
    <col min="8283" max="8284" width="12.375" style="74" customWidth="1"/>
    <col min="8285" max="8285" width="13" style="74" customWidth="1"/>
    <col min="8286" max="8286" width="13.125" style="74" customWidth="1"/>
    <col min="8287" max="8287" width="13" style="74" customWidth="1"/>
    <col min="8288" max="8288" width="13.125" style="74" customWidth="1"/>
    <col min="8289" max="8290" width="12.375" style="74" customWidth="1"/>
    <col min="8291" max="8291" width="13" style="74" customWidth="1"/>
    <col min="8292" max="8292" width="12.375" style="74" customWidth="1"/>
    <col min="8293" max="8293" width="12.25" style="74" customWidth="1"/>
    <col min="8294" max="8294" width="12.125" style="74" customWidth="1"/>
    <col min="8295" max="8295" width="11.625" style="74" customWidth="1"/>
    <col min="8296" max="8296" width="12" style="74" customWidth="1"/>
    <col min="8297" max="8297" width="13" style="74" customWidth="1"/>
    <col min="8298" max="8298" width="11.625" style="74" customWidth="1"/>
    <col min="8299" max="8300" width="12" style="74" customWidth="1"/>
    <col min="8301" max="8303" width="11.625" style="74" customWidth="1"/>
    <col min="8304" max="8304" width="11.125" style="74" customWidth="1"/>
    <col min="8305" max="8305" width="12" style="74" customWidth="1"/>
    <col min="8306" max="8306" width="13" style="74" customWidth="1"/>
    <col min="8307" max="8307" width="13.625" style="74" customWidth="1"/>
    <col min="8308" max="8308" width="11.875" style="74" customWidth="1"/>
    <col min="8309" max="8310" width="11.625" style="74" customWidth="1"/>
    <col min="8311" max="8311" width="12" style="74" customWidth="1"/>
    <col min="8312" max="8312" width="12.75" style="74" customWidth="1"/>
    <col min="8313" max="8313" width="11.625" style="74" customWidth="1"/>
    <col min="8314" max="8314" width="12.125" style="74" customWidth="1"/>
    <col min="8315" max="8316" width="11.625" style="74" customWidth="1"/>
    <col min="8317" max="8317" width="12.5" style="74" customWidth="1"/>
    <col min="8318" max="8492" width="11.625" style="74" customWidth="1"/>
    <col min="8493" max="8493" width="17.75" style="74" customWidth="1"/>
    <col min="8494" max="8495" width="9" style="74" customWidth="1"/>
    <col min="8496" max="8496" width="16.25" style="74" customWidth="1"/>
    <col min="8497" max="8497" width="24" style="74" customWidth="1"/>
    <col min="8498" max="8498" width="9" style="74"/>
    <col min="8499" max="8499" width="11.75" style="74" customWidth="1"/>
    <col min="8500" max="8500" width="8.875" style="74" customWidth="1"/>
    <col min="8501" max="8501" width="17.375" style="74" customWidth="1"/>
    <col min="8502" max="8502" width="13.25" style="74" customWidth="1"/>
    <col min="8503" max="8503" width="25.75" style="74" customWidth="1"/>
    <col min="8504" max="8504" width="11.125" style="74" customWidth="1"/>
    <col min="8505" max="8505" width="10.75" style="74" customWidth="1"/>
    <col min="8506" max="8506" width="9" style="74" customWidth="1"/>
    <col min="8507" max="8507" width="9.75" style="74" customWidth="1"/>
    <col min="8508" max="8508" width="7.5" style="74" customWidth="1"/>
    <col min="8509" max="8509" width="13.25" style="74" customWidth="1"/>
    <col min="8510" max="8510" width="11.75" style="74" customWidth="1"/>
    <col min="8511" max="8511" width="8.875" style="74" customWidth="1"/>
    <col min="8512" max="8512" width="9.625" style="74" customWidth="1"/>
    <col min="8513" max="8514" width="11.875" style="74" customWidth="1"/>
    <col min="8515" max="8515" width="11.5" style="74" customWidth="1"/>
    <col min="8516" max="8531" width="12.25" style="74" customWidth="1"/>
    <col min="8532" max="8532" width="13" style="74" customWidth="1"/>
    <col min="8533" max="8537" width="12.375" style="74" customWidth="1"/>
    <col min="8538" max="8538" width="13" style="74" customWidth="1"/>
    <col min="8539" max="8540" width="12.375" style="74" customWidth="1"/>
    <col min="8541" max="8541" width="13" style="74" customWidth="1"/>
    <col min="8542" max="8542" width="13.125" style="74" customWidth="1"/>
    <col min="8543" max="8543" width="13" style="74" customWidth="1"/>
    <col min="8544" max="8544" width="13.125" style="74" customWidth="1"/>
    <col min="8545" max="8546" width="12.375" style="74" customWidth="1"/>
    <col min="8547" max="8547" width="13" style="74" customWidth="1"/>
    <col min="8548" max="8548" width="12.375" style="74" customWidth="1"/>
    <col min="8549" max="8549" width="12.25" style="74" customWidth="1"/>
    <col min="8550" max="8550" width="12.125" style="74" customWidth="1"/>
    <col min="8551" max="8551" width="11.625" style="74" customWidth="1"/>
    <col min="8552" max="8552" width="12" style="74" customWidth="1"/>
    <col min="8553" max="8553" width="13" style="74" customWidth="1"/>
    <col min="8554" max="8554" width="11.625" style="74" customWidth="1"/>
    <col min="8555" max="8556" width="12" style="74" customWidth="1"/>
    <col min="8557" max="8559" width="11.625" style="74" customWidth="1"/>
    <col min="8560" max="8560" width="11.125" style="74" customWidth="1"/>
    <col min="8561" max="8561" width="12" style="74" customWidth="1"/>
    <col min="8562" max="8562" width="13" style="74" customWidth="1"/>
    <col min="8563" max="8563" width="13.625" style="74" customWidth="1"/>
    <col min="8564" max="8564" width="11.875" style="74" customWidth="1"/>
    <col min="8565" max="8566" width="11.625" style="74" customWidth="1"/>
    <col min="8567" max="8567" width="12" style="74" customWidth="1"/>
    <col min="8568" max="8568" width="12.75" style="74" customWidth="1"/>
    <col min="8569" max="8569" width="11.625" style="74" customWidth="1"/>
    <col min="8570" max="8570" width="12.125" style="74" customWidth="1"/>
    <col min="8571" max="8572" width="11.625" style="74" customWidth="1"/>
    <col min="8573" max="8573" width="12.5" style="74" customWidth="1"/>
    <col min="8574" max="8748" width="11.625" style="74" customWidth="1"/>
    <col min="8749" max="8749" width="17.75" style="74" customWidth="1"/>
    <col min="8750" max="8751" width="9" style="74" customWidth="1"/>
    <col min="8752" max="8752" width="16.25" style="74" customWidth="1"/>
    <col min="8753" max="8753" width="24" style="74" customWidth="1"/>
    <col min="8754" max="8754" width="9" style="74"/>
    <col min="8755" max="8755" width="11.75" style="74" customWidth="1"/>
    <col min="8756" max="8756" width="8.875" style="74" customWidth="1"/>
    <col min="8757" max="8757" width="17.375" style="74" customWidth="1"/>
    <col min="8758" max="8758" width="13.25" style="74" customWidth="1"/>
    <col min="8759" max="8759" width="25.75" style="74" customWidth="1"/>
    <col min="8760" max="8760" width="11.125" style="74" customWidth="1"/>
    <col min="8761" max="8761" width="10.75" style="74" customWidth="1"/>
    <col min="8762" max="8762" width="9" style="74" customWidth="1"/>
    <col min="8763" max="8763" width="9.75" style="74" customWidth="1"/>
    <col min="8764" max="8764" width="7.5" style="74" customWidth="1"/>
    <col min="8765" max="8765" width="13.25" style="74" customWidth="1"/>
    <col min="8766" max="8766" width="11.75" style="74" customWidth="1"/>
    <col min="8767" max="8767" width="8.875" style="74" customWidth="1"/>
    <col min="8768" max="8768" width="9.625" style="74" customWidth="1"/>
    <col min="8769" max="8770" width="11.875" style="74" customWidth="1"/>
    <col min="8771" max="8771" width="11.5" style="74" customWidth="1"/>
    <col min="8772" max="8787" width="12.25" style="74" customWidth="1"/>
    <col min="8788" max="8788" width="13" style="74" customWidth="1"/>
    <col min="8789" max="8793" width="12.375" style="74" customWidth="1"/>
    <col min="8794" max="8794" width="13" style="74" customWidth="1"/>
    <col min="8795" max="8796" width="12.375" style="74" customWidth="1"/>
    <col min="8797" max="8797" width="13" style="74" customWidth="1"/>
    <col min="8798" max="8798" width="13.125" style="74" customWidth="1"/>
    <col min="8799" max="8799" width="13" style="74" customWidth="1"/>
    <col min="8800" max="8800" width="13.125" style="74" customWidth="1"/>
    <col min="8801" max="8802" width="12.375" style="74" customWidth="1"/>
    <col min="8803" max="8803" width="13" style="74" customWidth="1"/>
    <col min="8804" max="8804" width="12.375" style="74" customWidth="1"/>
    <col min="8805" max="8805" width="12.25" style="74" customWidth="1"/>
    <col min="8806" max="8806" width="12.125" style="74" customWidth="1"/>
    <col min="8807" max="8807" width="11.625" style="74" customWidth="1"/>
    <col min="8808" max="8808" width="12" style="74" customWidth="1"/>
    <col min="8809" max="8809" width="13" style="74" customWidth="1"/>
    <col min="8810" max="8810" width="11.625" style="74" customWidth="1"/>
    <col min="8811" max="8812" width="12" style="74" customWidth="1"/>
    <col min="8813" max="8815" width="11.625" style="74" customWidth="1"/>
    <col min="8816" max="8816" width="11.125" style="74" customWidth="1"/>
    <col min="8817" max="8817" width="12" style="74" customWidth="1"/>
    <col min="8818" max="8818" width="13" style="74" customWidth="1"/>
    <col min="8819" max="8819" width="13.625" style="74" customWidth="1"/>
    <col min="8820" max="8820" width="11.875" style="74" customWidth="1"/>
    <col min="8821" max="8822" width="11.625" style="74" customWidth="1"/>
    <col min="8823" max="8823" width="12" style="74" customWidth="1"/>
    <col min="8824" max="8824" width="12.75" style="74" customWidth="1"/>
    <col min="8825" max="8825" width="11.625" style="74" customWidth="1"/>
    <col min="8826" max="8826" width="12.125" style="74" customWidth="1"/>
    <col min="8827" max="8828" width="11.625" style="74" customWidth="1"/>
    <col min="8829" max="8829" width="12.5" style="74" customWidth="1"/>
    <col min="8830" max="9004" width="11.625" style="74" customWidth="1"/>
    <col min="9005" max="9005" width="17.75" style="74" customWidth="1"/>
    <col min="9006" max="9007" width="9" style="74" customWidth="1"/>
    <col min="9008" max="9008" width="16.25" style="74" customWidth="1"/>
    <col min="9009" max="9009" width="24" style="74" customWidth="1"/>
    <col min="9010" max="9010" width="9" style="74"/>
    <col min="9011" max="9011" width="11.75" style="74" customWidth="1"/>
    <col min="9012" max="9012" width="8.875" style="74" customWidth="1"/>
    <col min="9013" max="9013" width="17.375" style="74" customWidth="1"/>
    <col min="9014" max="9014" width="13.25" style="74" customWidth="1"/>
    <col min="9015" max="9015" width="25.75" style="74" customWidth="1"/>
    <col min="9016" max="9016" width="11.125" style="74" customWidth="1"/>
    <col min="9017" max="9017" width="10.75" style="74" customWidth="1"/>
    <col min="9018" max="9018" width="9" style="74" customWidth="1"/>
    <col min="9019" max="9019" width="9.75" style="74" customWidth="1"/>
    <col min="9020" max="9020" width="7.5" style="74" customWidth="1"/>
    <col min="9021" max="9021" width="13.25" style="74" customWidth="1"/>
    <col min="9022" max="9022" width="11.75" style="74" customWidth="1"/>
    <col min="9023" max="9023" width="8.875" style="74" customWidth="1"/>
    <col min="9024" max="9024" width="9.625" style="74" customWidth="1"/>
    <col min="9025" max="9026" width="11.875" style="74" customWidth="1"/>
    <col min="9027" max="9027" width="11.5" style="74" customWidth="1"/>
    <col min="9028" max="9043" width="12.25" style="74" customWidth="1"/>
    <col min="9044" max="9044" width="13" style="74" customWidth="1"/>
    <col min="9045" max="9049" width="12.375" style="74" customWidth="1"/>
    <col min="9050" max="9050" width="13" style="74" customWidth="1"/>
    <col min="9051" max="9052" width="12.375" style="74" customWidth="1"/>
    <col min="9053" max="9053" width="13" style="74" customWidth="1"/>
    <col min="9054" max="9054" width="13.125" style="74" customWidth="1"/>
    <col min="9055" max="9055" width="13" style="74" customWidth="1"/>
    <col min="9056" max="9056" width="13.125" style="74" customWidth="1"/>
    <col min="9057" max="9058" width="12.375" style="74" customWidth="1"/>
    <col min="9059" max="9059" width="13" style="74" customWidth="1"/>
    <col min="9060" max="9060" width="12.375" style="74" customWidth="1"/>
    <col min="9061" max="9061" width="12.25" style="74" customWidth="1"/>
    <col min="9062" max="9062" width="12.125" style="74" customWidth="1"/>
    <col min="9063" max="9063" width="11.625" style="74" customWidth="1"/>
    <col min="9064" max="9064" width="12" style="74" customWidth="1"/>
    <col min="9065" max="9065" width="13" style="74" customWidth="1"/>
    <col min="9066" max="9066" width="11.625" style="74" customWidth="1"/>
    <col min="9067" max="9068" width="12" style="74" customWidth="1"/>
    <col min="9069" max="9071" width="11.625" style="74" customWidth="1"/>
    <col min="9072" max="9072" width="11.125" style="74" customWidth="1"/>
    <col min="9073" max="9073" width="12" style="74" customWidth="1"/>
    <col min="9074" max="9074" width="13" style="74" customWidth="1"/>
    <col min="9075" max="9075" width="13.625" style="74" customWidth="1"/>
    <col min="9076" max="9076" width="11.875" style="74" customWidth="1"/>
    <col min="9077" max="9078" width="11.625" style="74" customWidth="1"/>
    <col min="9079" max="9079" width="12" style="74" customWidth="1"/>
    <col min="9080" max="9080" width="12.75" style="74" customWidth="1"/>
    <col min="9081" max="9081" width="11.625" style="74" customWidth="1"/>
    <col min="9082" max="9082" width="12.125" style="74" customWidth="1"/>
    <col min="9083" max="9084" width="11.625" style="74" customWidth="1"/>
    <col min="9085" max="9085" width="12.5" style="74" customWidth="1"/>
    <col min="9086" max="9260" width="11.625" style="74" customWidth="1"/>
    <col min="9261" max="9261" width="17.75" style="74" customWidth="1"/>
    <col min="9262" max="9263" width="9" style="74" customWidth="1"/>
    <col min="9264" max="9264" width="16.25" style="74" customWidth="1"/>
    <col min="9265" max="9265" width="24" style="74" customWidth="1"/>
    <col min="9266" max="9266" width="9" style="74"/>
    <col min="9267" max="9267" width="11.75" style="74" customWidth="1"/>
    <col min="9268" max="9268" width="8.875" style="74" customWidth="1"/>
    <col min="9269" max="9269" width="17.375" style="74" customWidth="1"/>
    <col min="9270" max="9270" width="13.25" style="74" customWidth="1"/>
    <col min="9271" max="9271" width="25.75" style="74" customWidth="1"/>
    <col min="9272" max="9272" width="11.125" style="74" customWidth="1"/>
    <col min="9273" max="9273" width="10.75" style="74" customWidth="1"/>
    <col min="9274" max="9274" width="9" style="74" customWidth="1"/>
    <col min="9275" max="9275" width="9.75" style="74" customWidth="1"/>
    <col min="9276" max="9276" width="7.5" style="74" customWidth="1"/>
    <col min="9277" max="9277" width="13.25" style="74" customWidth="1"/>
    <col min="9278" max="9278" width="11.75" style="74" customWidth="1"/>
    <col min="9279" max="9279" width="8.875" style="74" customWidth="1"/>
    <col min="9280" max="9280" width="9.625" style="74" customWidth="1"/>
    <col min="9281" max="9282" width="11.875" style="74" customWidth="1"/>
    <col min="9283" max="9283" width="11.5" style="74" customWidth="1"/>
    <col min="9284" max="9299" width="12.25" style="74" customWidth="1"/>
    <col min="9300" max="9300" width="13" style="74" customWidth="1"/>
    <col min="9301" max="9305" width="12.375" style="74" customWidth="1"/>
    <col min="9306" max="9306" width="13" style="74" customWidth="1"/>
    <col min="9307" max="9308" width="12.375" style="74" customWidth="1"/>
    <col min="9309" max="9309" width="13" style="74" customWidth="1"/>
    <col min="9310" max="9310" width="13.125" style="74" customWidth="1"/>
    <col min="9311" max="9311" width="13" style="74" customWidth="1"/>
    <col min="9312" max="9312" width="13.125" style="74" customWidth="1"/>
    <col min="9313" max="9314" width="12.375" style="74" customWidth="1"/>
    <col min="9315" max="9315" width="13" style="74" customWidth="1"/>
    <col min="9316" max="9316" width="12.375" style="74" customWidth="1"/>
    <col min="9317" max="9317" width="12.25" style="74" customWidth="1"/>
    <col min="9318" max="9318" width="12.125" style="74" customWidth="1"/>
    <col min="9319" max="9319" width="11.625" style="74" customWidth="1"/>
    <col min="9320" max="9320" width="12" style="74" customWidth="1"/>
    <col min="9321" max="9321" width="13" style="74" customWidth="1"/>
    <col min="9322" max="9322" width="11.625" style="74" customWidth="1"/>
    <col min="9323" max="9324" width="12" style="74" customWidth="1"/>
    <col min="9325" max="9327" width="11.625" style="74" customWidth="1"/>
    <col min="9328" max="9328" width="11.125" style="74" customWidth="1"/>
    <col min="9329" max="9329" width="12" style="74" customWidth="1"/>
    <col min="9330" max="9330" width="13" style="74" customWidth="1"/>
    <col min="9331" max="9331" width="13.625" style="74" customWidth="1"/>
    <col min="9332" max="9332" width="11.875" style="74" customWidth="1"/>
    <col min="9333" max="9334" width="11.625" style="74" customWidth="1"/>
    <col min="9335" max="9335" width="12" style="74" customWidth="1"/>
    <col min="9336" max="9336" width="12.75" style="74" customWidth="1"/>
    <col min="9337" max="9337" width="11.625" style="74" customWidth="1"/>
    <col min="9338" max="9338" width="12.125" style="74" customWidth="1"/>
    <col min="9339" max="9340" width="11.625" style="74" customWidth="1"/>
    <col min="9341" max="9341" width="12.5" style="74" customWidth="1"/>
    <col min="9342" max="9516" width="11.625" style="74" customWidth="1"/>
    <col min="9517" max="9517" width="17.75" style="74" customWidth="1"/>
    <col min="9518" max="9519" width="9" style="74" customWidth="1"/>
    <col min="9520" max="9520" width="16.25" style="74" customWidth="1"/>
    <col min="9521" max="9521" width="24" style="74" customWidth="1"/>
    <col min="9522" max="9522" width="9" style="74"/>
    <col min="9523" max="9523" width="11.75" style="74" customWidth="1"/>
    <col min="9524" max="9524" width="8.875" style="74" customWidth="1"/>
    <col min="9525" max="9525" width="17.375" style="74" customWidth="1"/>
    <col min="9526" max="9526" width="13.25" style="74" customWidth="1"/>
    <col min="9527" max="9527" width="25.75" style="74" customWidth="1"/>
    <col min="9528" max="9528" width="11.125" style="74" customWidth="1"/>
    <col min="9529" max="9529" width="10.75" style="74" customWidth="1"/>
    <col min="9530" max="9530" width="9" style="74" customWidth="1"/>
    <col min="9531" max="9531" width="9.75" style="74" customWidth="1"/>
    <col min="9532" max="9532" width="7.5" style="74" customWidth="1"/>
    <col min="9533" max="9533" width="13.25" style="74" customWidth="1"/>
    <col min="9534" max="9534" width="11.75" style="74" customWidth="1"/>
    <col min="9535" max="9535" width="8.875" style="74" customWidth="1"/>
    <col min="9536" max="9536" width="9.625" style="74" customWidth="1"/>
    <col min="9537" max="9538" width="11.875" style="74" customWidth="1"/>
    <col min="9539" max="9539" width="11.5" style="74" customWidth="1"/>
    <col min="9540" max="9555" width="12.25" style="74" customWidth="1"/>
    <col min="9556" max="9556" width="13" style="74" customWidth="1"/>
    <col min="9557" max="9561" width="12.375" style="74" customWidth="1"/>
    <col min="9562" max="9562" width="13" style="74" customWidth="1"/>
    <col min="9563" max="9564" width="12.375" style="74" customWidth="1"/>
    <col min="9565" max="9565" width="13" style="74" customWidth="1"/>
    <col min="9566" max="9566" width="13.125" style="74" customWidth="1"/>
    <col min="9567" max="9567" width="13" style="74" customWidth="1"/>
    <col min="9568" max="9568" width="13.125" style="74" customWidth="1"/>
    <col min="9569" max="9570" width="12.375" style="74" customWidth="1"/>
    <col min="9571" max="9571" width="13" style="74" customWidth="1"/>
    <col min="9572" max="9572" width="12.375" style="74" customWidth="1"/>
    <col min="9573" max="9573" width="12.25" style="74" customWidth="1"/>
    <col min="9574" max="9574" width="12.125" style="74" customWidth="1"/>
    <col min="9575" max="9575" width="11.625" style="74" customWidth="1"/>
    <col min="9576" max="9576" width="12" style="74" customWidth="1"/>
    <col min="9577" max="9577" width="13" style="74" customWidth="1"/>
    <col min="9578" max="9578" width="11.625" style="74" customWidth="1"/>
    <col min="9579" max="9580" width="12" style="74" customWidth="1"/>
    <col min="9581" max="9583" width="11.625" style="74" customWidth="1"/>
    <col min="9584" max="9584" width="11.125" style="74" customWidth="1"/>
    <col min="9585" max="9585" width="12" style="74" customWidth="1"/>
    <col min="9586" max="9586" width="13" style="74" customWidth="1"/>
    <col min="9587" max="9587" width="13.625" style="74" customWidth="1"/>
    <col min="9588" max="9588" width="11.875" style="74" customWidth="1"/>
    <col min="9589" max="9590" width="11.625" style="74" customWidth="1"/>
    <col min="9591" max="9591" width="12" style="74" customWidth="1"/>
    <col min="9592" max="9592" width="12.75" style="74" customWidth="1"/>
    <col min="9593" max="9593" width="11.625" style="74" customWidth="1"/>
    <col min="9594" max="9594" width="12.125" style="74" customWidth="1"/>
    <col min="9595" max="9596" width="11.625" style="74" customWidth="1"/>
    <col min="9597" max="9597" width="12.5" style="74" customWidth="1"/>
    <col min="9598" max="9772" width="11.625" style="74" customWidth="1"/>
    <col min="9773" max="9773" width="17.75" style="74" customWidth="1"/>
    <col min="9774" max="9775" width="9" style="74" customWidth="1"/>
    <col min="9776" max="9776" width="16.25" style="74" customWidth="1"/>
    <col min="9777" max="9777" width="24" style="74" customWidth="1"/>
    <col min="9778" max="9778" width="9" style="74"/>
    <col min="9779" max="9779" width="11.75" style="74" customWidth="1"/>
    <col min="9780" max="9780" width="8.875" style="74" customWidth="1"/>
    <col min="9781" max="9781" width="17.375" style="74" customWidth="1"/>
    <col min="9782" max="9782" width="13.25" style="74" customWidth="1"/>
    <col min="9783" max="9783" width="25.75" style="74" customWidth="1"/>
    <col min="9784" max="9784" width="11.125" style="74" customWidth="1"/>
    <col min="9785" max="9785" width="10.75" style="74" customWidth="1"/>
    <col min="9786" max="9786" width="9" style="74" customWidth="1"/>
    <col min="9787" max="9787" width="9.75" style="74" customWidth="1"/>
    <col min="9788" max="9788" width="7.5" style="74" customWidth="1"/>
    <col min="9789" max="9789" width="13.25" style="74" customWidth="1"/>
    <col min="9790" max="9790" width="11.75" style="74" customWidth="1"/>
    <col min="9791" max="9791" width="8.875" style="74" customWidth="1"/>
    <col min="9792" max="9792" width="9.625" style="74" customWidth="1"/>
    <col min="9793" max="9794" width="11.875" style="74" customWidth="1"/>
    <col min="9795" max="9795" width="11.5" style="74" customWidth="1"/>
    <col min="9796" max="9811" width="12.25" style="74" customWidth="1"/>
    <col min="9812" max="9812" width="13" style="74" customWidth="1"/>
    <col min="9813" max="9817" width="12.375" style="74" customWidth="1"/>
    <col min="9818" max="9818" width="13" style="74" customWidth="1"/>
    <col min="9819" max="9820" width="12.375" style="74" customWidth="1"/>
    <col min="9821" max="9821" width="13" style="74" customWidth="1"/>
    <col min="9822" max="9822" width="13.125" style="74" customWidth="1"/>
    <col min="9823" max="9823" width="13" style="74" customWidth="1"/>
    <col min="9824" max="9824" width="13.125" style="74" customWidth="1"/>
    <col min="9825" max="9826" width="12.375" style="74" customWidth="1"/>
    <col min="9827" max="9827" width="13" style="74" customWidth="1"/>
    <col min="9828" max="9828" width="12.375" style="74" customWidth="1"/>
    <col min="9829" max="9829" width="12.25" style="74" customWidth="1"/>
    <col min="9830" max="9830" width="12.125" style="74" customWidth="1"/>
    <col min="9831" max="9831" width="11.625" style="74" customWidth="1"/>
    <col min="9832" max="9832" width="12" style="74" customWidth="1"/>
    <col min="9833" max="9833" width="13" style="74" customWidth="1"/>
    <col min="9834" max="9834" width="11.625" style="74" customWidth="1"/>
    <col min="9835" max="9836" width="12" style="74" customWidth="1"/>
    <col min="9837" max="9839" width="11.625" style="74" customWidth="1"/>
    <col min="9840" max="9840" width="11.125" style="74" customWidth="1"/>
    <col min="9841" max="9841" width="12" style="74" customWidth="1"/>
    <col min="9842" max="9842" width="13" style="74" customWidth="1"/>
    <col min="9843" max="9843" width="13.625" style="74" customWidth="1"/>
    <col min="9844" max="9844" width="11.875" style="74" customWidth="1"/>
    <col min="9845" max="9846" width="11.625" style="74" customWidth="1"/>
    <col min="9847" max="9847" width="12" style="74" customWidth="1"/>
    <col min="9848" max="9848" width="12.75" style="74" customWidth="1"/>
    <col min="9849" max="9849" width="11.625" style="74" customWidth="1"/>
    <col min="9850" max="9850" width="12.125" style="74" customWidth="1"/>
    <col min="9851" max="9852" width="11.625" style="74" customWidth="1"/>
    <col min="9853" max="9853" width="12.5" style="74" customWidth="1"/>
    <col min="9854" max="10028" width="11.625" style="74" customWidth="1"/>
    <col min="10029" max="10029" width="17.75" style="74" customWidth="1"/>
    <col min="10030" max="10031" width="9" style="74" customWidth="1"/>
    <col min="10032" max="10032" width="16.25" style="74" customWidth="1"/>
    <col min="10033" max="10033" width="24" style="74" customWidth="1"/>
    <col min="10034" max="10034" width="9" style="74"/>
    <col min="10035" max="10035" width="11.75" style="74" customWidth="1"/>
    <col min="10036" max="10036" width="8.875" style="74" customWidth="1"/>
    <col min="10037" max="10037" width="17.375" style="74" customWidth="1"/>
    <col min="10038" max="10038" width="13.25" style="74" customWidth="1"/>
    <col min="10039" max="10039" width="25.75" style="74" customWidth="1"/>
    <col min="10040" max="10040" width="11.125" style="74" customWidth="1"/>
    <col min="10041" max="10041" width="10.75" style="74" customWidth="1"/>
    <col min="10042" max="10042" width="9" style="74" customWidth="1"/>
    <col min="10043" max="10043" width="9.75" style="74" customWidth="1"/>
    <col min="10044" max="10044" width="7.5" style="74" customWidth="1"/>
    <col min="10045" max="10045" width="13.25" style="74" customWidth="1"/>
    <col min="10046" max="10046" width="11.75" style="74" customWidth="1"/>
    <col min="10047" max="10047" width="8.875" style="74" customWidth="1"/>
    <col min="10048" max="10048" width="9.625" style="74" customWidth="1"/>
    <col min="10049" max="10050" width="11.875" style="74" customWidth="1"/>
    <col min="10051" max="10051" width="11.5" style="74" customWidth="1"/>
    <col min="10052" max="10067" width="12.25" style="74" customWidth="1"/>
    <col min="10068" max="10068" width="13" style="74" customWidth="1"/>
    <col min="10069" max="10073" width="12.375" style="74" customWidth="1"/>
    <col min="10074" max="10074" width="13" style="74" customWidth="1"/>
    <col min="10075" max="10076" width="12.375" style="74" customWidth="1"/>
    <col min="10077" max="10077" width="13" style="74" customWidth="1"/>
    <col min="10078" max="10078" width="13.125" style="74" customWidth="1"/>
    <col min="10079" max="10079" width="13" style="74" customWidth="1"/>
    <col min="10080" max="10080" width="13.125" style="74" customWidth="1"/>
    <col min="10081" max="10082" width="12.375" style="74" customWidth="1"/>
    <col min="10083" max="10083" width="13" style="74" customWidth="1"/>
    <col min="10084" max="10084" width="12.375" style="74" customWidth="1"/>
    <col min="10085" max="10085" width="12.25" style="74" customWidth="1"/>
    <col min="10086" max="10086" width="12.125" style="74" customWidth="1"/>
    <col min="10087" max="10087" width="11.625" style="74" customWidth="1"/>
    <col min="10088" max="10088" width="12" style="74" customWidth="1"/>
    <col min="10089" max="10089" width="13" style="74" customWidth="1"/>
    <col min="10090" max="10090" width="11.625" style="74" customWidth="1"/>
    <col min="10091" max="10092" width="12" style="74" customWidth="1"/>
    <col min="10093" max="10095" width="11.625" style="74" customWidth="1"/>
    <col min="10096" max="10096" width="11.125" style="74" customWidth="1"/>
    <col min="10097" max="10097" width="12" style="74" customWidth="1"/>
    <col min="10098" max="10098" width="13" style="74" customWidth="1"/>
    <col min="10099" max="10099" width="13.625" style="74" customWidth="1"/>
    <col min="10100" max="10100" width="11.875" style="74" customWidth="1"/>
    <col min="10101" max="10102" width="11.625" style="74" customWidth="1"/>
    <col min="10103" max="10103" width="12" style="74" customWidth="1"/>
    <col min="10104" max="10104" width="12.75" style="74" customWidth="1"/>
    <col min="10105" max="10105" width="11.625" style="74" customWidth="1"/>
    <col min="10106" max="10106" width="12.125" style="74" customWidth="1"/>
    <col min="10107" max="10108" width="11.625" style="74" customWidth="1"/>
    <col min="10109" max="10109" width="12.5" style="74" customWidth="1"/>
    <col min="10110" max="10284" width="11.625" style="74" customWidth="1"/>
    <col min="10285" max="10285" width="17.75" style="74" customWidth="1"/>
    <col min="10286" max="10287" width="9" style="74" customWidth="1"/>
    <col min="10288" max="10288" width="16.25" style="74" customWidth="1"/>
    <col min="10289" max="10289" width="24" style="74" customWidth="1"/>
    <col min="10290" max="10290" width="9" style="74"/>
    <col min="10291" max="10291" width="11.75" style="74" customWidth="1"/>
    <col min="10292" max="10292" width="8.875" style="74" customWidth="1"/>
    <col min="10293" max="10293" width="17.375" style="74" customWidth="1"/>
    <col min="10294" max="10294" width="13.25" style="74" customWidth="1"/>
    <col min="10295" max="10295" width="25.75" style="74" customWidth="1"/>
    <col min="10296" max="10296" width="11.125" style="74" customWidth="1"/>
    <col min="10297" max="10297" width="10.75" style="74" customWidth="1"/>
    <col min="10298" max="10298" width="9" style="74" customWidth="1"/>
    <col min="10299" max="10299" width="9.75" style="74" customWidth="1"/>
    <col min="10300" max="10300" width="7.5" style="74" customWidth="1"/>
    <col min="10301" max="10301" width="13.25" style="74" customWidth="1"/>
    <col min="10302" max="10302" width="11.75" style="74" customWidth="1"/>
    <col min="10303" max="10303" width="8.875" style="74" customWidth="1"/>
    <col min="10304" max="10304" width="9.625" style="74" customWidth="1"/>
    <col min="10305" max="10306" width="11.875" style="74" customWidth="1"/>
    <col min="10307" max="10307" width="11.5" style="74" customWidth="1"/>
    <col min="10308" max="10323" width="12.25" style="74" customWidth="1"/>
    <col min="10324" max="10324" width="13" style="74" customWidth="1"/>
    <col min="10325" max="10329" width="12.375" style="74" customWidth="1"/>
    <col min="10330" max="10330" width="13" style="74" customWidth="1"/>
    <col min="10331" max="10332" width="12.375" style="74" customWidth="1"/>
    <col min="10333" max="10333" width="13" style="74" customWidth="1"/>
    <col min="10334" max="10334" width="13.125" style="74" customWidth="1"/>
    <col min="10335" max="10335" width="13" style="74" customWidth="1"/>
    <col min="10336" max="10336" width="13.125" style="74" customWidth="1"/>
    <col min="10337" max="10338" width="12.375" style="74" customWidth="1"/>
    <col min="10339" max="10339" width="13" style="74" customWidth="1"/>
    <col min="10340" max="10340" width="12.375" style="74" customWidth="1"/>
    <col min="10341" max="10341" width="12.25" style="74" customWidth="1"/>
    <col min="10342" max="10342" width="12.125" style="74" customWidth="1"/>
    <col min="10343" max="10343" width="11.625" style="74" customWidth="1"/>
    <col min="10344" max="10344" width="12" style="74" customWidth="1"/>
    <col min="10345" max="10345" width="13" style="74" customWidth="1"/>
    <col min="10346" max="10346" width="11.625" style="74" customWidth="1"/>
    <col min="10347" max="10348" width="12" style="74" customWidth="1"/>
    <col min="10349" max="10351" width="11.625" style="74" customWidth="1"/>
    <col min="10352" max="10352" width="11.125" style="74" customWidth="1"/>
    <col min="10353" max="10353" width="12" style="74" customWidth="1"/>
    <col min="10354" max="10354" width="13" style="74" customWidth="1"/>
    <col min="10355" max="10355" width="13.625" style="74" customWidth="1"/>
    <col min="10356" max="10356" width="11.875" style="74" customWidth="1"/>
    <col min="10357" max="10358" width="11.625" style="74" customWidth="1"/>
    <col min="10359" max="10359" width="12" style="74" customWidth="1"/>
    <col min="10360" max="10360" width="12.75" style="74" customWidth="1"/>
    <col min="10361" max="10361" width="11.625" style="74" customWidth="1"/>
    <col min="10362" max="10362" width="12.125" style="74" customWidth="1"/>
    <col min="10363" max="10364" width="11.625" style="74" customWidth="1"/>
    <col min="10365" max="10365" width="12.5" style="74" customWidth="1"/>
    <col min="10366" max="10540" width="11.625" style="74" customWidth="1"/>
    <col min="10541" max="10541" width="17.75" style="74" customWidth="1"/>
    <col min="10542" max="10543" width="9" style="74" customWidth="1"/>
    <col min="10544" max="10544" width="16.25" style="74" customWidth="1"/>
    <col min="10545" max="10545" width="24" style="74" customWidth="1"/>
    <col min="10546" max="10546" width="9" style="74"/>
    <col min="10547" max="10547" width="11.75" style="74" customWidth="1"/>
    <col min="10548" max="10548" width="8.875" style="74" customWidth="1"/>
    <col min="10549" max="10549" width="17.375" style="74" customWidth="1"/>
    <col min="10550" max="10550" width="13.25" style="74" customWidth="1"/>
    <col min="10551" max="10551" width="25.75" style="74" customWidth="1"/>
    <col min="10552" max="10552" width="11.125" style="74" customWidth="1"/>
    <col min="10553" max="10553" width="10.75" style="74" customWidth="1"/>
    <col min="10554" max="10554" width="9" style="74" customWidth="1"/>
    <col min="10555" max="10555" width="9.75" style="74" customWidth="1"/>
    <col min="10556" max="10556" width="7.5" style="74" customWidth="1"/>
    <col min="10557" max="10557" width="13.25" style="74" customWidth="1"/>
    <col min="10558" max="10558" width="11.75" style="74" customWidth="1"/>
    <col min="10559" max="10559" width="8.875" style="74" customWidth="1"/>
    <col min="10560" max="10560" width="9.625" style="74" customWidth="1"/>
    <col min="10561" max="10562" width="11.875" style="74" customWidth="1"/>
    <col min="10563" max="10563" width="11.5" style="74" customWidth="1"/>
    <col min="10564" max="10579" width="12.25" style="74" customWidth="1"/>
    <col min="10580" max="10580" width="13" style="74" customWidth="1"/>
    <col min="10581" max="10585" width="12.375" style="74" customWidth="1"/>
    <col min="10586" max="10586" width="13" style="74" customWidth="1"/>
    <col min="10587" max="10588" width="12.375" style="74" customWidth="1"/>
    <col min="10589" max="10589" width="13" style="74" customWidth="1"/>
    <col min="10590" max="10590" width="13.125" style="74" customWidth="1"/>
    <col min="10591" max="10591" width="13" style="74" customWidth="1"/>
    <col min="10592" max="10592" width="13.125" style="74" customWidth="1"/>
    <col min="10593" max="10594" width="12.375" style="74" customWidth="1"/>
    <col min="10595" max="10595" width="13" style="74" customWidth="1"/>
    <col min="10596" max="10596" width="12.375" style="74" customWidth="1"/>
    <col min="10597" max="10597" width="12.25" style="74" customWidth="1"/>
    <col min="10598" max="10598" width="12.125" style="74" customWidth="1"/>
    <col min="10599" max="10599" width="11.625" style="74" customWidth="1"/>
    <col min="10600" max="10600" width="12" style="74" customWidth="1"/>
    <col min="10601" max="10601" width="13" style="74" customWidth="1"/>
    <col min="10602" max="10602" width="11.625" style="74" customWidth="1"/>
    <col min="10603" max="10604" width="12" style="74" customWidth="1"/>
    <col min="10605" max="10607" width="11.625" style="74" customWidth="1"/>
    <col min="10608" max="10608" width="11.125" style="74" customWidth="1"/>
    <col min="10609" max="10609" width="12" style="74" customWidth="1"/>
    <col min="10610" max="10610" width="13" style="74" customWidth="1"/>
    <col min="10611" max="10611" width="13.625" style="74" customWidth="1"/>
    <col min="10612" max="10612" width="11.875" style="74" customWidth="1"/>
    <col min="10613" max="10614" width="11.625" style="74" customWidth="1"/>
    <col min="10615" max="10615" width="12" style="74" customWidth="1"/>
    <col min="10616" max="10616" width="12.75" style="74" customWidth="1"/>
    <col min="10617" max="10617" width="11.625" style="74" customWidth="1"/>
    <col min="10618" max="10618" width="12.125" style="74" customWidth="1"/>
    <col min="10619" max="10620" width="11.625" style="74" customWidth="1"/>
    <col min="10621" max="10621" width="12.5" style="74" customWidth="1"/>
    <col min="10622" max="10796" width="11.625" style="74" customWidth="1"/>
    <col min="10797" max="10797" width="17.75" style="74" customWidth="1"/>
    <col min="10798" max="10799" width="9" style="74" customWidth="1"/>
    <col min="10800" max="10800" width="16.25" style="74" customWidth="1"/>
    <col min="10801" max="10801" width="24" style="74" customWidth="1"/>
    <col min="10802" max="10802" width="9" style="74"/>
    <col min="10803" max="10803" width="11.75" style="74" customWidth="1"/>
    <col min="10804" max="10804" width="8.875" style="74" customWidth="1"/>
    <col min="10805" max="10805" width="17.375" style="74" customWidth="1"/>
    <col min="10806" max="10806" width="13.25" style="74" customWidth="1"/>
    <col min="10807" max="10807" width="25.75" style="74" customWidth="1"/>
    <col min="10808" max="10808" width="11.125" style="74" customWidth="1"/>
    <col min="10809" max="10809" width="10.75" style="74" customWidth="1"/>
    <col min="10810" max="10810" width="9" style="74" customWidth="1"/>
    <col min="10811" max="10811" width="9.75" style="74" customWidth="1"/>
    <col min="10812" max="10812" width="7.5" style="74" customWidth="1"/>
    <col min="10813" max="10813" width="13.25" style="74" customWidth="1"/>
    <col min="10814" max="10814" width="11.75" style="74" customWidth="1"/>
    <col min="10815" max="10815" width="8.875" style="74" customWidth="1"/>
    <col min="10816" max="10816" width="9.625" style="74" customWidth="1"/>
    <col min="10817" max="10818" width="11.875" style="74" customWidth="1"/>
    <col min="10819" max="10819" width="11.5" style="74" customWidth="1"/>
    <col min="10820" max="10835" width="12.25" style="74" customWidth="1"/>
    <col min="10836" max="10836" width="13" style="74" customWidth="1"/>
    <col min="10837" max="10841" width="12.375" style="74" customWidth="1"/>
    <col min="10842" max="10842" width="13" style="74" customWidth="1"/>
    <col min="10843" max="10844" width="12.375" style="74" customWidth="1"/>
    <col min="10845" max="10845" width="13" style="74" customWidth="1"/>
    <col min="10846" max="10846" width="13.125" style="74" customWidth="1"/>
    <col min="10847" max="10847" width="13" style="74" customWidth="1"/>
    <col min="10848" max="10848" width="13.125" style="74" customWidth="1"/>
    <col min="10849" max="10850" width="12.375" style="74" customWidth="1"/>
    <col min="10851" max="10851" width="13" style="74" customWidth="1"/>
    <col min="10852" max="10852" width="12.375" style="74" customWidth="1"/>
    <col min="10853" max="10853" width="12.25" style="74" customWidth="1"/>
    <col min="10854" max="10854" width="12.125" style="74" customWidth="1"/>
    <col min="10855" max="10855" width="11.625" style="74" customWidth="1"/>
    <col min="10856" max="10856" width="12" style="74" customWidth="1"/>
    <col min="10857" max="10857" width="13" style="74" customWidth="1"/>
    <col min="10858" max="10858" width="11.625" style="74" customWidth="1"/>
    <col min="10859" max="10860" width="12" style="74" customWidth="1"/>
    <col min="10861" max="10863" width="11.625" style="74" customWidth="1"/>
    <col min="10864" max="10864" width="11.125" style="74" customWidth="1"/>
    <col min="10865" max="10865" width="12" style="74" customWidth="1"/>
    <col min="10866" max="10866" width="13" style="74" customWidth="1"/>
    <col min="10867" max="10867" width="13.625" style="74" customWidth="1"/>
    <col min="10868" max="10868" width="11.875" style="74" customWidth="1"/>
    <col min="10869" max="10870" width="11.625" style="74" customWidth="1"/>
    <col min="10871" max="10871" width="12" style="74" customWidth="1"/>
    <col min="10872" max="10872" width="12.75" style="74" customWidth="1"/>
    <col min="10873" max="10873" width="11.625" style="74" customWidth="1"/>
    <col min="10874" max="10874" width="12.125" style="74" customWidth="1"/>
    <col min="10875" max="10876" width="11.625" style="74" customWidth="1"/>
    <col min="10877" max="10877" width="12.5" style="74" customWidth="1"/>
    <col min="10878" max="11052" width="11.625" style="74" customWidth="1"/>
    <col min="11053" max="11053" width="17.75" style="74" customWidth="1"/>
    <col min="11054" max="11055" width="9" style="74" customWidth="1"/>
    <col min="11056" max="11056" width="16.25" style="74" customWidth="1"/>
    <col min="11057" max="11057" width="24" style="74" customWidth="1"/>
    <col min="11058" max="11058" width="9" style="74"/>
    <col min="11059" max="11059" width="11.75" style="74" customWidth="1"/>
    <col min="11060" max="11060" width="8.875" style="74" customWidth="1"/>
    <col min="11061" max="11061" width="17.375" style="74" customWidth="1"/>
    <col min="11062" max="11062" width="13.25" style="74" customWidth="1"/>
    <col min="11063" max="11063" width="25.75" style="74" customWidth="1"/>
    <col min="11064" max="11064" width="11.125" style="74" customWidth="1"/>
    <col min="11065" max="11065" width="10.75" style="74" customWidth="1"/>
    <col min="11066" max="11066" width="9" style="74" customWidth="1"/>
    <col min="11067" max="11067" width="9.75" style="74" customWidth="1"/>
    <col min="11068" max="11068" width="7.5" style="74" customWidth="1"/>
    <col min="11069" max="11069" width="13.25" style="74" customWidth="1"/>
    <col min="11070" max="11070" width="11.75" style="74" customWidth="1"/>
    <col min="11071" max="11071" width="8.875" style="74" customWidth="1"/>
    <col min="11072" max="11072" width="9.625" style="74" customWidth="1"/>
    <col min="11073" max="11074" width="11.875" style="74" customWidth="1"/>
    <col min="11075" max="11075" width="11.5" style="74" customWidth="1"/>
    <col min="11076" max="11091" width="12.25" style="74" customWidth="1"/>
    <col min="11092" max="11092" width="13" style="74" customWidth="1"/>
    <col min="11093" max="11097" width="12.375" style="74" customWidth="1"/>
    <col min="11098" max="11098" width="13" style="74" customWidth="1"/>
    <col min="11099" max="11100" width="12.375" style="74" customWidth="1"/>
    <col min="11101" max="11101" width="13" style="74" customWidth="1"/>
    <col min="11102" max="11102" width="13.125" style="74" customWidth="1"/>
    <col min="11103" max="11103" width="13" style="74" customWidth="1"/>
    <col min="11104" max="11104" width="13.125" style="74" customWidth="1"/>
    <col min="11105" max="11106" width="12.375" style="74" customWidth="1"/>
    <col min="11107" max="11107" width="13" style="74" customWidth="1"/>
    <col min="11108" max="11108" width="12.375" style="74" customWidth="1"/>
    <col min="11109" max="11109" width="12.25" style="74" customWidth="1"/>
    <col min="11110" max="11110" width="12.125" style="74" customWidth="1"/>
    <col min="11111" max="11111" width="11.625" style="74" customWidth="1"/>
    <col min="11112" max="11112" width="12" style="74" customWidth="1"/>
    <col min="11113" max="11113" width="13" style="74" customWidth="1"/>
    <col min="11114" max="11114" width="11.625" style="74" customWidth="1"/>
    <col min="11115" max="11116" width="12" style="74" customWidth="1"/>
    <col min="11117" max="11119" width="11.625" style="74" customWidth="1"/>
    <col min="11120" max="11120" width="11.125" style="74" customWidth="1"/>
    <col min="11121" max="11121" width="12" style="74" customWidth="1"/>
    <col min="11122" max="11122" width="13" style="74" customWidth="1"/>
    <col min="11123" max="11123" width="13.625" style="74" customWidth="1"/>
    <col min="11124" max="11124" width="11.875" style="74" customWidth="1"/>
    <col min="11125" max="11126" width="11.625" style="74" customWidth="1"/>
    <col min="11127" max="11127" width="12" style="74" customWidth="1"/>
    <col min="11128" max="11128" width="12.75" style="74" customWidth="1"/>
    <col min="11129" max="11129" width="11.625" style="74" customWidth="1"/>
    <col min="11130" max="11130" width="12.125" style="74" customWidth="1"/>
    <col min="11131" max="11132" width="11.625" style="74" customWidth="1"/>
    <col min="11133" max="11133" width="12.5" style="74" customWidth="1"/>
    <col min="11134" max="11308" width="11.625" style="74" customWidth="1"/>
    <col min="11309" max="11309" width="17.75" style="74" customWidth="1"/>
    <col min="11310" max="11311" width="9" style="74" customWidth="1"/>
    <col min="11312" max="11312" width="16.25" style="74" customWidth="1"/>
    <col min="11313" max="11313" width="24" style="74" customWidth="1"/>
    <col min="11314" max="11314" width="9" style="74"/>
    <col min="11315" max="11315" width="11.75" style="74" customWidth="1"/>
    <col min="11316" max="11316" width="8.875" style="74" customWidth="1"/>
    <col min="11317" max="11317" width="17.375" style="74" customWidth="1"/>
    <col min="11318" max="11318" width="13.25" style="74" customWidth="1"/>
    <col min="11319" max="11319" width="25.75" style="74" customWidth="1"/>
    <col min="11320" max="11320" width="11.125" style="74" customWidth="1"/>
    <col min="11321" max="11321" width="10.75" style="74" customWidth="1"/>
    <col min="11322" max="11322" width="9" style="74" customWidth="1"/>
    <col min="11323" max="11323" width="9.75" style="74" customWidth="1"/>
    <col min="11324" max="11324" width="7.5" style="74" customWidth="1"/>
    <col min="11325" max="11325" width="13.25" style="74" customWidth="1"/>
    <col min="11326" max="11326" width="11.75" style="74" customWidth="1"/>
    <col min="11327" max="11327" width="8.875" style="74" customWidth="1"/>
    <col min="11328" max="11328" width="9.625" style="74" customWidth="1"/>
    <col min="11329" max="11330" width="11.875" style="74" customWidth="1"/>
    <col min="11331" max="11331" width="11.5" style="74" customWidth="1"/>
    <col min="11332" max="11347" width="12.25" style="74" customWidth="1"/>
    <col min="11348" max="11348" width="13" style="74" customWidth="1"/>
    <col min="11349" max="11353" width="12.375" style="74" customWidth="1"/>
    <col min="11354" max="11354" width="13" style="74" customWidth="1"/>
    <col min="11355" max="11356" width="12.375" style="74" customWidth="1"/>
    <col min="11357" max="11357" width="13" style="74" customWidth="1"/>
    <col min="11358" max="11358" width="13.125" style="74" customWidth="1"/>
    <col min="11359" max="11359" width="13" style="74" customWidth="1"/>
    <col min="11360" max="11360" width="13.125" style="74" customWidth="1"/>
    <col min="11361" max="11362" width="12.375" style="74" customWidth="1"/>
    <col min="11363" max="11363" width="13" style="74" customWidth="1"/>
    <col min="11364" max="11364" width="12.375" style="74" customWidth="1"/>
    <col min="11365" max="11365" width="12.25" style="74" customWidth="1"/>
    <col min="11366" max="11366" width="12.125" style="74" customWidth="1"/>
    <col min="11367" max="11367" width="11.625" style="74" customWidth="1"/>
    <col min="11368" max="11368" width="12" style="74" customWidth="1"/>
    <col min="11369" max="11369" width="13" style="74" customWidth="1"/>
    <col min="11370" max="11370" width="11.625" style="74" customWidth="1"/>
    <col min="11371" max="11372" width="12" style="74" customWidth="1"/>
    <col min="11373" max="11375" width="11.625" style="74" customWidth="1"/>
    <col min="11376" max="11376" width="11.125" style="74" customWidth="1"/>
    <col min="11377" max="11377" width="12" style="74" customWidth="1"/>
    <col min="11378" max="11378" width="13" style="74" customWidth="1"/>
    <col min="11379" max="11379" width="13.625" style="74" customWidth="1"/>
    <col min="11380" max="11380" width="11.875" style="74" customWidth="1"/>
    <col min="11381" max="11382" width="11.625" style="74" customWidth="1"/>
    <col min="11383" max="11383" width="12" style="74" customWidth="1"/>
    <col min="11384" max="11384" width="12.75" style="74" customWidth="1"/>
    <col min="11385" max="11385" width="11.625" style="74" customWidth="1"/>
    <col min="11386" max="11386" width="12.125" style="74" customWidth="1"/>
    <col min="11387" max="11388" width="11.625" style="74" customWidth="1"/>
    <col min="11389" max="11389" width="12.5" style="74" customWidth="1"/>
    <col min="11390" max="11564" width="11.625" style="74" customWidth="1"/>
    <col min="11565" max="11565" width="17.75" style="74" customWidth="1"/>
    <col min="11566" max="11567" width="9" style="74" customWidth="1"/>
    <col min="11568" max="11568" width="16.25" style="74" customWidth="1"/>
    <col min="11569" max="11569" width="24" style="74" customWidth="1"/>
    <col min="11570" max="11570" width="9" style="74"/>
    <col min="11571" max="11571" width="11.75" style="74" customWidth="1"/>
    <col min="11572" max="11572" width="8.875" style="74" customWidth="1"/>
    <col min="11573" max="11573" width="17.375" style="74" customWidth="1"/>
    <col min="11574" max="11574" width="13.25" style="74" customWidth="1"/>
    <col min="11575" max="11575" width="25.75" style="74" customWidth="1"/>
    <col min="11576" max="11576" width="11.125" style="74" customWidth="1"/>
    <col min="11577" max="11577" width="10.75" style="74" customWidth="1"/>
    <col min="11578" max="11578" width="9" style="74" customWidth="1"/>
    <col min="11579" max="11579" width="9.75" style="74" customWidth="1"/>
    <col min="11580" max="11580" width="7.5" style="74" customWidth="1"/>
    <col min="11581" max="11581" width="13.25" style="74" customWidth="1"/>
    <col min="11582" max="11582" width="11.75" style="74" customWidth="1"/>
    <col min="11583" max="11583" width="8.875" style="74" customWidth="1"/>
    <col min="11584" max="11584" width="9.625" style="74" customWidth="1"/>
    <col min="11585" max="11586" width="11.875" style="74" customWidth="1"/>
    <col min="11587" max="11587" width="11.5" style="74" customWidth="1"/>
    <col min="11588" max="11603" width="12.25" style="74" customWidth="1"/>
    <col min="11604" max="11604" width="13" style="74" customWidth="1"/>
    <col min="11605" max="11609" width="12.375" style="74" customWidth="1"/>
    <col min="11610" max="11610" width="13" style="74" customWidth="1"/>
    <col min="11611" max="11612" width="12.375" style="74" customWidth="1"/>
    <col min="11613" max="11613" width="13" style="74" customWidth="1"/>
    <col min="11614" max="11614" width="13.125" style="74" customWidth="1"/>
    <col min="11615" max="11615" width="13" style="74" customWidth="1"/>
    <col min="11616" max="11616" width="13.125" style="74" customWidth="1"/>
    <col min="11617" max="11618" width="12.375" style="74" customWidth="1"/>
    <col min="11619" max="11619" width="13" style="74" customWidth="1"/>
    <col min="11620" max="11620" width="12.375" style="74" customWidth="1"/>
    <col min="11621" max="11621" width="12.25" style="74" customWidth="1"/>
    <col min="11622" max="11622" width="12.125" style="74" customWidth="1"/>
    <col min="11623" max="11623" width="11.625" style="74" customWidth="1"/>
    <col min="11624" max="11624" width="12" style="74" customWidth="1"/>
    <col min="11625" max="11625" width="13" style="74" customWidth="1"/>
    <col min="11626" max="11626" width="11.625" style="74" customWidth="1"/>
    <col min="11627" max="11628" width="12" style="74" customWidth="1"/>
    <col min="11629" max="11631" width="11.625" style="74" customWidth="1"/>
    <col min="11632" max="11632" width="11.125" style="74" customWidth="1"/>
    <col min="11633" max="11633" width="12" style="74" customWidth="1"/>
    <col min="11634" max="11634" width="13" style="74" customWidth="1"/>
    <col min="11635" max="11635" width="13.625" style="74" customWidth="1"/>
    <col min="11636" max="11636" width="11.875" style="74" customWidth="1"/>
    <col min="11637" max="11638" width="11.625" style="74" customWidth="1"/>
    <col min="11639" max="11639" width="12" style="74" customWidth="1"/>
    <col min="11640" max="11640" width="12.75" style="74" customWidth="1"/>
    <col min="11641" max="11641" width="11.625" style="74" customWidth="1"/>
    <col min="11642" max="11642" width="12.125" style="74" customWidth="1"/>
    <col min="11643" max="11644" width="11.625" style="74" customWidth="1"/>
    <col min="11645" max="11645" width="12.5" style="74" customWidth="1"/>
    <col min="11646" max="11820" width="11.625" style="74" customWidth="1"/>
    <col min="11821" max="11821" width="17.75" style="74" customWidth="1"/>
    <col min="11822" max="11823" width="9" style="74" customWidth="1"/>
    <col min="11824" max="11824" width="16.25" style="74" customWidth="1"/>
    <col min="11825" max="11825" width="24" style="74" customWidth="1"/>
    <col min="11826" max="11826" width="9" style="74"/>
    <col min="11827" max="11827" width="11.75" style="74" customWidth="1"/>
    <col min="11828" max="11828" width="8.875" style="74" customWidth="1"/>
    <col min="11829" max="11829" width="17.375" style="74" customWidth="1"/>
    <col min="11830" max="11830" width="13.25" style="74" customWidth="1"/>
    <col min="11831" max="11831" width="25.75" style="74" customWidth="1"/>
    <col min="11832" max="11832" width="11.125" style="74" customWidth="1"/>
    <col min="11833" max="11833" width="10.75" style="74" customWidth="1"/>
    <col min="11834" max="11834" width="9" style="74" customWidth="1"/>
    <col min="11835" max="11835" width="9.75" style="74" customWidth="1"/>
    <col min="11836" max="11836" width="7.5" style="74" customWidth="1"/>
    <col min="11837" max="11837" width="13.25" style="74" customWidth="1"/>
    <col min="11838" max="11838" width="11.75" style="74" customWidth="1"/>
    <col min="11839" max="11839" width="8.875" style="74" customWidth="1"/>
    <col min="11840" max="11840" width="9.625" style="74" customWidth="1"/>
    <col min="11841" max="11842" width="11.875" style="74" customWidth="1"/>
    <col min="11843" max="11843" width="11.5" style="74" customWidth="1"/>
    <col min="11844" max="11859" width="12.25" style="74" customWidth="1"/>
    <col min="11860" max="11860" width="13" style="74" customWidth="1"/>
    <col min="11861" max="11865" width="12.375" style="74" customWidth="1"/>
    <col min="11866" max="11866" width="13" style="74" customWidth="1"/>
    <col min="11867" max="11868" width="12.375" style="74" customWidth="1"/>
    <col min="11869" max="11869" width="13" style="74" customWidth="1"/>
    <col min="11870" max="11870" width="13.125" style="74" customWidth="1"/>
    <col min="11871" max="11871" width="13" style="74" customWidth="1"/>
    <col min="11872" max="11872" width="13.125" style="74" customWidth="1"/>
    <col min="11873" max="11874" width="12.375" style="74" customWidth="1"/>
    <col min="11875" max="11875" width="13" style="74" customWidth="1"/>
    <col min="11876" max="11876" width="12.375" style="74" customWidth="1"/>
    <col min="11877" max="11877" width="12.25" style="74" customWidth="1"/>
    <col min="11878" max="11878" width="12.125" style="74" customWidth="1"/>
    <col min="11879" max="11879" width="11.625" style="74" customWidth="1"/>
    <col min="11880" max="11880" width="12" style="74" customWidth="1"/>
    <col min="11881" max="11881" width="13" style="74" customWidth="1"/>
    <col min="11882" max="11882" width="11.625" style="74" customWidth="1"/>
    <col min="11883" max="11884" width="12" style="74" customWidth="1"/>
    <col min="11885" max="11887" width="11.625" style="74" customWidth="1"/>
    <col min="11888" max="11888" width="11.125" style="74" customWidth="1"/>
    <col min="11889" max="11889" width="12" style="74" customWidth="1"/>
    <col min="11890" max="11890" width="13" style="74" customWidth="1"/>
    <col min="11891" max="11891" width="13.625" style="74" customWidth="1"/>
    <col min="11892" max="11892" width="11.875" style="74" customWidth="1"/>
    <col min="11893" max="11894" width="11.625" style="74" customWidth="1"/>
    <col min="11895" max="11895" width="12" style="74" customWidth="1"/>
    <col min="11896" max="11896" width="12.75" style="74" customWidth="1"/>
    <col min="11897" max="11897" width="11.625" style="74" customWidth="1"/>
    <col min="11898" max="11898" width="12.125" style="74" customWidth="1"/>
    <col min="11899" max="11900" width="11.625" style="74" customWidth="1"/>
    <col min="11901" max="11901" width="12.5" style="74" customWidth="1"/>
    <col min="11902" max="12076" width="11.625" style="74" customWidth="1"/>
    <col min="12077" max="12077" width="17.75" style="74" customWidth="1"/>
    <col min="12078" max="12079" width="9" style="74" customWidth="1"/>
    <col min="12080" max="12080" width="16.25" style="74" customWidth="1"/>
    <col min="12081" max="12081" width="24" style="74" customWidth="1"/>
    <col min="12082" max="12082" width="9" style="74"/>
    <col min="12083" max="12083" width="11.75" style="74" customWidth="1"/>
    <col min="12084" max="12084" width="8.875" style="74" customWidth="1"/>
    <col min="12085" max="12085" width="17.375" style="74" customWidth="1"/>
    <col min="12086" max="12086" width="13.25" style="74" customWidth="1"/>
    <col min="12087" max="12087" width="25.75" style="74" customWidth="1"/>
    <col min="12088" max="12088" width="11.125" style="74" customWidth="1"/>
    <col min="12089" max="12089" width="10.75" style="74" customWidth="1"/>
    <col min="12090" max="12090" width="9" style="74" customWidth="1"/>
    <col min="12091" max="12091" width="9.75" style="74" customWidth="1"/>
    <col min="12092" max="12092" width="7.5" style="74" customWidth="1"/>
    <col min="12093" max="12093" width="13.25" style="74" customWidth="1"/>
    <col min="12094" max="12094" width="11.75" style="74" customWidth="1"/>
    <col min="12095" max="12095" width="8.875" style="74" customWidth="1"/>
    <col min="12096" max="12096" width="9.625" style="74" customWidth="1"/>
    <col min="12097" max="12098" width="11.875" style="74" customWidth="1"/>
    <col min="12099" max="12099" width="11.5" style="74" customWidth="1"/>
    <col min="12100" max="12115" width="12.25" style="74" customWidth="1"/>
    <col min="12116" max="12116" width="13" style="74" customWidth="1"/>
    <col min="12117" max="12121" width="12.375" style="74" customWidth="1"/>
    <col min="12122" max="12122" width="13" style="74" customWidth="1"/>
    <col min="12123" max="12124" width="12.375" style="74" customWidth="1"/>
    <col min="12125" max="12125" width="13" style="74" customWidth="1"/>
    <col min="12126" max="12126" width="13.125" style="74" customWidth="1"/>
    <col min="12127" max="12127" width="13" style="74" customWidth="1"/>
    <col min="12128" max="12128" width="13.125" style="74" customWidth="1"/>
    <col min="12129" max="12130" width="12.375" style="74" customWidth="1"/>
    <col min="12131" max="12131" width="13" style="74" customWidth="1"/>
    <col min="12132" max="12132" width="12.375" style="74" customWidth="1"/>
    <col min="12133" max="12133" width="12.25" style="74" customWidth="1"/>
    <col min="12134" max="12134" width="12.125" style="74" customWidth="1"/>
    <col min="12135" max="12135" width="11.625" style="74" customWidth="1"/>
    <col min="12136" max="12136" width="12" style="74" customWidth="1"/>
    <col min="12137" max="12137" width="13" style="74" customWidth="1"/>
    <col min="12138" max="12138" width="11.625" style="74" customWidth="1"/>
    <col min="12139" max="12140" width="12" style="74" customWidth="1"/>
    <col min="12141" max="12143" width="11.625" style="74" customWidth="1"/>
    <col min="12144" max="12144" width="11.125" style="74" customWidth="1"/>
    <col min="12145" max="12145" width="12" style="74" customWidth="1"/>
    <col min="12146" max="12146" width="13" style="74" customWidth="1"/>
    <col min="12147" max="12147" width="13.625" style="74" customWidth="1"/>
    <col min="12148" max="12148" width="11.875" style="74" customWidth="1"/>
    <col min="12149" max="12150" width="11.625" style="74" customWidth="1"/>
    <col min="12151" max="12151" width="12" style="74" customWidth="1"/>
    <col min="12152" max="12152" width="12.75" style="74" customWidth="1"/>
    <col min="12153" max="12153" width="11.625" style="74" customWidth="1"/>
    <col min="12154" max="12154" width="12.125" style="74" customWidth="1"/>
    <col min="12155" max="12156" width="11.625" style="74" customWidth="1"/>
    <col min="12157" max="12157" width="12.5" style="74" customWidth="1"/>
    <col min="12158" max="12332" width="11.625" style="74" customWidth="1"/>
    <col min="12333" max="12333" width="17.75" style="74" customWidth="1"/>
    <col min="12334" max="12335" width="9" style="74" customWidth="1"/>
    <col min="12336" max="12336" width="16.25" style="74" customWidth="1"/>
    <col min="12337" max="12337" width="24" style="74" customWidth="1"/>
    <col min="12338" max="12338" width="9" style="74"/>
    <col min="12339" max="12339" width="11.75" style="74" customWidth="1"/>
    <col min="12340" max="12340" width="8.875" style="74" customWidth="1"/>
    <col min="12341" max="12341" width="17.375" style="74" customWidth="1"/>
    <col min="12342" max="12342" width="13.25" style="74" customWidth="1"/>
    <col min="12343" max="12343" width="25.75" style="74" customWidth="1"/>
    <col min="12344" max="12344" width="11.125" style="74" customWidth="1"/>
    <col min="12345" max="12345" width="10.75" style="74" customWidth="1"/>
    <col min="12346" max="12346" width="9" style="74" customWidth="1"/>
    <col min="12347" max="12347" width="9.75" style="74" customWidth="1"/>
    <col min="12348" max="12348" width="7.5" style="74" customWidth="1"/>
    <col min="12349" max="12349" width="13.25" style="74" customWidth="1"/>
    <col min="12350" max="12350" width="11.75" style="74" customWidth="1"/>
    <col min="12351" max="12351" width="8.875" style="74" customWidth="1"/>
    <col min="12352" max="12352" width="9.625" style="74" customWidth="1"/>
    <col min="12353" max="12354" width="11.875" style="74" customWidth="1"/>
    <col min="12355" max="12355" width="11.5" style="74" customWidth="1"/>
    <col min="12356" max="12371" width="12.25" style="74" customWidth="1"/>
    <col min="12372" max="12372" width="13" style="74" customWidth="1"/>
    <col min="12373" max="12377" width="12.375" style="74" customWidth="1"/>
    <col min="12378" max="12378" width="13" style="74" customWidth="1"/>
    <col min="12379" max="12380" width="12.375" style="74" customWidth="1"/>
    <col min="12381" max="12381" width="13" style="74" customWidth="1"/>
    <col min="12382" max="12382" width="13.125" style="74" customWidth="1"/>
    <col min="12383" max="12383" width="13" style="74" customWidth="1"/>
    <col min="12384" max="12384" width="13.125" style="74" customWidth="1"/>
    <col min="12385" max="12386" width="12.375" style="74" customWidth="1"/>
    <col min="12387" max="12387" width="13" style="74" customWidth="1"/>
    <col min="12388" max="12388" width="12.375" style="74" customWidth="1"/>
    <col min="12389" max="12389" width="12.25" style="74" customWidth="1"/>
    <col min="12390" max="12390" width="12.125" style="74" customWidth="1"/>
    <col min="12391" max="12391" width="11.625" style="74" customWidth="1"/>
    <col min="12392" max="12392" width="12" style="74" customWidth="1"/>
    <col min="12393" max="12393" width="13" style="74" customWidth="1"/>
    <col min="12394" max="12394" width="11.625" style="74" customWidth="1"/>
    <col min="12395" max="12396" width="12" style="74" customWidth="1"/>
    <col min="12397" max="12399" width="11.625" style="74" customWidth="1"/>
    <col min="12400" max="12400" width="11.125" style="74" customWidth="1"/>
    <col min="12401" max="12401" width="12" style="74" customWidth="1"/>
    <col min="12402" max="12402" width="13" style="74" customWidth="1"/>
    <col min="12403" max="12403" width="13.625" style="74" customWidth="1"/>
    <col min="12404" max="12404" width="11.875" style="74" customWidth="1"/>
    <col min="12405" max="12406" width="11.625" style="74" customWidth="1"/>
    <col min="12407" max="12407" width="12" style="74" customWidth="1"/>
    <col min="12408" max="12408" width="12.75" style="74" customWidth="1"/>
    <col min="12409" max="12409" width="11.625" style="74" customWidth="1"/>
    <col min="12410" max="12410" width="12.125" style="74" customWidth="1"/>
    <col min="12411" max="12412" width="11.625" style="74" customWidth="1"/>
    <col min="12413" max="12413" width="12.5" style="74" customWidth="1"/>
    <col min="12414" max="12588" width="11.625" style="74" customWidth="1"/>
    <col min="12589" max="12589" width="17.75" style="74" customWidth="1"/>
    <col min="12590" max="12591" width="9" style="74" customWidth="1"/>
    <col min="12592" max="12592" width="16.25" style="74" customWidth="1"/>
    <col min="12593" max="12593" width="24" style="74" customWidth="1"/>
    <col min="12594" max="12594" width="9" style="74"/>
    <col min="12595" max="12595" width="11.75" style="74" customWidth="1"/>
    <col min="12596" max="12596" width="8.875" style="74" customWidth="1"/>
    <col min="12597" max="12597" width="17.375" style="74" customWidth="1"/>
    <col min="12598" max="12598" width="13.25" style="74" customWidth="1"/>
    <col min="12599" max="12599" width="25.75" style="74" customWidth="1"/>
    <col min="12600" max="12600" width="11.125" style="74" customWidth="1"/>
    <col min="12601" max="12601" width="10.75" style="74" customWidth="1"/>
    <col min="12602" max="12602" width="9" style="74" customWidth="1"/>
    <col min="12603" max="12603" width="9.75" style="74" customWidth="1"/>
    <col min="12604" max="12604" width="7.5" style="74" customWidth="1"/>
    <col min="12605" max="12605" width="13.25" style="74" customWidth="1"/>
    <col min="12606" max="12606" width="11.75" style="74" customWidth="1"/>
    <col min="12607" max="12607" width="8.875" style="74" customWidth="1"/>
    <col min="12608" max="12608" width="9.625" style="74" customWidth="1"/>
    <col min="12609" max="12610" width="11.875" style="74" customWidth="1"/>
    <col min="12611" max="12611" width="11.5" style="74" customWidth="1"/>
    <col min="12612" max="12627" width="12.25" style="74" customWidth="1"/>
    <col min="12628" max="12628" width="13" style="74" customWidth="1"/>
    <col min="12629" max="12633" width="12.375" style="74" customWidth="1"/>
    <col min="12634" max="12634" width="13" style="74" customWidth="1"/>
    <col min="12635" max="12636" width="12.375" style="74" customWidth="1"/>
    <col min="12637" max="12637" width="13" style="74" customWidth="1"/>
    <col min="12638" max="12638" width="13.125" style="74" customWidth="1"/>
    <col min="12639" max="12639" width="13" style="74" customWidth="1"/>
    <col min="12640" max="12640" width="13.125" style="74" customWidth="1"/>
    <col min="12641" max="12642" width="12.375" style="74" customWidth="1"/>
    <col min="12643" max="12643" width="13" style="74" customWidth="1"/>
    <col min="12644" max="12644" width="12.375" style="74" customWidth="1"/>
    <col min="12645" max="12645" width="12.25" style="74" customWidth="1"/>
    <col min="12646" max="12646" width="12.125" style="74" customWidth="1"/>
    <col min="12647" max="12647" width="11.625" style="74" customWidth="1"/>
    <col min="12648" max="12648" width="12" style="74" customWidth="1"/>
    <col min="12649" max="12649" width="13" style="74" customWidth="1"/>
    <col min="12650" max="12650" width="11.625" style="74" customWidth="1"/>
    <col min="12651" max="12652" width="12" style="74" customWidth="1"/>
    <col min="12653" max="12655" width="11.625" style="74" customWidth="1"/>
    <col min="12656" max="12656" width="11.125" style="74" customWidth="1"/>
    <col min="12657" max="12657" width="12" style="74" customWidth="1"/>
    <col min="12658" max="12658" width="13" style="74" customWidth="1"/>
    <col min="12659" max="12659" width="13.625" style="74" customWidth="1"/>
    <col min="12660" max="12660" width="11.875" style="74" customWidth="1"/>
    <col min="12661" max="12662" width="11.625" style="74" customWidth="1"/>
    <col min="12663" max="12663" width="12" style="74" customWidth="1"/>
    <col min="12664" max="12664" width="12.75" style="74" customWidth="1"/>
    <col min="12665" max="12665" width="11.625" style="74" customWidth="1"/>
    <col min="12666" max="12666" width="12.125" style="74" customWidth="1"/>
    <col min="12667" max="12668" width="11.625" style="74" customWidth="1"/>
    <col min="12669" max="12669" width="12.5" style="74" customWidth="1"/>
    <col min="12670" max="12844" width="11.625" style="74" customWidth="1"/>
    <col min="12845" max="12845" width="17.75" style="74" customWidth="1"/>
    <col min="12846" max="12847" width="9" style="74" customWidth="1"/>
    <col min="12848" max="12848" width="16.25" style="74" customWidth="1"/>
    <col min="12849" max="12849" width="24" style="74" customWidth="1"/>
    <col min="12850" max="12850" width="9" style="74"/>
    <col min="12851" max="12851" width="11.75" style="74" customWidth="1"/>
    <col min="12852" max="12852" width="8.875" style="74" customWidth="1"/>
    <col min="12853" max="12853" width="17.375" style="74" customWidth="1"/>
    <col min="12854" max="12854" width="13.25" style="74" customWidth="1"/>
    <col min="12855" max="12855" width="25.75" style="74" customWidth="1"/>
    <col min="12856" max="12856" width="11.125" style="74" customWidth="1"/>
    <col min="12857" max="12857" width="10.75" style="74" customWidth="1"/>
    <col min="12858" max="12858" width="9" style="74" customWidth="1"/>
    <col min="12859" max="12859" width="9.75" style="74" customWidth="1"/>
    <col min="12860" max="12860" width="7.5" style="74" customWidth="1"/>
    <col min="12861" max="12861" width="13.25" style="74" customWidth="1"/>
    <col min="12862" max="12862" width="11.75" style="74" customWidth="1"/>
    <col min="12863" max="12863" width="8.875" style="74" customWidth="1"/>
    <col min="12864" max="12864" width="9.625" style="74" customWidth="1"/>
    <col min="12865" max="12866" width="11.875" style="74" customWidth="1"/>
    <col min="12867" max="12867" width="11.5" style="74" customWidth="1"/>
    <col min="12868" max="12883" width="12.25" style="74" customWidth="1"/>
    <col min="12884" max="12884" width="13" style="74" customWidth="1"/>
    <col min="12885" max="12889" width="12.375" style="74" customWidth="1"/>
    <col min="12890" max="12890" width="13" style="74" customWidth="1"/>
    <col min="12891" max="12892" width="12.375" style="74" customWidth="1"/>
    <col min="12893" max="12893" width="13" style="74" customWidth="1"/>
    <col min="12894" max="12894" width="13.125" style="74" customWidth="1"/>
    <col min="12895" max="12895" width="13" style="74" customWidth="1"/>
    <col min="12896" max="12896" width="13.125" style="74" customWidth="1"/>
    <col min="12897" max="12898" width="12.375" style="74" customWidth="1"/>
    <col min="12899" max="12899" width="13" style="74" customWidth="1"/>
    <col min="12900" max="12900" width="12.375" style="74" customWidth="1"/>
    <col min="12901" max="12901" width="12.25" style="74" customWidth="1"/>
    <col min="12902" max="12902" width="12.125" style="74" customWidth="1"/>
    <col min="12903" max="12903" width="11.625" style="74" customWidth="1"/>
    <col min="12904" max="12904" width="12" style="74" customWidth="1"/>
    <col min="12905" max="12905" width="13" style="74" customWidth="1"/>
    <col min="12906" max="12906" width="11.625" style="74" customWidth="1"/>
    <col min="12907" max="12908" width="12" style="74" customWidth="1"/>
    <col min="12909" max="12911" width="11.625" style="74" customWidth="1"/>
    <col min="12912" max="12912" width="11.125" style="74" customWidth="1"/>
    <col min="12913" max="12913" width="12" style="74" customWidth="1"/>
    <col min="12914" max="12914" width="13" style="74" customWidth="1"/>
    <col min="12915" max="12915" width="13.625" style="74" customWidth="1"/>
    <col min="12916" max="12916" width="11.875" style="74" customWidth="1"/>
    <col min="12917" max="12918" width="11.625" style="74" customWidth="1"/>
    <col min="12919" max="12919" width="12" style="74" customWidth="1"/>
    <col min="12920" max="12920" width="12.75" style="74" customWidth="1"/>
    <col min="12921" max="12921" width="11.625" style="74" customWidth="1"/>
    <col min="12922" max="12922" width="12.125" style="74" customWidth="1"/>
    <col min="12923" max="12924" width="11.625" style="74" customWidth="1"/>
    <col min="12925" max="12925" width="12.5" style="74" customWidth="1"/>
    <col min="12926" max="13100" width="11.625" style="74" customWidth="1"/>
    <col min="13101" max="13101" width="17.75" style="74" customWidth="1"/>
    <col min="13102" max="13103" width="9" style="74" customWidth="1"/>
    <col min="13104" max="13104" width="16.25" style="74" customWidth="1"/>
    <col min="13105" max="13105" width="24" style="74" customWidth="1"/>
    <col min="13106" max="13106" width="9" style="74"/>
    <col min="13107" max="13107" width="11.75" style="74" customWidth="1"/>
    <col min="13108" max="13108" width="8.875" style="74" customWidth="1"/>
    <col min="13109" max="13109" width="17.375" style="74" customWidth="1"/>
    <col min="13110" max="13110" width="13.25" style="74" customWidth="1"/>
    <col min="13111" max="13111" width="25.75" style="74" customWidth="1"/>
    <col min="13112" max="13112" width="11.125" style="74" customWidth="1"/>
    <col min="13113" max="13113" width="10.75" style="74" customWidth="1"/>
    <col min="13114" max="13114" width="9" style="74" customWidth="1"/>
    <col min="13115" max="13115" width="9.75" style="74" customWidth="1"/>
    <col min="13116" max="13116" width="7.5" style="74" customWidth="1"/>
    <col min="13117" max="13117" width="13.25" style="74" customWidth="1"/>
    <col min="13118" max="13118" width="11.75" style="74" customWidth="1"/>
    <col min="13119" max="13119" width="8.875" style="74" customWidth="1"/>
    <col min="13120" max="13120" width="9.625" style="74" customWidth="1"/>
    <col min="13121" max="13122" width="11.875" style="74" customWidth="1"/>
    <col min="13123" max="13123" width="11.5" style="74" customWidth="1"/>
    <col min="13124" max="13139" width="12.25" style="74" customWidth="1"/>
    <col min="13140" max="13140" width="13" style="74" customWidth="1"/>
    <col min="13141" max="13145" width="12.375" style="74" customWidth="1"/>
    <col min="13146" max="13146" width="13" style="74" customWidth="1"/>
    <col min="13147" max="13148" width="12.375" style="74" customWidth="1"/>
    <col min="13149" max="13149" width="13" style="74" customWidth="1"/>
    <col min="13150" max="13150" width="13.125" style="74" customWidth="1"/>
    <col min="13151" max="13151" width="13" style="74" customWidth="1"/>
    <col min="13152" max="13152" width="13.125" style="74" customWidth="1"/>
    <col min="13153" max="13154" width="12.375" style="74" customWidth="1"/>
    <col min="13155" max="13155" width="13" style="74" customWidth="1"/>
    <col min="13156" max="13156" width="12.375" style="74" customWidth="1"/>
    <col min="13157" max="13157" width="12.25" style="74" customWidth="1"/>
    <col min="13158" max="13158" width="12.125" style="74" customWidth="1"/>
    <col min="13159" max="13159" width="11.625" style="74" customWidth="1"/>
    <col min="13160" max="13160" width="12" style="74" customWidth="1"/>
    <col min="13161" max="13161" width="13" style="74" customWidth="1"/>
    <col min="13162" max="13162" width="11.625" style="74" customWidth="1"/>
    <col min="13163" max="13164" width="12" style="74" customWidth="1"/>
    <col min="13165" max="13167" width="11.625" style="74" customWidth="1"/>
    <col min="13168" max="13168" width="11.125" style="74" customWidth="1"/>
    <col min="13169" max="13169" width="12" style="74" customWidth="1"/>
    <col min="13170" max="13170" width="13" style="74" customWidth="1"/>
    <col min="13171" max="13171" width="13.625" style="74" customWidth="1"/>
    <col min="13172" max="13172" width="11.875" style="74" customWidth="1"/>
    <col min="13173" max="13174" width="11.625" style="74" customWidth="1"/>
    <col min="13175" max="13175" width="12" style="74" customWidth="1"/>
    <col min="13176" max="13176" width="12.75" style="74" customWidth="1"/>
    <col min="13177" max="13177" width="11.625" style="74" customWidth="1"/>
    <col min="13178" max="13178" width="12.125" style="74" customWidth="1"/>
    <col min="13179" max="13180" width="11.625" style="74" customWidth="1"/>
    <col min="13181" max="13181" width="12.5" style="74" customWidth="1"/>
    <col min="13182" max="13356" width="11.625" style="74" customWidth="1"/>
    <col min="13357" max="13357" width="17.75" style="74" customWidth="1"/>
    <col min="13358" max="13359" width="9" style="74" customWidth="1"/>
    <col min="13360" max="13360" width="16.25" style="74" customWidth="1"/>
    <col min="13361" max="13361" width="24" style="74" customWidth="1"/>
    <col min="13362" max="13362" width="9" style="74"/>
    <col min="13363" max="13363" width="11.75" style="74" customWidth="1"/>
    <col min="13364" max="13364" width="8.875" style="74" customWidth="1"/>
    <col min="13365" max="13365" width="17.375" style="74" customWidth="1"/>
    <col min="13366" max="13366" width="13.25" style="74" customWidth="1"/>
    <col min="13367" max="13367" width="25.75" style="74" customWidth="1"/>
    <col min="13368" max="13368" width="11.125" style="74" customWidth="1"/>
    <col min="13369" max="13369" width="10.75" style="74" customWidth="1"/>
    <col min="13370" max="13370" width="9" style="74" customWidth="1"/>
    <col min="13371" max="13371" width="9.75" style="74" customWidth="1"/>
    <col min="13372" max="13372" width="7.5" style="74" customWidth="1"/>
    <col min="13373" max="13373" width="13.25" style="74" customWidth="1"/>
    <col min="13374" max="13374" width="11.75" style="74" customWidth="1"/>
    <col min="13375" max="13375" width="8.875" style="74" customWidth="1"/>
    <col min="13376" max="13376" width="9.625" style="74" customWidth="1"/>
    <col min="13377" max="13378" width="11.875" style="74" customWidth="1"/>
    <col min="13379" max="13379" width="11.5" style="74" customWidth="1"/>
    <col min="13380" max="13395" width="12.25" style="74" customWidth="1"/>
    <col min="13396" max="13396" width="13" style="74" customWidth="1"/>
    <col min="13397" max="13401" width="12.375" style="74" customWidth="1"/>
    <col min="13402" max="13402" width="13" style="74" customWidth="1"/>
    <col min="13403" max="13404" width="12.375" style="74" customWidth="1"/>
    <col min="13405" max="13405" width="13" style="74" customWidth="1"/>
    <col min="13406" max="13406" width="13.125" style="74" customWidth="1"/>
    <col min="13407" max="13407" width="13" style="74" customWidth="1"/>
    <col min="13408" max="13408" width="13.125" style="74" customWidth="1"/>
    <col min="13409" max="13410" width="12.375" style="74" customWidth="1"/>
    <col min="13411" max="13411" width="13" style="74" customWidth="1"/>
    <col min="13412" max="13412" width="12.375" style="74" customWidth="1"/>
    <col min="13413" max="13413" width="12.25" style="74" customWidth="1"/>
    <col min="13414" max="13414" width="12.125" style="74" customWidth="1"/>
    <col min="13415" max="13415" width="11.625" style="74" customWidth="1"/>
    <col min="13416" max="13416" width="12" style="74" customWidth="1"/>
    <col min="13417" max="13417" width="13" style="74" customWidth="1"/>
    <col min="13418" max="13418" width="11.625" style="74" customWidth="1"/>
    <col min="13419" max="13420" width="12" style="74" customWidth="1"/>
    <col min="13421" max="13423" width="11.625" style="74" customWidth="1"/>
    <col min="13424" max="13424" width="11.125" style="74" customWidth="1"/>
    <col min="13425" max="13425" width="12" style="74" customWidth="1"/>
    <col min="13426" max="13426" width="13" style="74" customWidth="1"/>
    <col min="13427" max="13427" width="13.625" style="74" customWidth="1"/>
    <col min="13428" max="13428" width="11.875" style="74" customWidth="1"/>
    <col min="13429" max="13430" width="11.625" style="74" customWidth="1"/>
    <col min="13431" max="13431" width="12" style="74" customWidth="1"/>
    <col min="13432" max="13432" width="12.75" style="74" customWidth="1"/>
    <col min="13433" max="13433" width="11.625" style="74" customWidth="1"/>
    <col min="13434" max="13434" width="12.125" style="74" customWidth="1"/>
    <col min="13435" max="13436" width="11.625" style="74" customWidth="1"/>
    <col min="13437" max="13437" width="12.5" style="74" customWidth="1"/>
    <col min="13438" max="13612" width="11.625" style="74" customWidth="1"/>
    <col min="13613" max="13613" width="17.75" style="74" customWidth="1"/>
    <col min="13614" max="13615" width="9" style="74" customWidth="1"/>
    <col min="13616" max="13616" width="16.25" style="74" customWidth="1"/>
    <col min="13617" max="13617" width="24" style="74" customWidth="1"/>
    <col min="13618" max="13618" width="9" style="74"/>
    <col min="13619" max="13619" width="11.75" style="74" customWidth="1"/>
    <col min="13620" max="13620" width="8.875" style="74" customWidth="1"/>
    <col min="13621" max="13621" width="17.375" style="74" customWidth="1"/>
    <col min="13622" max="13622" width="13.25" style="74" customWidth="1"/>
    <col min="13623" max="13623" width="25.75" style="74" customWidth="1"/>
    <col min="13624" max="13624" width="11.125" style="74" customWidth="1"/>
    <col min="13625" max="13625" width="10.75" style="74" customWidth="1"/>
    <col min="13626" max="13626" width="9" style="74" customWidth="1"/>
    <col min="13627" max="13627" width="9.75" style="74" customWidth="1"/>
    <col min="13628" max="13628" width="7.5" style="74" customWidth="1"/>
    <col min="13629" max="13629" width="13.25" style="74" customWidth="1"/>
    <col min="13630" max="13630" width="11.75" style="74" customWidth="1"/>
    <col min="13631" max="13631" width="8.875" style="74" customWidth="1"/>
    <col min="13632" max="13632" width="9.625" style="74" customWidth="1"/>
    <col min="13633" max="13634" width="11.875" style="74" customWidth="1"/>
    <col min="13635" max="13635" width="11.5" style="74" customWidth="1"/>
    <col min="13636" max="13651" width="12.25" style="74" customWidth="1"/>
    <col min="13652" max="13652" width="13" style="74" customWidth="1"/>
    <col min="13653" max="13657" width="12.375" style="74" customWidth="1"/>
    <col min="13658" max="13658" width="13" style="74" customWidth="1"/>
    <col min="13659" max="13660" width="12.375" style="74" customWidth="1"/>
    <col min="13661" max="13661" width="13" style="74" customWidth="1"/>
    <col min="13662" max="13662" width="13.125" style="74" customWidth="1"/>
    <col min="13663" max="13663" width="13" style="74" customWidth="1"/>
    <col min="13664" max="13664" width="13.125" style="74" customWidth="1"/>
    <col min="13665" max="13666" width="12.375" style="74" customWidth="1"/>
    <col min="13667" max="13667" width="13" style="74" customWidth="1"/>
    <col min="13668" max="13668" width="12.375" style="74" customWidth="1"/>
    <col min="13669" max="13669" width="12.25" style="74" customWidth="1"/>
    <col min="13670" max="13670" width="12.125" style="74" customWidth="1"/>
    <col min="13671" max="13671" width="11.625" style="74" customWidth="1"/>
    <col min="13672" max="13672" width="12" style="74" customWidth="1"/>
    <col min="13673" max="13673" width="13" style="74" customWidth="1"/>
    <col min="13674" max="13674" width="11.625" style="74" customWidth="1"/>
    <col min="13675" max="13676" width="12" style="74" customWidth="1"/>
    <col min="13677" max="13679" width="11.625" style="74" customWidth="1"/>
    <col min="13680" max="13680" width="11.125" style="74" customWidth="1"/>
    <col min="13681" max="13681" width="12" style="74" customWidth="1"/>
    <col min="13682" max="13682" width="13" style="74" customWidth="1"/>
    <col min="13683" max="13683" width="13.625" style="74" customWidth="1"/>
    <col min="13684" max="13684" width="11.875" style="74" customWidth="1"/>
    <col min="13685" max="13686" width="11.625" style="74" customWidth="1"/>
    <col min="13687" max="13687" width="12" style="74" customWidth="1"/>
    <col min="13688" max="13688" width="12.75" style="74" customWidth="1"/>
    <col min="13689" max="13689" width="11.625" style="74" customWidth="1"/>
    <col min="13690" max="13690" width="12.125" style="74" customWidth="1"/>
    <col min="13691" max="13692" width="11.625" style="74" customWidth="1"/>
    <col min="13693" max="13693" width="12.5" style="74" customWidth="1"/>
    <col min="13694" max="13868" width="11.625" style="74" customWidth="1"/>
    <col min="13869" max="13869" width="17.75" style="74" customWidth="1"/>
    <col min="13870" max="13871" width="9" style="74" customWidth="1"/>
    <col min="13872" max="13872" width="16.25" style="74" customWidth="1"/>
    <col min="13873" max="13873" width="24" style="74" customWidth="1"/>
    <col min="13874" max="13874" width="9" style="74"/>
    <col min="13875" max="13875" width="11.75" style="74" customWidth="1"/>
    <col min="13876" max="13876" width="8.875" style="74" customWidth="1"/>
    <col min="13877" max="13877" width="17.375" style="74" customWidth="1"/>
    <col min="13878" max="13878" width="13.25" style="74" customWidth="1"/>
    <col min="13879" max="13879" width="25.75" style="74" customWidth="1"/>
    <col min="13880" max="13880" width="11.125" style="74" customWidth="1"/>
    <col min="13881" max="13881" width="10.75" style="74" customWidth="1"/>
    <col min="13882" max="13882" width="9" style="74" customWidth="1"/>
    <col min="13883" max="13883" width="9.75" style="74" customWidth="1"/>
    <col min="13884" max="13884" width="7.5" style="74" customWidth="1"/>
    <col min="13885" max="13885" width="13.25" style="74" customWidth="1"/>
    <col min="13886" max="13886" width="11.75" style="74" customWidth="1"/>
    <col min="13887" max="13887" width="8.875" style="74" customWidth="1"/>
    <col min="13888" max="13888" width="9.625" style="74" customWidth="1"/>
    <col min="13889" max="13890" width="11.875" style="74" customWidth="1"/>
    <col min="13891" max="13891" width="11.5" style="74" customWidth="1"/>
    <col min="13892" max="13907" width="12.25" style="74" customWidth="1"/>
    <col min="13908" max="13908" width="13" style="74" customWidth="1"/>
    <col min="13909" max="13913" width="12.375" style="74" customWidth="1"/>
    <col min="13914" max="13914" width="13" style="74" customWidth="1"/>
    <col min="13915" max="13916" width="12.375" style="74" customWidth="1"/>
    <col min="13917" max="13917" width="13" style="74" customWidth="1"/>
    <col min="13918" max="13918" width="13.125" style="74" customWidth="1"/>
    <col min="13919" max="13919" width="13" style="74" customWidth="1"/>
    <col min="13920" max="13920" width="13.125" style="74" customWidth="1"/>
    <col min="13921" max="13922" width="12.375" style="74" customWidth="1"/>
    <col min="13923" max="13923" width="13" style="74" customWidth="1"/>
    <col min="13924" max="13924" width="12.375" style="74" customWidth="1"/>
    <col min="13925" max="13925" width="12.25" style="74" customWidth="1"/>
    <col min="13926" max="13926" width="12.125" style="74" customWidth="1"/>
    <col min="13927" max="13927" width="11.625" style="74" customWidth="1"/>
    <col min="13928" max="13928" width="12" style="74" customWidth="1"/>
    <col min="13929" max="13929" width="13" style="74" customWidth="1"/>
    <col min="13930" max="13930" width="11.625" style="74" customWidth="1"/>
    <col min="13931" max="13932" width="12" style="74" customWidth="1"/>
    <col min="13933" max="13935" width="11.625" style="74" customWidth="1"/>
    <col min="13936" max="13936" width="11.125" style="74" customWidth="1"/>
    <col min="13937" max="13937" width="12" style="74" customWidth="1"/>
    <col min="13938" max="13938" width="13" style="74" customWidth="1"/>
    <col min="13939" max="13939" width="13.625" style="74" customWidth="1"/>
    <col min="13940" max="13940" width="11.875" style="74" customWidth="1"/>
    <col min="13941" max="13942" width="11.625" style="74" customWidth="1"/>
    <col min="13943" max="13943" width="12" style="74" customWidth="1"/>
    <col min="13944" max="13944" width="12.75" style="74" customWidth="1"/>
    <col min="13945" max="13945" width="11.625" style="74" customWidth="1"/>
    <col min="13946" max="13946" width="12.125" style="74" customWidth="1"/>
    <col min="13947" max="13948" width="11.625" style="74" customWidth="1"/>
    <col min="13949" max="13949" width="12.5" style="74" customWidth="1"/>
    <col min="13950" max="14124" width="11.625" style="74" customWidth="1"/>
    <col min="14125" max="14125" width="17.75" style="74" customWidth="1"/>
    <col min="14126" max="14127" width="9" style="74" customWidth="1"/>
    <col min="14128" max="14128" width="16.25" style="74" customWidth="1"/>
    <col min="14129" max="14129" width="24" style="74" customWidth="1"/>
    <col min="14130" max="14130" width="9" style="74"/>
    <col min="14131" max="14131" width="11.75" style="74" customWidth="1"/>
    <col min="14132" max="14132" width="8.875" style="74" customWidth="1"/>
    <col min="14133" max="14133" width="17.375" style="74" customWidth="1"/>
    <col min="14134" max="14134" width="13.25" style="74" customWidth="1"/>
    <col min="14135" max="14135" width="25.75" style="74" customWidth="1"/>
    <col min="14136" max="14136" width="11.125" style="74" customWidth="1"/>
    <col min="14137" max="14137" width="10.75" style="74" customWidth="1"/>
    <col min="14138" max="14138" width="9" style="74" customWidth="1"/>
    <col min="14139" max="14139" width="9.75" style="74" customWidth="1"/>
    <col min="14140" max="14140" width="7.5" style="74" customWidth="1"/>
    <col min="14141" max="14141" width="13.25" style="74" customWidth="1"/>
    <col min="14142" max="14142" width="11.75" style="74" customWidth="1"/>
    <col min="14143" max="14143" width="8.875" style="74" customWidth="1"/>
    <col min="14144" max="14144" width="9.625" style="74" customWidth="1"/>
    <col min="14145" max="14146" width="11.875" style="74" customWidth="1"/>
    <col min="14147" max="14147" width="11.5" style="74" customWidth="1"/>
    <col min="14148" max="14163" width="12.25" style="74" customWidth="1"/>
    <col min="14164" max="14164" width="13" style="74" customWidth="1"/>
    <col min="14165" max="14169" width="12.375" style="74" customWidth="1"/>
    <col min="14170" max="14170" width="13" style="74" customWidth="1"/>
    <col min="14171" max="14172" width="12.375" style="74" customWidth="1"/>
    <col min="14173" max="14173" width="13" style="74" customWidth="1"/>
    <col min="14174" max="14174" width="13.125" style="74" customWidth="1"/>
    <col min="14175" max="14175" width="13" style="74" customWidth="1"/>
    <col min="14176" max="14176" width="13.125" style="74" customWidth="1"/>
    <col min="14177" max="14178" width="12.375" style="74" customWidth="1"/>
    <col min="14179" max="14179" width="13" style="74" customWidth="1"/>
    <col min="14180" max="14180" width="12.375" style="74" customWidth="1"/>
    <col min="14181" max="14181" width="12.25" style="74" customWidth="1"/>
    <col min="14182" max="14182" width="12.125" style="74" customWidth="1"/>
    <col min="14183" max="14183" width="11.625" style="74" customWidth="1"/>
    <col min="14184" max="14184" width="12" style="74" customWidth="1"/>
    <col min="14185" max="14185" width="13" style="74" customWidth="1"/>
    <col min="14186" max="14186" width="11.625" style="74" customWidth="1"/>
    <col min="14187" max="14188" width="12" style="74" customWidth="1"/>
    <col min="14189" max="14191" width="11.625" style="74" customWidth="1"/>
    <col min="14192" max="14192" width="11.125" style="74" customWidth="1"/>
    <col min="14193" max="14193" width="12" style="74" customWidth="1"/>
    <col min="14194" max="14194" width="13" style="74" customWidth="1"/>
    <col min="14195" max="14195" width="13.625" style="74" customWidth="1"/>
    <col min="14196" max="14196" width="11.875" style="74" customWidth="1"/>
    <col min="14197" max="14198" width="11.625" style="74" customWidth="1"/>
    <col min="14199" max="14199" width="12" style="74" customWidth="1"/>
    <col min="14200" max="14200" width="12.75" style="74" customWidth="1"/>
    <col min="14201" max="14201" width="11.625" style="74" customWidth="1"/>
    <col min="14202" max="14202" width="12.125" style="74" customWidth="1"/>
    <col min="14203" max="14204" width="11.625" style="74" customWidth="1"/>
    <col min="14205" max="14205" width="12.5" style="74" customWidth="1"/>
    <col min="14206" max="14380" width="11.625" style="74" customWidth="1"/>
    <col min="14381" max="14381" width="17.75" style="74" customWidth="1"/>
    <col min="14382" max="14383" width="9" style="74" customWidth="1"/>
    <col min="14384" max="14384" width="16.25" style="74" customWidth="1"/>
    <col min="14385" max="14385" width="24" style="74" customWidth="1"/>
    <col min="14386" max="14386" width="9" style="74"/>
    <col min="14387" max="14387" width="11.75" style="74" customWidth="1"/>
    <col min="14388" max="14388" width="8.875" style="74" customWidth="1"/>
    <col min="14389" max="14389" width="17.375" style="74" customWidth="1"/>
    <col min="14390" max="14390" width="13.25" style="74" customWidth="1"/>
    <col min="14391" max="14391" width="25.75" style="74" customWidth="1"/>
    <col min="14392" max="14392" width="11.125" style="74" customWidth="1"/>
    <col min="14393" max="14393" width="10.75" style="74" customWidth="1"/>
    <col min="14394" max="14394" width="9" style="74" customWidth="1"/>
    <col min="14395" max="14395" width="9.75" style="74" customWidth="1"/>
    <col min="14396" max="14396" width="7.5" style="74" customWidth="1"/>
    <col min="14397" max="14397" width="13.25" style="74" customWidth="1"/>
    <col min="14398" max="14398" width="11.75" style="74" customWidth="1"/>
    <col min="14399" max="14399" width="8.875" style="74" customWidth="1"/>
    <col min="14400" max="14400" width="9.625" style="74" customWidth="1"/>
    <col min="14401" max="14402" width="11.875" style="74" customWidth="1"/>
    <col min="14403" max="14403" width="11.5" style="74" customWidth="1"/>
    <col min="14404" max="14419" width="12.25" style="74" customWidth="1"/>
    <col min="14420" max="14420" width="13" style="74" customWidth="1"/>
    <col min="14421" max="14425" width="12.375" style="74" customWidth="1"/>
    <col min="14426" max="14426" width="13" style="74" customWidth="1"/>
    <col min="14427" max="14428" width="12.375" style="74" customWidth="1"/>
    <col min="14429" max="14429" width="13" style="74" customWidth="1"/>
    <col min="14430" max="14430" width="13.125" style="74" customWidth="1"/>
    <col min="14431" max="14431" width="13" style="74" customWidth="1"/>
    <col min="14432" max="14432" width="13.125" style="74" customWidth="1"/>
    <col min="14433" max="14434" width="12.375" style="74" customWidth="1"/>
    <col min="14435" max="14435" width="13" style="74" customWidth="1"/>
    <col min="14436" max="14436" width="12.375" style="74" customWidth="1"/>
    <col min="14437" max="14437" width="12.25" style="74" customWidth="1"/>
    <col min="14438" max="14438" width="12.125" style="74" customWidth="1"/>
    <col min="14439" max="14439" width="11.625" style="74" customWidth="1"/>
    <col min="14440" max="14440" width="12" style="74" customWidth="1"/>
    <col min="14441" max="14441" width="13" style="74" customWidth="1"/>
    <col min="14442" max="14442" width="11.625" style="74" customWidth="1"/>
    <col min="14443" max="14444" width="12" style="74" customWidth="1"/>
    <col min="14445" max="14447" width="11.625" style="74" customWidth="1"/>
    <col min="14448" max="14448" width="11.125" style="74" customWidth="1"/>
    <col min="14449" max="14449" width="12" style="74" customWidth="1"/>
    <col min="14450" max="14450" width="13" style="74" customWidth="1"/>
    <col min="14451" max="14451" width="13.625" style="74" customWidth="1"/>
    <col min="14452" max="14452" width="11.875" style="74" customWidth="1"/>
    <col min="14453" max="14454" width="11.625" style="74" customWidth="1"/>
    <col min="14455" max="14455" width="12" style="74" customWidth="1"/>
    <col min="14456" max="14456" width="12.75" style="74" customWidth="1"/>
    <col min="14457" max="14457" width="11.625" style="74" customWidth="1"/>
    <col min="14458" max="14458" width="12.125" style="74" customWidth="1"/>
    <col min="14459" max="14460" width="11.625" style="74" customWidth="1"/>
    <col min="14461" max="14461" width="12.5" style="74" customWidth="1"/>
    <col min="14462" max="14636" width="11.625" style="74" customWidth="1"/>
    <col min="14637" max="14637" width="17.75" style="74" customWidth="1"/>
    <col min="14638" max="14639" width="9" style="74" customWidth="1"/>
    <col min="14640" max="14640" width="16.25" style="74" customWidth="1"/>
    <col min="14641" max="14641" width="24" style="74" customWidth="1"/>
    <col min="14642" max="14642" width="9" style="74"/>
    <col min="14643" max="14643" width="11.75" style="74" customWidth="1"/>
    <col min="14644" max="14644" width="8.875" style="74" customWidth="1"/>
    <col min="14645" max="14645" width="17.375" style="74" customWidth="1"/>
    <col min="14646" max="14646" width="13.25" style="74" customWidth="1"/>
    <col min="14647" max="14647" width="25.75" style="74" customWidth="1"/>
    <col min="14648" max="14648" width="11.125" style="74" customWidth="1"/>
    <col min="14649" max="14649" width="10.75" style="74" customWidth="1"/>
    <col min="14650" max="14650" width="9" style="74" customWidth="1"/>
    <col min="14651" max="14651" width="9.75" style="74" customWidth="1"/>
    <col min="14652" max="14652" width="7.5" style="74" customWidth="1"/>
    <col min="14653" max="14653" width="13.25" style="74" customWidth="1"/>
    <col min="14654" max="14654" width="11.75" style="74" customWidth="1"/>
    <col min="14655" max="14655" width="8.875" style="74" customWidth="1"/>
    <col min="14656" max="14656" width="9.625" style="74" customWidth="1"/>
    <col min="14657" max="14658" width="11.875" style="74" customWidth="1"/>
    <col min="14659" max="14659" width="11.5" style="74" customWidth="1"/>
    <col min="14660" max="14675" width="12.25" style="74" customWidth="1"/>
    <col min="14676" max="14676" width="13" style="74" customWidth="1"/>
    <col min="14677" max="14681" width="12.375" style="74" customWidth="1"/>
    <col min="14682" max="14682" width="13" style="74" customWidth="1"/>
    <col min="14683" max="14684" width="12.375" style="74" customWidth="1"/>
    <col min="14685" max="14685" width="13" style="74" customWidth="1"/>
    <col min="14686" max="14686" width="13.125" style="74" customWidth="1"/>
    <col min="14687" max="14687" width="13" style="74" customWidth="1"/>
    <col min="14688" max="14688" width="13.125" style="74" customWidth="1"/>
    <col min="14689" max="14690" width="12.375" style="74" customWidth="1"/>
    <col min="14691" max="14691" width="13" style="74" customWidth="1"/>
    <col min="14692" max="14692" width="12.375" style="74" customWidth="1"/>
    <col min="14693" max="14693" width="12.25" style="74" customWidth="1"/>
    <col min="14694" max="14694" width="12.125" style="74" customWidth="1"/>
    <col min="14695" max="14695" width="11.625" style="74" customWidth="1"/>
    <col min="14696" max="14696" width="12" style="74" customWidth="1"/>
    <col min="14697" max="14697" width="13" style="74" customWidth="1"/>
    <col min="14698" max="14698" width="11.625" style="74" customWidth="1"/>
    <col min="14699" max="14700" width="12" style="74" customWidth="1"/>
    <col min="14701" max="14703" width="11.625" style="74" customWidth="1"/>
    <col min="14704" max="14704" width="11.125" style="74" customWidth="1"/>
    <col min="14705" max="14705" width="12" style="74" customWidth="1"/>
    <col min="14706" max="14706" width="13" style="74" customWidth="1"/>
    <col min="14707" max="14707" width="13.625" style="74" customWidth="1"/>
    <col min="14708" max="14708" width="11.875" style="74" customWidth="1"/>
    <col min="14709" max="14710" width="11.625" style="74" customWidth="1"/>
    <col min="14711" max="14711" width="12" style="74" customWidth="1"/>
    <col min="14712" max="14712" width="12.75" style="74" customWidth="1"/>
    <col min="14713" max="14713" width="11.625" style="74" customWidth="1"/>
    <col min="14714" max="14714" width="12.125" style="74" customWidth="1"/>
    <col min="14715" max="14716" width="11.625" style="74" customWidth="1"/>
    <col min="14717" max="14717" width="12.5" style="74" customWidth="1"/>
    <col min="14718" max="14892" width="11.625" style="74" customWidth="1"/>
    <col min="14893" max="14893" width="17.75" style="74" customWidth="1"/>
    <col min="14894" max="14895" width="9" style="74" customWidth="1"/>
    <col min="14896" max="14896" width="16.25" style="74" customWidth="1"/>
    <col min="14897" max="14897" width="24" style="74" customWidth="1"/>
    <col min="14898" max="14898" width="9" style="74"/>
    <col min="14899" max="14899" width="11.75" style="74" customWidth="1"/>
    <col min="14900" max="14900" width="8.875" style="74" customWidth="1"/>
    <col min="14901" max="14901" width="17.375" style="74" customWidth="1"/>
    <col min="14902" max="14902" width="13.25" style="74" customWidth="1"/>
    <col min="14903" max="14903" width="25.75" style="74" customWidth="1"/>
    <col min="14904" max="14904" width="11.125" style="74" customWidth="1"/>
    <col min="14905" max="14905" width="10.75" style="74" customWidth="1"/>
    <col min="14906" max="14906" width="9" style="74" customWidth="1"/>
    <col min="14907" max="14907" width="9.75" style="74" customWidth="1"/>
    <col min="14908" max="14908" width="7.5" style="74" customWidth="1"/>
    <col min="14909" max="14909" width="13.25" style="74" customWidth="1"/>
    <col min="14910" max="14910" width="11.75" style="74" customWidth="1"/>
    <col min="14911" max="14911" width="8.875" style="74" customWidth="1"/>
    <col min="14912" max="14912" width="9.625" style="74" customWidth="1"/>
    <col min="14913" max="14914" width="11.875" style="74" customWidth="1"/>
    <col min="14915" max="14915" width="11.5" style="74" customWidth="1"/>
    <col min="14916" max="14931" width="12.25" style="74" customWidth="1"/>
    <col min="14932" max="14932" width="13" style="74" customWidth="1"/>
    <col min="14933" max="14937" width="12.375" style="74" customWidth="1"/>
    <col min="14938" max="14938" width="13" style="74" customWidth="1"/>
    <col min="14939" max="14940" width="12.375" style="74" customWidth="1"/>
    <col min="14941" max="14941" width="13" style="74" customWidth="1"/>
    <col min="14942" max="14942" width="13.125" style="74" customWidth="1"/>
    <col min="14943" max="14943" width="13" style="74" customWidth="1"/>
    <col min="14944" max="14944" width="13.125" style="74" customWidth="1"/>
    <col min="14945" max="14946" width="12.375" style="74" customWidth="1"/>
    <col min="14947" max="14947" width="13" style="74" customWidth="1"/>
    <col min="14948" max="14948" width="12.375" style="74" customWidth="1"/>
    <col min="14949" max="14949" width="12.25" style="74" customWidth="1"/>
    <col min="14950" max="14950" width="12.125" style="74" customWidth="1"/>
    <col min="14951" max="14951" width="11.625" style="74" customWidth="1"/>
    <col min="14952" max="14952" width="12" style="74" customWidth="1"/>
    <col min="14953" max="14953" width="13" style="74" customWidth="1"/>
    <col min="14954" max="14954" width="11.625" style="74" customWidth="1"/>
    <col min="14955" max="14956" width="12" style="74" customWidth="1"/>
    <col min="14957" max="14959" width="11.625" style="74" customWidth="1"/>
    <col min="14960" max="14960" width="11.125" style="74" customWidth="1"/>
    <col min="14961" max="14961" width="12" style="74" customWidth="1"/>
    <col min="14962" max="14962" width="13" style="74" customWidth="1"/>
    <col min="14963" max="14963" width="13.625" style="74" customWidth="1"/>
    <col min="14964" max="14964" width="11.875" style="74" customWidth="1"/>
    <col min="14965" max="14966" width="11.625" style="74" customWidth="1"/>
    <col min="14967" max="14967" width="12" style="74" customWidth="1"/>
    <col min="14968" max="14968" width="12.75" style="74" customWidth="1"/>
    <col min="14969" max="14969" width="11.625" style="74" customWidth="1"/>
    <col min="14970" max="14970" width="12.125" style="74" customWidth="1"/>
    <col min="14971" max="14972" width="11.625" style="74" customWidth="1"/>
    <col min="14973" max="14973" width="12.5" style="74" customWidth="1"/>
    <col min="14974" max="15148" width="11.625" style="74" customWidth="1"/>
    <col min="15149" max="15149" width="17.75" style="74" customWidth="1"/>
    <col min="15150" max="15151" width="9" style="74" customWidth="1"/>
    <col min="15152" max="15152" width="16.25" style="74" customWidth="1"/>
    <col min="15153" max="15153" width="24" style="74" customWidth="1"/>
    <col min="15154" max="15154" width="9" style="74"/>
    <col min="15155" max="15155" width="11.75" style="74" customWidth="1"/>
    <col min="15156" max="15156" width="8.875" style="74" customWidth="1"/>
    <col min="15157" max="15157" width="17.375" style="74" customWidth="1"/>
    <col min="15158" max="15158" width="13.25" style="74" customWidth="1"/>
    <col min="15159" max="15159" width="25.75" style="74" customWidth="1"/>
    <col min="15160" max="15160" width="11.125" style="74" customWidth="1"/>
    <col min="15161" max="15161" width="10.75" style="74" customWidth="1"/>
    <col min="15162" max="15162" width="9" style="74" customWidth="1"/>
    <col min="15163" max="15163" width="9.75" style="74" customWidth="1"/>
    <col min="15164" max="15164" width="7.5" style="74" customWidth="1"/>
    <col min="15165" max="15165" width="13.25" style="74" customWidth="1"/>
    <col min="15166" max="15166" width="11.75" style="74" customWidth="1"/>
    <col min="15167" max="15167" width="8.875" style="74" customWidth="1"/>
    <col min="15168" max="15168" width="9.625" style="74" customWidth="1"/>
    <col min="15169" max="15170" width="11.875" style="74" customWidth="1"/>
    <col min="15171" max="15171" width="11.5" style="74" customWidth="1"/>
    <col min="15172" max="15187" width="12.25" style="74" customWidth="1"/>
    <col min="15188" max="15188" width="13" style="74" customWidth="1"/>
    <col min="15189" max="15193" width="12.375" style="74" customWidth="1"/>
    <col min="15194" max="15194" width="13" style="74" customWidth="1"/>
    <col min="15195" max="15196" width="12.375" style="74" customWidth="1"/>
    <col min="15197" max="15197" width="13" style="74" customWidth="1"/>
    <col min="15198" max="15198" width="13.125" style="74" customWidth="1"/>
    <col min="15199" max="15199" width="13" style="74" customWidth="1"/>
    <col min="15200" max="15200" width="13.125" style="74" customWidth="1"/>
    <col min="15201" max="15202" width="12.375" style="74" customWidth="1"/>
    <col min="15203" max="15203" width="13" style="74" customWidth="1"/>
    <col min="15204" max="15204" width="12.375" style="74" customWidth="1"/>
    <col min="15205" max="15205" width="12.25" style="74" customWidth="1"/>
    <col min="15206" max="15206" width="12.125" style="74" customWidth="1"/>
    <col min="15207" max="15207" width="11.625" style="74" customWidth="1"/>
    <col min="15208" max="15208" width="12" style="74" customWidth="1"/>
    <col min="15209" max="15209" width="13" style="74" customWidth="1"/>
    <col min="15210" max="15210" width="11.625" style="74" customWidth="1"/>
    <col min="15211" max="15212" width="12" style="74" customWidth="1"/>
    <col min="15213" max="15215" width="11.625" style="74" customWidth="1"/>
    <col min="15216" max="15216" width="11.125" style="74" customWidth="1"/>
    <col min="15217" max="15217" width="12" style="74" customWidth="1"/>
    <col min="15218" max="15218" width="13" style="74" customWidth="1"/>
    <col min="15219" max="15219" width="13.625" style="74" customWidth="1"/>
    <col min="15220" max="15220" width="11.875" style="74" customWidth="1"/>
    <col min="15221" max="15222" width="11.625" style="74" customWidth="1"/>
    <col min="15223" max="15223" width="12" style="74" customWidth="1"/>
    <col min="15224" max="15224" width="12.75" style="74" customWidth="1"/>
    <col min="15225" max="15225" width="11.625" style="74" customWidth="1"/>
    <col min="15226" max="15226" width="12.125" style="74" customWidth="1"/>
    <col min="15227" max="15228" width="11.625" style="74" customWidth="1"/>
    <col min="15229" max="15229" width="12.5" style="74" customWidth="1"/>
    <col min="15230" max="15404" width="11.625" style="74" customWidth="1"/>
    <col min="15405" max="15405" width="17.75" style="74" customWidth="1"/>
    <col min="15406" max="15407" width="9" style="74" customWidth="1"/>
    <col min="15408" max="15408" width="16.25" style="74" customWidth="1"/>
    <col min="15409" max="15409" width="24" style="74" customWidth="1"/>
    <col min="15410" max="15410" width="9" style="74"/>
    <col min="15411" max="15411" width="11.75" style="74" customWidth="1"/>
    <col min="15412" max="15412" width="8.875" style="74" customWidth="1"/>
    <col min="15413" max="15413" width="17.375" style="74" customWidth="1"/>
    <col min="15414" max="15414" width="13.25" style="74" customWidth="1"/>
    <col min="15415" max="15415" width="25.75" style="74" customWidth="1"/>
    <col min="15416" max="15416" width="11.125" style="74" customWidth="1"/>
    <col min="15417" max="15417" width="10.75" style="74" customWidth="1"/>
    <col min="15418" max="15418" width="9" style="74" customWidth="1"/>
    <col min="15419" max="15419" width="9.75" style="74" customWidth="1"/>
    <col min="15420" max="15420" width="7.5" style="74" customWidth="1"/>
    <col min="15421" max="15421" width="13.25" style="74" customWidth="1"/>
    <col min="15422" max="15422" width="11.75" style="74" customWidth="1"/>
    <col min="15423" max="15423" width="8.875" style="74" customWidth="1"/>
    <col min="15424" max="15424" width="9.625" style="74" customWidth="1"/>
    <col min="15425" max="15426" width="11.875" style="74" customWidth="1"/>
    <col min="15427" max="15427" width="11.5" style="74" customWidth="1"/>
    <col min="15428" max="15443" width="12.25" style="74" customWidth="1"/>
    <col min="15444" max="15444" width="13" style="74" customWidth="1"/>
    <col min="15445" max="15449" width="12.375" style="74" customWidth="1"/>
    <col min="15450" max="15450" width="13" style="74" customWidth="1"/>
    <col min="15451" max="15452" width="12.375" style="74" customWidth="1"/>
    <col min="15453" max="15453" width="13" style="74" customWidth="1"/>
    <col min="15454" max="15454" width="13.125" style="74" customWidth="1"/>
    <col min="15455" max="15455" width="13" style="74" customWidth="1"/>
    <col min="15456" max="15456" width="13.125" style="74" customWidth="1"/>
    <col min="15457" max="15458" width="12.375" style="74" customWidth="1"/>
    <col min="15459" max="15459" width="13" style="74" customWidth="1"/>
    <col min="15460" max="15460" width="12.375" style="74" customWidth="1"/>
    <col min="15461" max="15461" width="12.25" style="74" customWidth="1"/>
    <col min="15462" max="15462" width="12.125" style="74" customWidth="1"/>
    <col min="15463" max="15463" width="11.625" style="74" customWidth="1"/>
    <col min="15464" max="15464" width="12" style="74" customWidth="1"/>
    <col min="15465" max="15465" width="13" style="74" customWidth="1"/>
    <col min="15466" max="15466" width="11.625" style="74" customWidth="1"/>
    <col min="15467" max="15468" width="12" style="74" customWidth="1"/>
    <col min="15469" max="15471" width="11.625" style="74" customWidth="1"/>
    <col min="15472" max="15472" width="11.125" style="74" customWidth="1"/>
    <col min="15473" max="15473" width="12" style="74" customWidth="1"/>
    <col min="15474" max="15474" width="13" style="74" customWidth="1"/>
    <col min="15475" max="15475" width="13.625" style="74" customWidth="1"/>
    <col min="15476" max="15476" width="11.875" style="74" customWidth="1"/>
    <col min="15477" max="15478" width="11.625" style="74" customWidth="1"/>
    <col min="15479" max="15479" width="12" style="74" customWidth="1"/>
    <col min="15480" max="15480" width="12.75" style="74" customWidth="1"/>
    <col min="15481" max="15481" width="11.625" style="74" customWidth="1"/>
    <col min="15482" max="15482" width="12.125" style="74" customWidth="1"/>
    <col min="15483" max="15484" width="11.625" style="74" customWidth="1"/>
    <col min="15485" max="15485" width="12.5" style="74" customWidth="1"/>
    <col min="15486" max="15660" width="11.625" style="74" customWidth="1"/>
    <col min="15661" max="15661" width="17.75" style="74" customWidth="1"/>
    <col min="15662" max="15663" width="9" style="74" customWidth="1"/>
    <col min="15664" max="15664" width="16.25" style="74" customWidth="1"/>
    <col min="15665" max="15665" width="24" style="74" customWidth="1"/>
    <col min="15666" max="15666" width="9" style="74"/>
    <col min="15667" max="15667" width="11.75" style="74" customWidth="1"/>
    <col min="15668" max="15668" width="8.875" style="74" customWidth="1"/>
    <col min="15669" max="15669" width="17.375" style="74" customWidth="1"/>
    <col min="15670" max="15670" width="13.25" style="74" customWidth="1"/>
    <col min="15671" max="15671" width="25.75" style="74" customWidth="1"/>
    <col min="15672" max="15672" width="11.125" style="74" customWidth="1"/>
    <col min="15673" max="15673" width="10.75" style="74" customWidth="1"/>
    <col min="15674" max="15674" width="9" style="74" customWidth="1"/>
    <col min="15675" max="15675" width="9.75" style="74" customWidth="1"/>
    <col min="15676" max="15676" width="7.5" style="74" customWidth="1"/>
    <col min="15677" max="15677" width="13.25" style="74" customWidth="1"/>
    <col min="15678" max="15678" width="11.75" style="74" customWidth="1"/>
    <col min="15679" max="15679" width="8.875" style="74" customWidth="1"/>
    <col min="15680" max="15680" width="9.625" style="74" customWidth="1"/>
    <col min="15681" max="15682" width="11.875" style="74" customWidth="1"/>
    <col min="15683" max="15683" width="11.5" style="74" customWidth="1"/>
    <col min="15684" max="15699" width="12.25" style="74" customWidth="1"/>
    <col min="15700" max="15700" width="13" style="74" customWidth="1"/>
    <col min="15701" max="15705" width="12.375" style="74" customWidth="1"/>
    <col min="15706" max="15706" width="13" style="74" customWidth="1"/>
    <col min="15707" max="15708" width="12.375" style="74" customWidth="1"/>
    <col min="15709" max="15709" width="13" style="74" customWidth="1"/>
    <col min="15710" max="15710" width="13.125" style="74" customWidth="1"/>
    <col min="15711" max="15711" width="13" style="74" customWidth="1"/>
    <col min="15712" max="15712" width="13.125" style="74" customWidth="1"/>
    <col min="15713" max="15714" width="12.375" style="74" customWidth="1"/>
    <col min="15715" max="15715" width="13" style="74" customWidth="1"/>
    <col min="15716" max="15716" width="12.375" style="74" customWidth="1"/>
    <col min="15717" max="15717" width="12.25" style="74" customWidth="1"/>
    <col min="15718" max="15718" width="12.125" style="74" customWidth="1"/>
    <col min="15719" max="15719" width="11.625" style="74" customWidth="1"/>
    <col min="15720" max="15720" width="12" style="74" customWidth="1"/>
    <col min="15721" max="15721" width="13" style="74" customWidth="1"/>
    <col min="15722" max="15722" width="11.625" style="74" customWidth="1"/>
    <col min="15723" max="15724" width="12" style="74" customWidth="1"/>
    <col min="15725" max="15727" width="11.625" style="74" customWidth="1"/>
    <col min="15728" max="15728" width="11.125" style="74" customWidth="1"/>
    <col min="15729" max="15729" width="12" style="74" customWidth="1"/>
    <col min="15730" max="15730" width="13" style="74" customWidth="1"/>
    <col min="15731" max="15731" width="13.625" style="74" customWidth="1"/>
    <col min="15732" max="15732" width="11.875" style="74" customWidth="1"/>
    <col min="15733" max="15734" width="11.625" style="74" customWidth="1"/>
    <col min="15735" max="15735" width="12" style="74" customWidth="1"/>
    <col min="15736" max="15736" width="12.75" style="74" customWidth="1"/>
    <col min="15737" max="15737" width="11.625" style="74" customWidth="1"/>
    <col min="15738" max="15738" width="12.125" style="74" customWidth="1"/>
    <col min="15739" max="15740" width="11.625" style="74" customWidth="1"/>
    <col min="15741" max="15741" width="12.5" style="74" customWidth="1"/>
    <col min="15742" max="15916" width="11.625" style="74" customWidth="1"/>
    <col min="15917" max="15917" width="17.75" style="74" customWidth="1"/>
    <col min="15918" max="15919" width="9" style="74" customWidth="1"/>
    <col min="15920" max="15920" width="16.25" style="74" customWidth="1"/>
    <col min="15921" max="15921" width="24" style="74" customWidth="1"/>
    <col min="15922" max="15922" width="9" style="74"/>
    <col min="15923" max="15923" width="11.75" style="74" customWidth="1"/>
    <col min="15924" max="15924" width="8.875" style="74" customWidth="1"/>
    <col min="15925" max="15925" width="17.375" style="74" customWidth="1"/>
    <col min="15926" max="15926" width="13.25" style="74" customWidth="1"/>
    <col min="15927" max="15927" width="25.75" style="74" customWidth="1"/>
    <col min="15928" max="15928" width="11.125" style="74" customWidth="1"/>
    <col min="15929" max="15929" width="10.75" style="74" customWidth="1"/>
    <col min="15930" max="15930" width="9" style="74" customWidth="1"/>
    <col min="15931" max="15931" width="9.75" style="74" customWidth="1"/>
    <col min="15932" max="15932" width="7.5" style="74" customWidth="1"/>
    <col min="15933" max="15933" width="13.25" style="74" customWidth="1"/>
    <col min="15934" max="15934" width="11.75" style="74" customWidth="1"/>
    <col min="15935" max="15935" width="8.875" style="74" customWidth="1"/>
    <col min="15936" max="15936" width="9.625" style="74" customWidth="1"/>
    <col min="15937" max="15938" width="11.875" style="74" customWidth="1"/>
    <col min="15939" max="15939" width="11.5" style="74" customWidth="1"/>
    <col min="15940" max="15955" width="12.25" style="74" customWidth="1"/>
    <col min="15956" max="15956" width="13" style="74" customWidth="1"/>
    <col min="15957" max="15961" width="12.375" style="74" customWidth="1"/>
    <col min="15962" max="15962" width="13" style="74" customWidth="1"/>
    <col min="15963" max="15964" width="12.375" style="74" customWidth="1"/>
    <col min="15965" max="15965" width="13" style="74" customWidth="1"/>
    <col min="15966" max="15966" width="13.125" style="74" customWidth="1"/>
    <col min="15967" max="15967" width="13" style="74" customWidth="1"/>
    <col min="15968" max="15968" width="13.125" style="74" customWidth="1"/>
    <col min="15969" max="15970" width="12.375" style="74" customWidth="1"/>
    <col min="15971" max="15971" width="13" style="74" customWidth="1"/>
    <col min="15972" max="15972" width="12.375" style="74" customWidth="1"/>
    <col min="15973" max="15973" width="12.25" style="74" customWidth="1"/>
    <col min="15974" max="15974" width="12.125" style="74" customWidth="1"/>
    <col min="15975" max="15975" width="11.625" style="74" customWidth="1"/>
    <col min="15976" max="15976" width="12" style="74" customWidth="1"/>
    <col min="15977" max="15977" width="13" style="74" customWidth="1"/>
    <col min="15978" max="15978" width="11.625" style="74" customWidth="1"/>
    <col min="15979" max="15980" width="12" style="74" customWidth="1"/>
    <col min="15981" max="15983" width="11.625" style="74" customWidth="1"/>
    <col min="15984" max="15984" width="11.125" style="74" customWidth="1"/>
    <col min="15985" max="15985" width="12" style="74" customWidth="1"/>
    <col min="15986" max="15986" width="13" style="74" customWidth="1"/>
    <col min="15987" max="15987" width="13.625" style="74" customWidth="1"/>
    <col min="15988" max="15988" width="11.875" style="74" customWidth="1"/>
    <col min="15989" max="15990" width="11.625" style="74" customWidth="1"/>
    <col min="15991" max="15991" width="12" style="74" customWidth="1"/>
    <col min="15992" max="15992" width="12.75" style="74" customWidth="1"/>
    <col min="15993" max="15993" width="11.625" style="74" customWidth="1"/>
    <col min="15994" max="15994" width="12.125" style="74" customWidth="1"/>
    <col min="15995" max="15996" width="11.625" style="74" customWidth="1"/>
    <col min="15997" max="15997" width="12.5" style="74" customWidth="1"/>
    <col min="15998" max="16171" width="11.625" style="74" customWidth="1"/>
    <col min="16172" max="16384" width="17.75" style="74" customWidth="1"/>
  </cols>
  <sheetData>
    <row r="1" spans="1:94" s="128" customFormat="1" ht="12.75" customHeight="1">
      <c r="A1" s="403" t="s">
        <v>798</v>
      </c>
      <c r="B1" s="411" t="s">
        <v>799</v>
      </c>
      <c r="C1" s="412" t="s">
        <v>800</v>
      </c>
      <c r="D1" s="407" t="s">
        <v>801</v>
      </c>
      <c r="E1" s="413" t="s">
        <v>802</v>
      </c>
      <c r="F1" s="126" t="s">
        <v>803</v>
      </c>
      <c r="G1" s="127" t="s">
        <v>804</v>
      </c>
      <c r="H1" s="408" t="s">
        <v>805</v>
      </c>
      <c r="I1" s="407" t="s">
        <v>806</v>
      </c>
      <c r="J1" s="410" t="s">
        <v>807</v>
      </c>
      <c r="K1" s="397" t="s">
        <v>808</v>
      </c>
      <c r="L1" s="397" t="s">
        <v>809</v>
      </c>
      <c r="M1" s="404" t="s">
        <v>810</v>
      </c>
      <c r="N1" s="397" t="s">
        <v>811</v>
      </c>
      <c r="O1" s="397" t="s">
        <v>812</v>
      </c>
      <c r="P1" s="397" t="s">
        <v>813</v>
      </c>
      <c r="Q1" s="397" t="s">
        <v>814</v>
      </c>
      <c r="R1" s="397" t="s">
        <v>815</v>
      </c>
      <c r="S1" s="397" t="s">
        <v>816</v>
      </c>
      <c r="T1" s="397" t="s">
        <v>817</v>
      </c>
      <c r="U1" s="397" t="s">
        <v>818</v>
      </c>
      <c r="V1" s="397" t="s">
        <v>819</v>
      </c>
      <c r="W1" s="397" t="s">
        <v>820</v>
      </c>
      <c r="X1" s="397" t="s">
        <v>821</v>
      </c>
      <c r="Y1" s="397" t="s">
        <v>822</v>
      </c>
      <c r="Z1" s="397" t="s">
        <v>823</v>
      </c>
      <c r="AA1" s="397" t="s">
        <v>824</v>
      </c>
      <c r="AB1" s="397" t="s">
        <v>825</v>
      </c>
      <c r="AC1" s="397" t="s">
        <v>826</v>
      </c>
      <c r="AD1" s="397" t="s">
        <v>827</v>
      </c>
      <c r="AE1" s="397" t="s">
        <v>828</v>
      </c>
      <c r="AF1" s="397" t="s">
        <v>829</v>
      </c>
      <c r="AG1" s="397" t="s">
        <v>830</v>
      </c>
      <c r="AH1" s="397" t="s">
        <v>831</v>
      </c>
      <c r="AI1" s="397" t="s">
        <v>832</v>
      </c>
      <c r="AJ1" s="397" t="s">
        <v>833</v>
      </c>
      <c r="AK1" s="397" t="s">
        <v>834</v>
      </c>
      <c r="AL1" s="397" t="s">
        <v>835</v>
      </c>
      <c r="AM1" s="397" t="s">
        <v>836</v>
      </c>
      <c r="AN1" s="397" t="s">
        <v>837</v>
      </c>
      <c r="AO1" s="397" t="s">
        <v>838</v>
      </c>
      <c r="AP1" s="397" t="s">
        <v>839</v>
      </c>
      <c r="AQ1" s="397" t="s">
        <v>840</v>
      </c>
      <c r="AR1" s="397" t="s">
        <v>841</v>
      </c>
      <c r="AS1" s="397" t="s">
        <v>842</v>
      </c>
      <c r="AT1" s="397" t="s">
        <v>843</v>
      </c>
      <c r="AU1" s="397" t="s">
        <v>844</v>
      </c>
      <c r="AV1" s="397" t="s">
        <v>845</v>
      </c>
      <c r="AW1" s="397" t="s">
        <v>846</v>
      </c>
      <c r="AX1" s="397" t="s">
        <v>847</v>
      </c>
      <c r="AY1" s="397" t="s">
        <v>848</v>
      </c>
      <c r="AZ1" s="397" t="s">
        <v>849</v>
      </c>
      <c r="BA1" s="397" t="s">
        <v>850</v>
      </c>
      <c r="BB1" s="397" t="s">
        <v>851</v>
      </c>
      <c r="BC1" s="397" t="s">
        <v>852</v>
      </c>
      <c r="BD1" s="397" t="s">
        <v>853</v>
      </c>
      <c r="BE1" s="397" t="s">
        <v>854</v>
      </c>
      <c r="BF1" s="397" t="s">
        <v>855</v>
      </c>
      <c r="BG1" s="397" t="s">
        <v>856</v>
      </c>
      <c r="BH1" s="397" t="s">
        <v>857</v>
      </c>
      <c r="BI1" s="397" t="s">
        <v>858</v>
      </c>
      <c r="BJ1" s="397" t="s">
        <v>859</v>
      </c>
      <c r="BK1" s="397" t="s">
        <v>860</v>
      </c>
      <c r="BL1" s="397" t="s">
        <v>861</v>
      </c>
      <c r="BM1" s="397" t="s">
        <v>862</v>
      </c>
      <c r="BN1" s="397" t="s">
        <v>863</v>
      </c>
      <c r="BO1" s="397" t="s">
        <v>864</v>
      </c>
      <c r="BP1" s="397" t="s">
        <v>865</v>
      </c>
      <c r="BQ1" s="397" t="s">
        <v>866</v>
      </c>
      <c r="BR1" s="397" t="s">
        <v>867</v>
      </c>
      <c r="BS1" s="397" t="s">
        <v>868</v>
      </c>
      <c r="BT1" s="397" t="s">
        <v>869</v>
      </c>
      <c r="BU1" s="397" t="s">
        <v>870</v>
      </c>
      <c r="BV1" s="397" t="s">
        <v>871</v>
      </c>
      <c r="BW1" s="397" t="s">
        <v>872</v>
      </c>
      <c r="BX1" s="397" t="s">
        <v>873</v>
      </c>
      <c r="BY1" s="397" t="s">
        <v>874</v>
      </c>
      <c r="BZ1" s="397" t="s">
        <v>875</v>
      </c>
      <c r="CA1" s="397" t="s">
        <v>876</v>
      </c>
      <c r="CB1" s="397" t="s">
        <v>877</v>
      </c>
      <c r="CC1" s="397" t="s">
        <v>878</v>
      </c>
      <c r="CD1" s="397" t="s">
        <v>879</v>
      </c>
      <c r="CE1" s="397" t="s">
        <v>880</v>
      </c>
      <c r="CF1" s="397" t="s">
        <v>881</v>
      </c>
      <c r="CG1" s="397" t="s">
        <v>882</v>
      </c>
      <c r="CH1" s="397" t="s">
        <v>883</v>
      </c>
      <c r="CI1" s="397" t="s">
        <v>884</v>
      </c>
      <c r="CJ1" s="397" t="s">
        <v>885</v>
      </c>
      <c r="CK1" s="397" t="s">
        <v>886</v>
      </c>
      <c r="CL1" s="397" t="s">
        <v>887</v>
      </c>
      <c r="CM1" s="397" t="s">
        <v>888</v>
      </c>
      <c r="CN1" s="397" t="s">
        <v>889</v>
      </c>
      <c r="CO1" s="397" t="s">
        <v>890</v>
      </c>
      <c r="CP1" s="409" t="s">
        <v>891</v>
      </c>
    </row>
    <row r="2" spans="1:94" s="72" customFormat="1" ht="12">
      <c r="A2" s="403"/>
      <c r="B2" s="411"/>
      <c r="C2" s="412"/>
      <c r="D2" s="407"/>
      <c r="E2" s="413"/>
      <c r="F2" s="129" t="s">
        <v>892</v>
      </c>
      <c r="G2" s="130" t="s">
        <v>893</v>
      </c>
      <c r="H2" s="408"/>
      <c r="I2" s="407"/>
      <c r="J2" s="410"/>
      <c r="K2" s="397"/>
      <c r="L2" s="397"/>
      <c r="M2" s="404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7"/>
      <c r="AB2" s="397"/>
      <c r="AC2" s="397"/>
      <c r="AD2" s="397"/>
      <c r="AE2" s="397"/>
      <c r="AF2" s="397"/>
      <c r="AG2" s="397"/>
      <c r="AH2" s="397"/>
      <c r="AI2" s="397"/>
      <c r="AJ2" s="397"/>
      <c r="AK2" s="397"/>
      <c r="AL2" s="397"/>
      <c r="AM2" s="397"/>
      <c r="AN2" s="397"/>
      <c r="AO2" s="397"/>
      <c r="AP2" s="397"/>
      <c r="AQ2" s="397"/>
      <c r="AR2" s="397"/>
      <c r="AS2" s="397"/>
      <c r="AT2" s="397"/>
      <c r="AU2" s="397"/>
      <c r="AV2" s="397"/>
      <c r="AW2" s="397"/>
      <c r="AX2" s="397"/>
      <c r="AY2" s="397"/>
      <c r="AZ2" s="397"/>
      <c r="BA2" s="397"/>
      <c r="BB2" s="397"/>
      <c r="BC2" s="397"/>
      <c r="BD2" s="397"/>
      <c r="BE2" s="397"/>
      <c r="BF2" s="397"/>
      <c r="BG2" s="397"/>
      <c r="BH2" s="397"/>
      <c r="BI2" s="397"/>
      <c r="BJ2" s="397"/>
      <c r="BK2" s="397"/>
      <c r="BL2" s="397"/>
      <c r="BM2" s="397"/>
      <c r="BN2" s="397"/>
      <c r="BO2" s="397"/>
      <c r="BP2" s="397"/>
      <c r="BQ2" s="397"/>
      <c r="BR2" s="397"/>
      <c r="BS2" s="397"/>
      <c r="BT2" s="397"/>
      <c r="BU2" s="397"/>
      <c r="BV2" s="397"/>
      <c r="BW2" s="397"/>
      <c r="BX2" s="397"/>
      <c r="BY2" s="397"/>
      <c r="BZ2" s="397"/>
      <c r="CA2" s="397"/>
      <c r="CB2" s="397"/>
      <c r="CC2" s="397"/>
      <c r="CD2" s="397"/>
      <c r="CE2" s="397"/>
      <c r="CF2" s="397"/>
      <c r="CG2" s="397"/>
      <c r="CH2" s="397"/>
      <c r="CI2" s="397"/>
      <c r="CJ2" s="397"/>
      <c r="CK2" s="397"/>
      <c r="CL2" s="397"/>
      <c r="CM2" s="397"/>
      <c r="CN2" s="397"/>
      <c r="CO2" s="397"/>
      <c r="CP2" s="409"/>
    </row>
    <row r="3" spans="1:94" s="72" customFormat="1" ht="12" customHeight="1">
      <c r="A3" s="402">
        <v>1</v>
      </c>
      <c r="B3" s="406" t="s">
        <v>894</v>
      </c>
      <c r="C3" s="400" t="s">
        <v>895</v>
      </c>
      <c r="D3" s="401" t="s">
        <v>397</v>
      </c>
      <c r="E3" s="398" t="s">
        <v>400</v>
      </c>
      <c r="F3" s="399">
        <v>32.130000000000003</v>
      </c>
      <c r="G3" s="399">
        <f>H3/F3/365</f>
        <v>3.1232876712328759</v>
      </c>
      <c r="H3" s="405">
        <v>36628.199999999997</v>
      </c>
      <c r="I3" s="129"/>
      <c r="J3" s="131">
        <f>ROUND(36628.2/4,0)</f>
        <v>9157</v>
      </c>
      <c r="K3" s="132">
        <f>J3</f>
        <v>9157</v>
      </c>
      <c r="L3" s="133">
        <f>K3</f>
        <v>9157</v>
      </c>
      <c r="M3" s="133">
        <f>L3</f>
        <v>9157</v>
      </c>
      <c r="N3" s="133">
        <f>ROUND(M3*(1+取值表!$D$2)*取值表!$H$2,0)</f>
        <v>9096</v>
      </c>
      <c r="O3" s="133">
        <f>N3</f>
        <v>9096</v>
      </c>
      <c r="P3" s="133">
        <f t="shared" ref="P3" si="0">O3</f>
        <v>9096</v>
      </c>
      <c r="Q3" s="133">
        <f>P3</f>
        <v>9096</v>
      </c>
      <c r="R3" s="133">
        <f>ROUND(Q3*(1+取值表!$D$2)*取值表!$H$2,0)</f>
        <v>9035</v>
      </c>
      <c r="S3" s="133">
        <f t="shared" ref="S3:CC3" si="1">R3</f>
        <v>9035</v>
      </c>
      <c r="T3" s="133">
        <f t="shared" si="1"/>
        <v>9035</v>
      </c>
      <c r="U3" s="133">
        <f t="shared" si="1"/>
        <v>9035</v>
      </c>
      <c r="V3" s="133">
        <f>ROUND(U3*(1+取值表!$D$2)*取值表!$H$2,0)</f>
        <v>8975</v>
      </c>
      <c r="W3" s="133">
        <f t="shared" ref="W3" si="2">V3</f>
        <v>8975</v>
      </c>
      <c r="X3" s="133">
        <f t="shared" si="1"/>
        <v>8975</v>
      </c>
      <c r="Y3" s="133">
        <f t="shared" si="1"/>
        <v>8975</v>
      </c>
      <c r="Z3" s="133">
        <f>ROUND(Y3*(1+取值表!$D$2)*取值表!$H$2,0)</f>
        <v>8915</v>
      </c>
      <c r="AA3" s="133">
        <f t="shared" ref="AA3" si="3">Z3</f>
        <v>8915</v>
      </c>
      <c r="AB3" s="133">
        <f t="shared" si="1"/>
        <v>8915</v>
      </c>
      <c r="AC3" s="133">
        <f t="shared" si="1"/>
        <v>8915</v>
      </c>
      <c r="AD3" s="133">
        <f>ROUND(AC3*(1+取值表!$D$2)*取值表!$H$2,0)</f>
        <v>8856</v>
      </c>
      <c r="AE3" s="133">
        <f t="shared" ref="AE3" si="4">AD3</f>
        <v>8856</v>
      </c>
      <c r="AF3" s="133">
        <f t="shared" si="1"/>
        <v>8856</v>
      </c>
      <c r="AG3" s="133">
        <f t="shared" si="1"/>
        <v>8856</v>
      </c>
      <c r="AH3" s="133">
        <f>ROUND(AG3*(1+取值表!$D$2)*取值表!$H$2,0)</f>
        <v>8797</v>
      </c>
      <c r="AI3" s="133">
        <f t="shared" ref="AI3" si="5">AH3</f>
        <v>8797</v>
      </c>
      <c r="AJ3" s="133">
        <f t="shared" si="1"/>
        <v>8797</v>
      </c>
      <c r="AK3" s="133">
        <f t="shared" si="1"/>
        <v>8797</v>
      </c>
      <c r="AL3" s="133">
        <f>ROUND(AK3*(1+取值表!$D$2)*取值表!$H$2,0)</f>
        <v>8738</v>
      </c>
      <c r="AM3" s="133">
        <f t="shared" ref="AM3" si="6">AL3</f>
        <v>8738</v>
      </c>
      <c r="AN3" s="133">
        <f t="shared" si="1"/>
        <v>8738</v>
      </c>
      <c r="AO3" s="133">
        <f t="shared" si="1"/>
        <v>8738</v>
      </c>
      <c r="AP3" s="133">
        <f>ROUND(AO3*(1+取值表!$D$2)*取值表!$H$2,0)</f>
        <v>8680</v>
      </c>
      <c r="AQ3" s="133">
        <f t="shared" ref="AQ3" si="7">AP3</f>
        <v>8680</v>
      </c>
      <c r="AR3" s="133">
        <f t="shared" si="1"/>
        <v>8680</v>
      </c>
      <c r="AS3" s="133">
        <f t="shared" si="1"/>
        <v>8680</v>
      </c>
      <c r="AT3" s="133">
        <f>ROUND(AS3*(1+取值表!$D$2)*取值表!$H$2,0)</f>
        <v>8622</v>
      </c>
      <c r="AU3" s="133">
        <f t="shared" ref="AU3" si="8">AT3</f>
        <v>8622</v>
      </c>
      <c r="AV3" s="133">
        <f t="shared" si="1"/>
        <v>8622</v>
      </c>
      <c r="AW3" s="133">
        <f t="shared" si="1"/>
        <v>8622</v>
      </c>
      <c r="AX3" s="133">
        <f>ROUND(AW3*(1+取值表!$D$2)*取值表!$H$2,0)</f>
        <v>8565</v>
      </c>
      <c r="AY3" s="133">
        <f t="shared" ref="AY3" si="9">AX3</f>
        <v>8565</v>
      </c>
      <c r="AZ3" s="133">
        <f t="shared" si="1"/>
        <v>8565</v>
      </c>
      <c r="BA3" s="133">
        <f t="shared" si="1"/>
        <v>8565</v>
      </c>
      <c r="BB3" s="133">
        <f>ROUND(BA3*(1+取值表!$D$2)*取值表!$H$2,0)</f>
        <v>8508</v>
      </c>
      <c r="BC3" s="133">
        <f t="shared" ref="BC3" si="10">BB3</f>
        <v>8508</v>
      </c>
      <c r="BD3" s="133">
        <f t="shared" si="1"/>
        <v>8508</v>
      </c>
      <c r="BE3" s="133">
        <f t="shared" si="1"/>
        <v>8508</v>
      </c>
      <c r="BF3" s="133">
        <f>ROUND(BE3*(1+取值表!$D$2)*取值表!$H$2,0)</f>
        <v>8451</v>
      </c>
      <c r="BG3" s="133">
        <f t="shared" ref="BG3" si="11">BF3</f>
        <v>8451</v>
      </c>
      <c r="BH3" s="133">
        <f t="shared" si="1"/>
        <v>8451</v>
      </c>
      <c r="BI3" s="133">
        <f t="shared" si="1"/>
        <v>8451</v>
      </c>
      <c r="BJ3" s="133">
        <f>ROUND(BI3*(1+取值表!$D$2)*取值表!$H$2,0)</f>
        <v>8395</v>
      </c>
      <c r="BK3" s="133">
        <f t="shared" ref="BK3" si="12">BJ3</f>
        <v>8395</v>
      </c>
      <c r="BL3" s="133">
        <f t="shared" si="1"/>
        <v>8395</v>
      </c>
      <c r="BM3" s="133">
        <f t="shared" si="1"/>
        <v>8395</v>
      </c>
      <c r="BN3" s="133">
        <f>ROUND(BM3*(1+取值表!$D$2)*取值表!$H$2,0)</f>
        <v>8339</v>
      </c>
      <c r="BO3" s="133">
        <f t="shared" ref="BO3" si="13">BN3</f>
        <v>8339</v>
      </c>
      <c r="BP3" s="133">
        <f t="shared" si="1"/>
        <v>8339</v>
      </c>
      <c r="BQ3" s="133">
        <f t="shared" si="1"/>
        <v>8339</v>
      </c>
      <c r="BR3" s="133">
        <f>ROUND(BQ3*(1+取值表!$D$2)*取值表!$H$2,0)</f>
        <v>8283</v>
      </c>
      <c r="BS3" s="133">
        <f t="shared" ref="BS3" si="14">BR3</f>
        <v>8283</v>
      </c>
      <c r="BT3" s="133">
        <f t="shared" si="1"/>
        <v>8283</v>
      </c>
      <c r="BU3" s="133">
        <f t="shared" si="1"/>
        <v>8283</v>
      </c>
      <c r="BV3" s="133">
        <f>ROUND(BU3*(1+取值表!$D$2)*取值表!$H$2,0)</f>
        <v>8228</v>
      </c>
      <c r="BW3" s="133">
        <f t="shared" ref="BW3" si="15">BV3</f>
        <v>8228</v>
      </c>
      <c r="BX3" s="133">
        <f t="shared" si="1"/>
        <v>8228</v>
      </c>
      <c r="BY3" s="133">
        <f t="shared" si="1"/>
        <v>8228</v>
      </c>
      <c r="BZ3" s="133">
        <f>ROUND(BY3*(1+取值表!$D$2)*取值表!$H$2,0)</f>
        <v>8173</v>
      </c>
      <c r="CA3" s="133">
        <f t="shared" ref="CA3" si="16">BZ3</f>
        <v>8173</v>
      </c>
      <c r="CB3" s="133">
        <f t="shared" si="1"/>
        <v>8173</v>
      </c>
      <c r="CC3" s="133">
        <f t="shared" si="1"/>
        <v>8173</v>
      </c>
      <c r="CD3" s="133">
        <f>ROUND(CC3*(1+取值表!$D$2)*取值表!$H$2,0)</f>
        <v>8119</v>
      </c>
      <c r="CE3" s="133">
        <f t="shared" ref="CE3:CN3" si="17">CD3</f>
        <v>8119</v>
      </c>
      <c r="CF3" s="133">
        <f t="shared" si="17"/>
        <v>8119</v>
      </c>
      <c r="CG3" s="133">
        <f t="shared" si="17"/>
        <v>8119</v>
      </c>
      <c r="CH3" s="133">
        <f>ROUND(CG3*(1+取值表!$D$2)*取值表!$H$2,0)</f>
        <v>8065</v>
      </c>
      <c r="CI3" s="133">
        <f t="shared" ref="CI3" si="18">CH3</f>
        <v>8065</v>
      </c>
      <c r="CJ3" s="133">
        <f t="shared" si="17"/>
        <v>8065</v>
      </c>
      <c r="CK3" s="133">
        <f t="shared" si="17"/>
        <v>8065</v>
      </c>
      <c r="CL3" s="133">
        <f>ROUND(CK3*(1+取值表!$D$2)*取值表!$H$2,0)</f>
        <v>8011</v>
      </c>
      <c r="CM3" s="133">
        <f t="shared" ref="CM3" si="19">CL3</f>
        <v>8011</v>
      </c>
      <c r="CN3" s="133">
        <f t="shared" si="17"/>
        <v>8011</v>
      </c>
      <c r="CO3" s="133">
        <f>CN3</f>
        <v>8011</v>
      </c>
      <c r="CP3" s="134">
        <f t="shared" ref="CP3:CP32" si="20">SUM(J3:CO3)</f>
        <v>720032</v>
      </c>
    </row>
    <row r="4" spans="1:94" s="72" customFormat="1" ht="12.75" customHeight="1">
      <c r="A4" s="402"/>
      <c r="B4" s="406"/>
      <c r="C4" s="400"/>
      <c r="D4" s="401"/>
      <c r="E4" s="398"/>
      <c r="F4" s="399"/>
      <c r="G4" s="399"/>
      <c r="H4" s="405"/>
      <c r="I4" s="129"/>
      <c r="J4" s="131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4">
        <f t="shared" si="20"/>
        <v>0</v>
      </c>
    </row>
    <row r="5" spans="1:94" s="72" customFormat="1" ht="12" customHeight="1">
      <c r="A5" s="402">
        <v>2</v>
      </c>
      <c r="B5" s="406" t="s">
        <v>896</v>
      </c>
      <c r="C5" s="400" t="s">
        <v>897</v>
      </c>
      <c r="D5" s="401" t="s">
        <v>399</v>
      </c>
      <c r="E5" s="398" t="s">
        <v>400</v>
      </c>
      <c r="F5" s="399">
        <v>16.21</v>
      </c>
      <c r="G5" s="399">
        <f>H5/365/F5</f>
        <v>3.1232876712328772</v>
      </c>
      <c r="H5" s="405">
        <v>18479.400000000001</v>
      </c>
      <c r="I5" s="129"/>
      <c r="J5" s="131">
        <f>ROUND(18479.4/4,0)</f>
        <v>4620</v>
      </c>
      <c r="K5" s="132">
        <f>J5</f>
        <v>4620</v>
      </c>
      <c r="L5" s="133">
        <f>K5</f>
        <v>4620</v>
      </c>
      <c r="M5" s="133">
        <f>L5</f>
        <v>4620</v>
      </c>
      <c r="N5" s="133">
        <f>ROUND(M5*(1+取值表!$D$2)*取值表!$H$2,0)</f>
        <v>4589</v>
      </c>
      <c r="O5" s="133">
        <f>N5</f>
        <v>4589</v>
      </c>
      <c r="P5" s="133">
        <f>O5</f>
        <v>4589</v>
      </c>
      <c r="Q5" s="133">
        <f>P5</f>
        <v>4589</v>
      </c>
      <c r="R5" s="133">
        <f>ROUND(Q5*(1+取值表!$D$2)*取值表!$H$2,0)</f>
        <v>4558</v>
      </c>
      <c r="S5" s="133">
        <f t="shared" ref="S5:U5" si="21">R5</f>
        <v>4558</v>
      </c>
      <c r="T5" s="133">
        <f t="shared" si="21"/>
        <v>4558</v>
      </c>
      <c r="U5" s="133">
        <f t="shared" si="21"/>
        <v>4558</v>
      </c>
      <c r="V5" s="133">
        <f>ROUND(U5*(1+取值表!$D$2)*取值表!$H$2,0)</f>
        <v>4528</v>
      </c>
      <c r="W5" s="133">
        <f t="shared" ref="W5:Y5" si="22">V5</f>
        <v>4528</v>
      </c>
      <c r="X5" s="133">
        <f t="shared" si="22"/>
        <v>4528</v>
      </c>
      <c r="Y5" s="133">
        <f t="shared" si="22"/>
        <v>4528</v>
      </c>
      <c r="Z5" s="133">
        <f>ROUND(Y5*(1+取值表!$D$2)*取值表!$H$2,0)</f>
        <v>4498</v>
      </c>
      <c r="AA5" s="133">
        <f t="shared" ref="AA5:AC5" si="23">Z5</f>
        <v>4498</v>
      </c>
      <c r="AB5" s="133">
        <f t="shared" si="23"/>
        <v>4498</v>
      </c>
      <c r="AC5" s="133">
        <f t="shared" si="23"/>
        <v>4498</v>
      </c>
      <c r="AD5" s="133">
        <f>ROUND(AC5*(1+取值表!$D$2)*取值表!$H$2,0)</f>
        <v>4468</v>
      </c>
      <c r="AE5" s="133">
        <f t="shared" ref="AE5:AG5" si="24">AD5</f>
        <v>4468</v>
      </c>
      <c r="AF5" s="133">
        <f t="shared" si="24"/>
        <v>4468</v>
      </c>
      <c r="AG5" s="133">
        <f t="shared" si="24"/>
        <v>4468</v>
      </c>
      <c r="AH5" s="133">
        <f>ROUND(AG5*(1+取值表!$D$2)*取值表!$H$2,0)</f>
        <v>4438</v>
      </c>
      <c r="AI5" s="133">
        <f t="shared" ref="AI5:AK5" si="25">AH5</f>
        <v>4438</v>
      </c>
      <c r="AJ5" s="133">
        <f t="shared" si="25"/>
        <v>4438</v>
      </c>
      <c r="AK5" s="133">
        <f t="shared" si="25"/>
        <v>4438</v>
      </c>
      <c r="AL5" s="133">
        <f>ROUND(AK5*(1+取值表!$D$2)*取值表!$H$2,0)</f>
        <v>4408</v>
      </c>
      <c r="AM5" s="133">
        <f t="shared" ref="AM5:AO5" si="26">AL5</f>
        <v>4408</v>
      </c>
      <c r="AN5" s="133">
        <f t="shared" si="26"/>
        <v>4408</v>
      </c>
      <c r="AO5" s="133">
        <f t="shared" si="26"/>
        <v>4408</v>
      </c>
      <c r="AP5" s="133">
        <f>ROUND(AO5*(1+取值表!$D$2)*取值表!$H$2,0)</f>
        <v>4379</v>
      </c>
      <c r="AQ5" s="133">
        <f t="shared" ref="AQ5:AS5" si="27">AP5</f>
        <v>4379</v>
      </c>
      <c r="AR5" s="133">
        <f t="shared" si="27"/>
        <v>4379</v>
      </c>
      <c r="AS5" s="133">
        <f t="shared" si="27"/>
        <v>4379</v>
      </c>
      <c r="AT5" s="133">
        <f>ROUND(AS5*(1+取值表!$D$2)*取值表!$H$2,0)</f>
        <v>4350</v>
      </c>
      <c r="AU5" s="133">
        <f t="shared" ref="AU5:AW5" si="28">AT5</f>
        <v>4350</v>
      </c>
      <c r="AV5" s="133">
        <f t="shared" si="28"/>
        <v>4350</v>
      </c>
      <c r="AW5" s="133">
        <f t="shared" si="28"/>
        <v>4350</v>
      </c>
      <c r="AX5" s="133">
        <f>ROUND(AW5*(1+取值表!$D$2)*取值表!$H$2,0)</f>
        <v>4321</v>
      </c>
      <c r="AY5" s="133">
        <f t="shared" ref="AY5:BA5" si="29">AX5</f>
        <v>4321</v>
      </c>
      <c r="AZ5" s="133">
        <f t="shared" si="29"/>
        <v>4321</v>
      </c>
      <c r="BA5" s="133">
        <f t="shared" si="29"/>
        <v>4321</v>
      </c>
      <c r="BB5" s="133">
        <f>ROUND(BA5*(1+取值表!$D$2)*取值表!$H$2,0)</f>
        <v>4292</v>
      </c>
      <c r="BC5" s="133">
        <f t="shared" ref="BC5:BE5" si="30">BB5</f>
        <v>4292</v>
      </c>
      <c r="BD5" s="133">
        <f t="shared" si="30"/>
        <v>4292</v>
      </c>
      <c r="BE5" s="133">
        <f t="shared" si="30"/>
        <v>4292</v>
      </c>
      <c r="BF5" s="133">
        <f>ROUND(BE5*(1+取值表!$D$2)*取值表!$H$2,0)</f>
        <v>4263</v>
      </c>
      <c r="BG5" s="133">
        <f t="shared" ref="BG5:BI5" si="31">BF5</f>
        <v>4263</v>
      </c>
      <c r="BH5" s="133">
        <f t="shared" si="31"/>
        <v>4263</v>
      </c>
      <c r="BI5" s="133">
        <f t="shared" si="31"/>
        <v>4263</v>
      </c>
      <c r="BJ5" s="133">
        <f>ROUND(BI5*(1+取值表!$D$2)*取值表!$H$2,0)</f>
        <v>4235</v>
      </c>
      <c r="BK5" s="133">
        <f t="shared" ref="BK5:BM5" si="32">BJ5</f>
        <v>4235</v>
      </c>
      <c r="BL5" s="133">
        <f t="shared" si="32"/>
        <v>4235</v>
      </c>
      <c r="BM5" s="133">
        <f t="shared" si="32"/>
        <v>4235</v>
      </c>
      <c r="BN5" s="133">
        <f>ROUND(BM5*(1+取值表!$D$2)*取值表!$H$2,0)</f>
        <v>4207</v>
      </c>
      <c r="BO5" s="133">
        <f t="shared" ref="BO5:BQ5" si="33">BN5</f>
        <v>4207</v>
      </c>
      <c r="BP5" s="133">
        <f t="shared" si="33"/>
        <v>4207</v>
      </c>
      <c r="BQ5" s="133">
        <f t="shared" si="33"/>
        <v>4207</v>
      </c>
      <c r="BR5" s="133">
        <f>ROUND(BQ5*(1+取值表!$D$2)*取值表!$H$2,0)</f>
        <v>4179</v>
      </c>
      <c r="BS5" s="133">
        <f t="shared" ref="BS5:BU5" si="34">BR5</f>
        <v>4179</v>
      </c>
      <c r="BT5" s="133">
        <f t="shared" si="34"/>
        <v>4179</v>
      </c>
      <c r="BU5" s="133">
        <f t="shared" si="34"/>
        <v>4179</v>
      </c>
      <c r="BV5" s="133">
        <f>ROUND(BU5*(1+取值表!$D$2)*取值表!$H$2,0)</f>
        <v>4151</v>
      </c>
      <c r="BW5" s="133">
        <f t="shared" ref="BW5:BY5" si="35">BV5</f>
        <v>4151</v>
      </c>
      <c r="BX5" s="133">
        <f t="shared" si="35"/>
        <v>4151</v>
      </c>
      <c r="BY5" s="133">
        <f t="shared" si="35"/>
        <v>4151</v>
      </c>
      <c r="BZ5" s="133">
        <f>ROUND(BY5*(1+取值表!$D$2)*取值表!$H$2,0)</f>
        <v>4123</v>
      </c>
      <c r="CA5" s="133">
        <f t="shared" ref="CA5:CC5" si="36">BZ5</f>
        <v>4123</v>
      </c>
      <c r="CB5" s="133">
        <f t="shared" si="36"/>
        <v>4123</v>
      </c>
      <c r="CC5" s="133">
        <f t="shared" si="36"/>
        <v>4123</v>
      </c>
      <c r="CD5" s="133">
        <f>ROUND(CC5*(1+取值表!$D$2)*取值表!$H$2,0)</f>
        <v>4096</v>
      </c>
      <c r="CE5" s="133">
        <f t="shared" ref="CE5:CG5" si="37">CD5</f>
        <v>4096</v>
      </c>
      <c r="CF5" s="133">
        <f t="shared" si="37"/>
        <v>4096</v>
      </c>
      <c r="CG5" s="133">
        <f t="shared" si="37"/>
        <v>4096</v>
      </c>
      <c r="CH5" s="133">
        <f>ROUND(CG5*(1+取值表!$D$2)*取值表!$H$2,0)</f>
        <v>4069</v>
      </c>
      <c r="CI5" s="133">
        <f t="shared" ref="CI5:CK5" si="38">CH5</f>
        <v>4069</v>
      </c>
      <c r="CJ5" s="133">
        <f t="shared" si="38"/>
        <v>4069</v>
      </c>
      <c r="CK5" s="133">
        <f t="shared" si="38"/>
        <v>4069</v>
      </c>
      <c r="CL5" s="133">
        <f>ROUND(CK5*(1+取值表!$D$2)*取值表!$H$2,0)</f>
        <v>4042</v>
      </c>
      <c r="CM5" s="133">
        <f t="shared" ref="CM5:CN5" si="39">CL5</f>
        <v>4042</v>
      </c>
      <c r="CN5" s="133">
        <f t="shared" si="39"/>
        <v>4042</v>
      </c>
      <c r="CO5" s="133">
        <f>CN5</f>
        <v>4042</v>
      </c>
      <c r="CP5" s="134">
        <f t="shared" si="20"/>
        <v>363256</v>
      </c>
    </row>
    <row r="6" spans="1:94" s="72" customFormat="1" ht="12.75">
      <c r="A6" s="402"/>
      <c r="B6" s="406"/>
      <c r="C6" s="400"/>
      <c r="D6" s="401"/>
      <c r="E6" s="398"/>
      <c r="F6" s="399"/>
      <c r="G6" s="399"/>
      <c r="H6" s="405"/>
      <c r="I6" s="129"/>
      <c r="J6" s="131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4">
        <f t="shared" si="20"/>
        <v>0</v>
      </c>
    </row>
    <row r="7" spans="1:94" s="72" customFormat="1" ht="12" customHeight="1">
      <c r="A7" s="402">
        <v>3</v>
      </c>
      <c r="B7" s="406" t="s">
        <v>898</v>
      </c>
      <c r="C7" s="400" t="s">
        <v>899</v>
      </c>
      <c r="D7" s="401" t="s">
        <v>343</v>
      </c>
      <c r="E7" s="398" t="s">
        <v>400</v>
      </c>
      <c r="F7" s="399">
        <v>16.21</v>
      </c>
      <c r="G7" s="399">
        <f>H7/365/F7</f>
        <v>3.1232876712328772</v>
      </c>
      <c r="H7" s="405">
        <v>18479.400000000001</v>
      </c>
      <c r="I7" s="129"/>
      <c r="J7" s="131">
        <f>ROUND(18479.4/4,0)</f>
        <v>4620</v>
      </c>
      <c r="K7" s="133">
        <f>J7</f>
        <v>4620</v>
      </c>
      <c r="L7" s="132">
        <f>K7</f>
        <v>4620</v>
      </c>
      <c r="M7" s="133">
        <f>L7</f>
        <v>4620</v>
      </c>
      <c r="N7" s="133">
        <f>ROUND(M7*(1+取值表!$D$2)*取值表!$H$2,0)</f>
        <v>4589</v>
      </c>
      <c r="O7" s="133">
        <f>N7</f>
        <v>4589</v>
      </c>
      <c r="P7" s="133">
        <f>O7</f>
        <v>4589</v>
      </c>
      <c r="Q7" s="133">
        <f>P7</f>
        <v>4589</v>
      </c>
      <c r="R7" s="133">
        <f>ROUND(Q7*(1+取值表!$D$2)*取值表!$H$2,0)</f>
        <v>4558</v>
      </c>
      <c r="S7" s="133">
        <f t="shared" ref="S7:U7" si="40">R7</f>
        <v>4558</v>
      </c>
      <c r="T7" s="133">
        <f t="shared" si="40"/>
        <v>4558</v>
      </c>
      <c r="U7" s="133">
        <f t="shared" si="40"/>
        <v>4558</v>
      </c>
      <c r="V7" s="133">
        <f>ROUND(U7*(1+取值表!$D$2)*取值表!$H$2,0)</f>
        <v>4528</v>
      </c>
      <c r="W7" s="133">
        <f t="shared" ref="W7:Y7" si="41">V7</f>
        <v>4528</v>
      </c>
      <c r="X7" s="133">
        <f t="shared" si="41"/>
        <v>4528</v>
      </c>
      <c r="Y7" s="133">
        <f t="shared" si="41"/>
        <v>4528</v>
      </c>
      <c r="Z7" s="133">
        <f>ROUND(Y7*(1+取值表!$D$2)*取值表!$H$2,0)</f>
        <v>4498</v>
      </c>
      <c r="AA7" s="133">
        <f t="shared" ref="AA7:AC7" si="42">Z7</f>
        <v>4498</v>
      </c>
      <c r="AB7" s="133">
        <f t="shared" si="42"/>
        <v>4498</v>
      </c>
      <c r="AC7" s="133">
        <f t="shared" si="42"/>
        <v>4498</v>
      </c>
      <c r="AD7" s="133">
        <f>ROUND(AC7*(1+取值表!$D$2)*取值表!$H$2,0)</f>
        <v>4468</v>
      </c>
      <c r="AE7" s="133">
        <f t="shared" ref="AE7:AG7" si="43">AD7</f>
        <v>4468</v>
      </c>
      <c r="AF7" s="133">
        <f t="shared" si="43"/>
        <v>4468</v>
      </c>
      <c r="AG7" s="133">
        <f t="shared" si="43"/>
        <v>4468</v>
      </c>
      <c r="AH7" s="133">
        <f>ROUND(AG7*(1+取值表!$D$2)*取值表!$H$2,0)</f>
        <v>4438</v>
      </c>
      <c r="AI7" s="133">
        <f t="shared" ref="AI7:AK7" si="44">AH7</f>
        <v>4438</v>
      </c>
      <c r="AJ7" s="133">
        <f t="shared" si="44"/>
        <v>4438</v>
      </c>
      <c r="AK7" s="133">
        <f t="shared" si="44"/>
        <v>4438</v>
      </c>
      <c r="AL7" s="133">
        <f>ROUND(AK7*(1+取值表!$D$2)*取值表!$H$2,0)</f>
        <v>4408</v>
      </c>
      <c r="AM7" s="133">
        <f t="shared" ref="AM7:AO7" si="45">AL7</f>
        <v>4408</v>
      </c>
      <c r="AN7" s="133">
        <f t="shared" si="45"/>
        <v>4408</v>
      </c>
      <c r="AO7" s="133">
        <f t="shared" si="45"/>
        <v>4408</v>
      </c>
      <c r="AP7" s="133">
        <f>ROUND(AO7*(1+取值表!$D$2)*取值表!$H$2,0)</f>
        <v>4379</v>
      </c>
      <c r="AQ7" s="133">
        <f t="shared" ref="AQ7:AS7" si="46">AP7</f>
        <v>4379</v>
      </c>
      <c r="AR7" s="133">
        <f t="shared" si="46"/>
        <v>4379</v>
      </c>
      <c r="AS7" s="133">
        <f t="shared" si="46"/>
        <v>4379</v>
      </c>
      <c r="AT7" s="133">
        <f>ROUND(AS7*(1+取值表!$D$2)*取值表!$H$2,0)</f>
        <v>4350</v>
      </c>
      <c r="AU7" s="133">
        <f t="shared" ref="AU7:AW7" si="47">AT7</f>
        <v>4350</v>
      </c>
      <c r="AV7" s="133">
        <f t="shared" si="47"/>
        <v>4350</v>
      </c>
      <c r="AW7" s="133">
        <f t="shared" si="47"/>
        <v>4350</v>
      </c>
      <c r="AX7" s="133">
        <f>ROUND(AW7*(1+取值表!$D$2)*取值表!$H$2,0)</f>
        <v>4321</v>
      </c>
      <c r="AY7" s="133">
        <f t="shared" ref="AY7:BA7" si="48">AX7</f>
        <v>4321</v>
      </c>
      <c r="AZ7" s="133">
        <f t="shared" si="48"/>
        <v>4321</v>
      </c>
      <c r="BA7" s="133">
        <f t="shared" si="48"/>
        <v>4321</v>
      </c>
      <c r="BB7" s="133">
        <f>ROUND(BA7*(1+取值表!$D$2)*取值表!$H$2,0)</f>
        <v>4292</v>
      </c>
      <c r="BC7" s="133">
        <f t="shared" ref="BC7:BE7" si="49">BB7</f>
        <v>4292</v>
      </c>
      <c r="BD7" s="133">
        <f t="shared" si="49"/>
        <v>4292</v>
      </c>
      <c r="BE7" s="133">
        <f t="shared" si="49"/>
        <v>4292</v>
      </c>
      <c r="BF7" s="133">
        <f>ROUND(BE7*(1+取值表!$D$2)*取值表!$H$2,0)</f>
        <v>4263</v>
      </c>
      <c r="BG7" s="133">
        <f t="shared" ref="BG7:BI7" si="50">BF7</f>
        <v>4263</v>
      </c>
      <c r="BH7" s="133">
        <f t="shared" si="50"/>
        <v>4263</v>
      </c>
      <c r="BI7" s="133">
        <f t="shared" si="50"/>
        <v>4263</v>
      </c>
      <c r="BJ7" s="133">
        <f>ROUND(BI7*(1+取值表!$D$2)*取值表!$H$2,0)</f>
        <v>4235</v>
      </c>
      <c r="BK7" s="133">
        <f t="shared" ref="BK7:BM7" si="51">BJ7</f>
        <v>4235</v>
      </c>
      <c r="BL7" s="133">
        <f t="shared" si="51"/>
        <v>4235</v>
      </c>
      <c r="BM7" s="133">
        <f t="shared" si="51"/>
        <v>4235</v>
      </c>
      <c r="BN7" s="133">
        <f>ROUND(BM7*(1+取值表!$D$2)*取值表!$H$2,0)</f>
        <v>4207</v>
      </c>
      <c r="BO7" s="133">
        <f t="shared" ref="BO7:BQ7" si="52">BN7</f>
        <v>4207</v>
      </c>
      <c r="BP7" s="133">
        <f t="shared" si="52"/>
        <v>4207</v>
      </c>
      <c r="BQ7" s="133">
        <f t="shared" si="52"/>
        <v>4207</v>
      </c>
      <c r="BR7" s="133">
        <f>ROUND(BQ7*(1+取值表!$D$2)*取值表!$H$2,0)</f>
        <v>4179</v>
      </c>
      <c r="BS7" s="133">
        <f t="shared" ref="BS7:BU7" si="53">BR7</f>
        <v>4179</v>
      </c>
      <c r="BT7" s="133">
        <f t="shared" si="53"/>
        <v>4179</v>
      </c>
      <c r="BU7" s="133">
        <f t="shared" si="53"/>
        <v>4179</v>
      </c>
      <c r="BV7" s="133">
        <f>ROUND(BU7*(1+取值表!$D$2)*取值表!$H$2,0)</f>
        <v>4151</v>
      </c>
      <c r="BW7" s="133">
        <f t="shared" ref="BW7:BY7" si="54">BV7</f>
        <v>4151</v>
      </c>
      <c r="BX7" s="133">
        <f t="shared" si="54"/>
        <v>4151</v>
      </c>
      <c r="BY7" s="133">
        <f t="shared" si="54"/>
        <v>4151</v>
      </c>
      <c r="BZ7" s="133">
        <f>ROUND(BY7*(1+取值表!$D$2)*取值表!$H$2,0)</f>
        <v>4123</v>
      </c>
      <c r="CA7" s="133">
        <f t="shared" ref="CA7:CC7" si="55">BZ7</f>
        <v>4123</v>
      </c>
      <c r="CB7" s="133">
        <f t="shared" si="55"/>
        <v>4123</v>
      </c>
      <c r="CC7" s="133">
        <f t="shared" si="55"/>
        <v>4123</v>
      </c>
      <c r="CD7" s="133">
        <f>ROUND(CC7*(1+取值表!$D$2)*取值表!$H$2,0)</f>
        <v>4096</v>
      </c>
      <c r="CE7" s="133">
        <f t="shared" ref="CE7:CG7" si="56">CD7</f>
        <v>4096</v>
      </c>
      <c r="CF7" s="133">
        <f t="shared" si="56"/>
        <v>4096</v>
      </c>
      <c r="CG7" s="133">
        <f t="shared" si="56"/>
        <v>4096</v>
      </c>
      <c r="CH7" s="133">
        <f>ROUND(CG7*(1+取值表!$D$2)*取值表!$H$2,0)</f>
        <v>4069</v>
      </c>
      <c r="CI7" s="133">
        <f t="shared" ref="CI7:CK7" si="57">CH7</f>
        <v>4069</v>
      </c>
      <c r="CJ7" s="133">
        <f t="shared" si="57"/>
        <v>4069</v>
      </c>
      <c r="CK7" s="133">
        <f t="shared" si="57"/>
        <v>4069</v>
      </c>
      <c r="CL7" s="133">
        <f>ROUND(CK7*(1+取值表!$D$2)*取值表!$H$2,0)</f>
        <v>4042</v>
      </c>
      <c r="CM7" s="133">
        <f t="shared" ref="CM7:CN7" si="58">CL7</f>
        <v>4042</v>
      </c>
      <c r="CN7" s="133">
        <f t="shared" si="58"/>
        <v>4042</v>
      </c>
      <c r="CO7" s="133">
        <f>CN7</f>
        <v>4042</v>
      </c>
      <c r="CP7" s="134">
        <f t="shared" si="20"/>
        <v>363256</v>
      </c>
    </row>
    <row r="8" spans="1:94" s="72" customFormat="1" ht="12.75">
      <c r="A8" s="402"/>
      <c r="B8" s="406"/>
      <c r="C8" s="400"/>
      <c r="D8" s="401"/>
      <c r="E8" s="398"/>
      <c r="F8" s="399"/>
      <c r="G8" s="399"/>
      <c r="H8" s="405"/>
      <c r="I8" s="129"/>
      <c r="J8" s="131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4">
        <f t="shared" si="20"/>
        <v>0</v>
      </c>
    </row>
    <row r="9" spans="1:94" s="72" customFormat="1" ht="12" customHeight="1">
      <c r="A9" s="402">
        <v>4</v>
      </c>
      <c r="B9" s="406" t="s">
        <v>900</v>
      </c>
      <c r="C9" s="400" t="s">
        <v>901</v>
      </c>
      <c r="D9" s="401" t="s">
        <v>402</v>
      </c>
      <c r="E9" s="398" t="s">
        <v>400</v>
      </c>
      <c r="F9" s="399">
        <v>16.21</v>
      </c>
      <c r="G9" s="399">
        <f>H9/365/F9</f>
        <v>3.1232876712328772</v>
      </c>
      <c r="H9" s="405">
        <f>18479.4</f>
        <v>18479.400000000001</v>
      </c>
      <c r="I9" s="129"/>
      <c r="J9" s="131">
        <f>ROUND(18479.4/4,0)</f>
        <v>4620</v>
      </c>
      <c r="K9" s="132">
        <f>J9</f>
        <v>4620</v>
      </c>
      <c r="L9" s="133">
        <f>K9</f>
        <v>4620</v>
      </c>
      <c r="M9" s="133">
        <f>L9</f>
        <v>4620</v>
      </c>
      <c r="N9" s="133">
        <f>ROUND(M9*(1+取值表!$D$2)*取值表!$H$2,0)</f>
        <v>4589</v>
      </c>
      <c r="O9" s="133">
        <f>N9</f>
        <v>4589</v>
      </c>
      <c r="P9" s="133">
        <f>O9</f>
        <v>4589</v>
      </c>
      <c r="Q9" s="133">
        <f>P9</f>
        <v>4589</v>
      </c>
      <c r="R9" s="133">
        <f>ROUND(Q9*(1+取值表!$D$2)*取值表!$H$2,0)</f>
        <v>4558</v>
      </c>
      <c r="S9" s="133">
        <f t="shared" ref="S9:U9" si="59">R9</f>
        <v>4558</v>
      </c>
      <c r="T9" s="133">
        <f t="shared" si="59"/>
        <v>4558</v>
      </c>
      <c r="U9" s="133">
        <f t="shared" si="59"/>
        <v>4558</v>
      </c>
      <c r="V9" s="133">
        <f>ROUND(U9*(1+取值表!$D$2)*取值表!$H$2,0)</f>
        <v>4528</v>
      </c>
      <c r="W9" s="133">
        <f>V9</f>
        <v>4528</v>
      </c>
      <c r="X9" s="133">
        <f t="shared" ref="X9:Y9" si="60">W9</f>
        <v>4528</v>
      </c>
      <c r="Y9" s="133">
        <f t="shared" si="60"/>
        <v>4528</v>
      </c>
      <c r="Z9" s="133">
        <f>ROUND(Y9*(1+取值表!$D$2)*取值表!$H$2,0)</f>
        <v>4498</v>
      </c>
      <c r="AA9" s="133">
        <f t="shared" ref="AA9:AC9" si="61">Z9</f>
        <v>4498</v>
      </c>
      <c r="AB9" s="133">
        <f t="shared" si="61"/>
        <v>4498</v>
      </c>
      <c r="AC9" s="133">
        <f t="shared" si="61"/>
        <v>4498</v>
      </c>
      <c r="AD9" s="133">
        <f>ROUND(AC9*(1+取值表!$D$2)*取值表!$H$2,0)</f>
        <v>4468</v>
      </c>
      <c r="AE9" s="133">
        <f t="shared" ref="AE9:AG9" si="62">AD9</f>
        <v>4468</v>
      </c>
      <c r="AF9" s="133">
        <f t="shared" si="62"/>
        <v>4468</v>
      </c>
      <c r="AG9" s="133">
        <f t="shared" si="62"/>
        <v>4468</v>
      </c>
      <c r="AH9" s="133">
        <f>ROUND(AG9*(1+取值表!$D$2)*取值表!$H$2,0)</f>
        <v>4438</v>
      </c>
      <c r="AI9" s="133">
        <f t="shared" ref="AI9:AK9" si="63">AH9</f>
        <v>4438</v>
      </c>
      <c r="AJ9" s="133">
        <f t="shared" si="63"/>
        <v>4438</v>
      </c>
      <c r="AK9" s="133">
        <f t="shared" si="63"/>
        <v>4438</v>
      </c>
      <c r="AL9" s="133">
        <f>ROUND(AK9*(1+取值表!$D$2)*取值表!$H$2,0)</f>
        <v>4408</v>
      </c>
      <c r="AM9" s="133">
        <f t="shared" ref="AM9:AO9" si="64">AL9</f>
        <v>4408</v>
      </c>
      <c r="AN9" s="133">
        <f t="shared" si="64"/>
        <v>4408</v>
      </c>
      <c r="AO9" s="133">
        <f t="shared" si="64"/>
        <v>4408</v>
      </c>
      <c r="AP9" s="133">
        <f>ROUND(AO9*(1+取值表!$D$2)*取值表!$H$2,0)</f>
        <v>4379</v>
      </c>
      <c r="AQ9" s="133">
        <f t="shared" ref="AQ9:AS9" si="65">AP9</f>
        <v>4379</v>
      </c>
      <c r="AR9" s="133">
        <f t="shared" si="65"/>
        <v>4379</v>
      </c>
      <c r="AS9" s="133">
        <f t="shared" si="65"/>
        <v>4379</v>
      </c>
      <c r="AT9" s="133">
        <f>ROUND(AS9*(1+取值表!$D$2)*取值表!$H$2,0)</f>
        <v>4350</v>
      </c>
      <c r="AU9" s="133">
        <f t="shared" ref="AU9:AW9" si="66">AT9</f>
        <v>4350</v>
      </c>
      <c r="AV9" s="133">
        <f t="shared" si="66"/>
        <v>4350</v>
      </c>
      <c r="AW9" s="133">
        <f t="shared" si="66"/>
        <v>4350</v>
      </c>
      <c r="AX9" s="133">
        <f>ROUND(AW9*(1+取值表!$D$2)*取值表!$H$2,0)</f>
        <v>4321</v>
      </c>
      <c r="AY9" s="133">
        <f t="shared" ref="AY9:BA9" si="67">AX9</f>
        <v>4321</v>
      </c>
      <c r="AZ9" s="133">
        <f t="shared" si="67"/>
        <v>4321</v>
      </c>
      <c r="BA9" s="133">
        <f t="shared" si="67"/>
        <v>4321</v>
      </c>
      <c r="BB9" s="133">
        <f>ROUND(BA9*(1+取值表!$D$2)*取值表!$H$2,0)</f>
        <v>4292</v>
      </c>
      <c r="BC9" s="133">
        <f t="shared" ref="BC9:BE9" si="68">BB9</f>
        <v>4292</v>
      </c>
      <c r="BD9" s="133">
        <f t="shared" si="68"/>
        <v>4292</v>
      </c>
      <c r="BE9" s="133">
        <f t="shared" si="68"/>
        <v>4292</v>
      </c>
      <c r="BF9" s="133">
        <f>ROUND(BE9*(1+取值表!$D$2)*取值表!$H$2,0)</f>
        <v>4263</v>
      </c>
      <c r="BG9" s="133">
        <f t="shared" ref="BG9:BI9" si="69">BF9</f>
        <v>4263</v>
      </c>
      <c r="BH9" s="133">
        <f t="shared" si="69"/>
        <v>4263</v>
      </c>
      <c r="BI9" s="133">
        <f t="shared" si="69"/>
        <v>4263</v>
      </c>
      <c r="BJ9" s="133">
        <f>ROUND(BI9*(1+取值表!$D$2)*取值表!$H$2,0)</f>
        <v>4235</v>
      </c>
      <c r="BK9" s="133">
        <f t="shared" ref="BK9:BM9" si="70">BJ9</f>
        <v>4235</v>
      </c>
      <c r="BL9" s="133">
        <f t="shared" si="70"/>
        <v>4235</v>
      </c>
      <c r="BM9" s="133">
        <f t="shared" si="70"/>
        <v>4235</v>
      </c>
      <c r="BN9" s="133">
        <f>ROUND(BM9*(1+取值表!$D$2)*取值表!$H$2,0)</f>
        <v>4207</v>
      </c>
      <c r="BO9" s="133">
        <f t="shared" ref="BO9:BQ9" si="71">BN9</f>
        <v>4207</v>
      </c>
      <c r="BP9" s="133">
        <f t="shared" si="71"/>
        <v>4207</v>
      </c>
      <c r="BQ9" s="133">
        <f t="shared" si="71"/>
        <v>4207</v>
      </c>
      <c r="BR9" s="133">
        <f>ROUND(BQ9*(1+取值表!$D$2)*取值表!$H$2,0)</f>
        <v>4179</v>
      </c>
      <c r="BS9" s="133">
        <f t="shared" ref="BS9:BU9" si="72">BR9</f>
        <v>4179</v>
      </c>
      <c r="BT9" s="133">
        <f t="shared" si="72"/>
        <v>4179</v>
      </c>
      <c r="BU9" s="133">
        <f t="shared" si="72"/>
        <v>4179</v>
      </c>
      <c r="BV9" s="133">
        <f>ROUND(BU9*(1+取值表!$D$2)*取值表!$H$2,0)</f>
        <v>4151</v>
      </c>
      <c r="BW9" s="133">
        <f t="shared" ref="BW9:BY9" si="73">BV9</f>
        <v>4151</v>
      </c>
      <c r="BX9" s="133">
        <f t="shared" si="73"/>
        <v>4151</v>
      </c>
      <c r="BY9" s="133">
        <f t="shared" si="73"/>
        <v>4151</v>
      </c>
      <c r="BZ9" s="133">
        <f>ROUND(BY9*(1+取值表!$D$2)*取值表!$H$2,0)</f>
        <v>4123</v>
      </c>
      <c r="CA9" s="133">
        <f t="shared" ref="CA9:CC9" si="74">BZ9</f>
        <v>4123</v>
      </c>
      <c r="CB9" s="133">
        <f t="shared" si="74"/>
        <v>4123</v>
      </c>
      <c r="CC9" s="133">
        <f t="shared" si="74"/>
        <v>4123</v>
      </c>
      <c r="CD9" s="133">
        <f>ROUND(CC9*(1+取值表!$D$2)*取值表!$H$2,0)</f>
        <v>4096</v>
      </c>
      <c r="CE9" s="133">
        <f t="shared" ref="CE9:CG9" si="75">CD9</f>
        <v>4096</v>
      </c>
      <c r="CF9" s="133">
        <f t="shared" si="75"/>
        <v>4096</v>
      </c>
      <c r="CG9" s="133">
        <f t="shared" si="75"/>
        <v>4096</v>
      </c>
      <c r="CH9" s="133">
        <f>ROUND(CG9*(1+取值表!$D$2)*取值表!$H$2,0)</f>
        <v>4069</v>
      </c>
      <c r="CI9" s="133">
        <f t="shared" ref="CI9:CK9" si="76">CH9</f>
        <v>4069</v>
      </c>
      <c r="CJ9" s="133">
        <f t="shared" si="76"/>
        <v>4069</v>
      </c>
      <c r="CK9" s="133">
        <f t="shared" si="76"/>
        <v>4069</v>
      </c>
      <c r="CL9" s="133">
        <f>ROUND(CK9*(1+取值表!$D$2)*取值表!$H$2,0)</f>
        <v>4042</v>
      </c>
      <c r="CM9" s="133">
        <f t="shared" ref="CM9:CO9" si="77">CL9</f>
        <v>4042</v>
      </c>
      <c r="CN9" s="133">
        <f t="shared" si="77"/>
        <v>4042</v>
      </c>
      <c r="CO9" s="133">
        <f t="shared" si="77"/>
        <v>4042</v>
      </c>
      <c r="CP9" s="134">
        <f t="shared" si="20"/>
        <v>363256</v>
      </c>
    </row>
    <row r="10" spans="1:94" s="72" customFormat="1" ht="12.75">
      <c r="A10" s="402"/>
      <c r="B10" s="406"/>
      <c r="C10" s="400"/>
      <c r="D10" s="401"/>
      <c r="E10" s="398"/>
      <c r="F10" s="399"/>
      <c r="G10" s="399"/>
      <c r="H10" s="405"/>
      <c r="I10" s="129"/>
      <c r="J10" s="131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4">
        <f t="shared" si="20"/>
        <v>0</v>
      </c>
    </row>
    <row r="11" spans="1:94" s="72" customFormat="1" ht="12.75" customHeight="1">
      <c r="A11" s="402">
        <v>5</v>
      </c>
      <c r="B11" s="406" t="s">
        <v>902</v>
      </c>
      <c r="C11" s="400" t="s">
        <v>903</v>
      </c>
      <c r="D11" s="401" t="s">
        <v>403</v>
      </c>
      <c r="E11" s="398" t="s">
        <v>400</v>
      </c>
      <c r="F11" s="399">
        <v>16.21</v>
      </c>
      <c r="G11" s="399">
        <f>H11/365/F11</f>
        <v>3.1232876712328772</v>
      </c>
      <c r="H11" s="405">
        <f>18479.4</f>
        <v>18479.400000000001</v>
      </c>
      <c r="I11" s="129"/>
      <c r="J11" s="131">
        <f>ROUND(18479.4/4,0)</f>
        <v>4620</v>
      </c>
      <c r="K11" s="132">
        <f>J11</f>
        <v>4620</v>
      </c>
      <c r="L11" s="133">
        <f>K11</f>
        <v>4620</v>
      </c>
      <c r="M11" s="133">
        <f>L11</f>
        <v>4620</v>
      </c>
      <c r="N11" s="133">
        <f>ROUND(M11*(1+取值表!$D$2)*取值表!$H$2,0)</f>
        <v>4589</v>
      </c>
      <c r="O11" s="133">
        <f>N11</f>
        <v>4589</v>
      </c>
      <c r="P11" s="133">
        <f t="shared" ref="P11:Q11" si="78">O11</f>
        <v>4589</v>
      </c>
      <c r="Q11" s="133">
        <f t="shared" si="78"/>
        <v>4589</v>
      </c>
      <c r="R11" s="133">
        <f>ROUND(Q11*(1+取值表!$D$2)*取值表!$H$2,0)</f>
        <v>4558</v>
      </c>
      <c r="S11" s="133">
        <f t="shared" ref="S11:U11" si="79">R11</f>
        <v>4558</v>
      </c>
      <c r="T11" s="133">
        <f t="shared" si="79"/>
        <v>4558</v>
      </c>
      <c r="U11" s="133">
        <f t="shared" si="79"/>
        <v>4558</v>
      </c>
      <c r="V11" s="133">
        <f>ROUND(U11*(1+取值表!$D$2)*取值表!$H$2,0)</f>
        <v>4528</v>
      </c>
      <c r="W11" s="133">
        <f t="shared" ref="W11:Y11" si="80">V11</f>
        <v>4528</v>
      </c>
      <c r="X11" s="133">
        <f t="shared" si="80"/>
        <v>4528</v>
      </c>
      <c r="Y11" s="133">
        <f t="shared" si="80"/>
        <v>4528</v>
      </c>
      <c r="Z11" s="133">
        <f>ROUND(Y11*(1+取值表!$D$2)*取值表!$H$2,0)</f>
        <v>4498</v>
      </c>
      <c r="AA11" s="133">
        <f t="shared" ref="AA11:AC11" si="81">Z11</f>
        <v>4498</v>
      </c>
      <c r="AB11" s="133">
        <f t="shared" si="81"/>
        <v>4498</v>
      </c>
      <c r="AC11" s="133">
        <f t="shared" si="81"/>
        <v>4498</v>
      </c>
      <c r="AD11" s="133">
        <f>ROUND(AC11*(1+取值表!$D$2)*取值表!$H$2,0)</f>
        <v>4468</v>
      </c>
      <c r="AE11" s="133">
        <f t="shared" ref="AE11:AG11" si="82">AD11</f>
        <v>4468</v>
      </c>
      <c r="AF11" s="133">
        <f t="shared" si="82"/>
        <v>4468</v>
      </c>
      <c r="AG11" s="133">
        <f t="shared" si="82"/>
        <v>4468</v>
      </c>
      <c r="AH11" s="133">
        <f>ROUND(AG11*(1+取值表!$D$2)*取值表!$H$2,0)</f>
        <v>4438</v>
      </c>
      <c r="AI11" s="133">
        <f t="shared" ref="AI11:AK11" si="83">AH11</f>
        <v>4438</v>
      </c>
      <c r="AJ11" s="133">
        <f t="shared" si="83"/>
        <v>4438</v>
      </c>
      <c r="AK11" s="133">
        <f t="shared" si="83"/>
        <v>4438</v>
      </c>
      <c r="AL11" s="133">
        <f>ROUND(AK11*(1+取值表!$D$2)*取值表!$H$2,0)</f>
        <v>4408</v>
      </c>
      <c r="AM11" s="133">
        <f t="shared" ref="AM11:AO11" si="84">AL11</f>
        <v>4408</v>
      </c>
      <c r="AN11" s="133">
        <f t="shared" si="84"/>
        <v>4408</v>
      </c>
      <c r="AO11" s="133">
        <f t="shared" si="84"/>
        <v>4408</v>
      </c>
      <c r="AP11" s="133">
        <f>ROUND(AO11*(1+取值表!$D$2)*取值表!$H$2,0)</f>
        <v>4379</v>
      </c>
      <c r="AQ11" s="133">
        <f t="shared" ref="AQ11:AS11" si="85">AP11</f>
        <v>4379</v>
      </c>
      <c r="AR11" s="133">
        <f t="shared" si="85"/>
        <v>4379</v>
      </c>
      <c r="AS11" s="133">
        <f t="shared" si="85"/>
        <v>4379</v>
      </c>
      <c r="AT11" s="133">
        <f>ROUND(AS11*(1+取值表!$D$2)*取值表!$H$2,0)</f>
        <v>4350</v>
      </c>
      <c r="AU11" s="133">
        <f t="shared" ref="AU11:AW11" si="86">AT11</f>
        <v>4350</v>
      </c>
      <c r="AV11" s="133">
        <f t="shared" si="86"/>
        <v>4350</v>
      </c>
      <c r="AW11" s="133">
        <f t="shared" si="86"/>
        <v>4350</v>
      </c>
      <c r="AX11" s="133">
        <f>ROUND(AW11*(1+取值表!$D$2)*取值表!$H$2,0)</f>
        <v>4321</v>
      </c>
      <c r="AY11" s="133">
        <f t="shared" ref="AY11:BA11" si="87">AX11</f>
        <v>4321</v>
      </c>
      <c r="AZ11" s="133">
        <f t="shared" si="87"/>
        <v>4321</v>
      </c>
      <c r="BA11" s="133">
        <f t="shared" si="87"/>
        <v>4321</v>
      </c>
      <c r="BB11" s="133">
        <f>ROUND(BA11*(1+取值表!$D$2)*取值表!$H$2,0)</f>
        <v>4292</v>
      </c>
      <c r="BC11" s="133">
        <f t="shared" ref="BC11:BE11" si="88">BB11</f>
        <v>4292</v>
      </c>
      <c r="BD11" s="133">
        <f t="shared" si="88"/>
        <v>4292</v>
      </c>
      <c r="BE11" s="133">
        <f t="shared" si="88"/>
        <v>4292</v>
      </c>
      <c r="BF11" s="133">
        <f>ROUND(BE11*(1+取值表!$D$2)*取值表!$H$2,0)</f>
        <v>4263</v>
      </c>
      <c r="BG11" s="133">
        <f t="shared" ref="BG11:BI11" si="89">BF11</f>
        <v>4263</v>
      </c>
      <c r="BH11" s="133">
        <f t="shared" si="89"/>
        <v>4263</v>
      </c>
      <c r="BI11" s="133">
        <f t="shared" si="89"/>
        <v>4263</v>
      </c>
      <c r="BJ11" s="133">
        <f>ROUND(BI11*(1+取值表!$D$2)*取值表!$H$2,0)</f>
        <v>4235</v>
      </c>
      <c r="BK11" s="133">
        <f t="shared" ref="BK11:BM11" si="90">BJ11</f>
        <v>4235</v>
      </c>
      <c r="BL11" s="133">
        <f t="shared" si="90"/>
        <v>4235</v>
      </c>
      <c r="BM11" s="133">
        <f t="shared" si="90"/>
        <v>4235</v>
      </c>
      <c r="BN11" s="133">
        <f>ROUND(BM11*(1+取值表!$D$2)*取值表!$H$2,0)</f>
        <v>4207</v>
      </c>
      <c r="BO11" s="133">
        <f t="shared" ref="BO11:BQ11" si="91">BN11</f>
        <v>4207</v>
      </c>
      <c r="BP11" s="133">
        <f t="shared" si="91"/>
        <v>4207</v>
      </c>
      <c r="BQ11" s="133">
        <f t="shared" si="91"/>
        <v>4207</v>
      </c>
      <c r="BR11" s="133">
        <f>ROUND(BQ11*(1+取值表!$D$2)*取值表!$H$2,0)</f>
        <v>4179</v>
      </c>
      <c r="BS11" s="133">
        <f t="shared" ref="BS11:BU11" si="92">BR11</f>
        <v>4179</v>
      </c>
      <c r="BT11" s="133">
        <f t="shared" si="92"/>
        <v>4179</v>
      </c>
      <c r="BU11" s="133">
        <f t="shared" si="92"/>
        <v>4179</v>
      </c>
      <c r="BV11" s="133">
        <f>ROUND(BU11*(1+取值表!$D$2)*取值表!$H$2,0)</f>
        <v>4151</v>
      </c>
      <c r="BW11" s="133">
        <f t="shared" ref="BW11:BY11" si="93">BV11</f>
        <v>4151</v>
      </c>
      <c r="BX11" s="133">
        <f t="shared" si="93"/>
        <v>4151</v>
      </c>
      <c r="BY11" s="133">
        <f t="shared" si="93"/>
        <v>4151</v>
      </c>
      <c r="BZ11" s="133">
        <f>ROUND(BY11*(1+取值表!$D$2)*取值表!$H$2,0)</f>
        <v>4123</v>
      </c>
      <c r="CA11" s="133">
        <f t="shared" ref="CA11:CC11" si="94">BZ11</f>
        <v>4123</v>
      </c>
      <c r="CB11" s="133">
        <f t="shared" si="94"/>
        <v>4123</v>
      </c>
      <c r="CC11" s="133">
        <f t="shared" si="94"/>
        <v>4123</v>
      </c>
      <c r="CD11" s="133">
        <f>ROUND(CC11*(1+取值表!$D$2)*取值表!$H$2,0)</f>
        <v>4096</v>
      </c>
      <c r="CE11" s="133">
        <f t="shared" ref="CE11:CG11" si="95">CD11</f>
        <v>4096</v>
      </c>
      <c r="CF11" s="133">
        <f t="shared" si="95"/>
        <v>4096</v>
      </c>
      <c r="CG11" s="133">
        <f t="shared" si="95"/>
        <v>4096</v>
      </c>
      <c r="CH11" s="133">
        <f>ROUND(CG11*(1+取值表!$D$2)*取值表!$H$2,0)</f>
        <v>4069</v>
      </c>
      <c r="CI11" s="133">
        <f t="shared" ref="CI11:CK11" si="96">CH11</f>
        <v>4069</v>
      </c>
      <c r="CJ11" s="133">
        <f t="shared" si="96"/>
        <v>4069</v>
      </c>
      <c r="CK11" s="133">
        <f t="shared" si="96"/>
        <v>4069</v>
      </c>
      <c r="CL11" s="133">
        <f>ROUND(CK11*(1+取值表!$D$2)*取值表!$H$2,0)</f>
        <v>4042</v>
      </c>
      <c r="CM11" s="133">
        <f t="shared" ref="CM11:CO11" si="97">CL11</f>
        <v>4042</v>
      </c>
      <c r="CN11" s="133">
        <f t="shared" si="97"/>
        <v>4042</v>
      </c>
      <c r="CO11" s="133">
        <f t="shared" si="97"/>
        <v>4042</v>
      </c>
      <c r="CP11" s="134">
        <f t="shared" si="20"/>
        <v>363256</v>
      </c>
    </row>
    <row r="12" spans="1:94" s="72" customFormat="1" ht="12.75">
      <c r="A12" s="402"/>
      <c r="B12" s="406"/>
      <c r="C12" s="400"/>
      <c r="D12" s="401"/>
      <c r="E12" s="398"/>
      <c r="F12" s="399"/>
      <c r="G12" s="399"/>
      <c r="H12" s="405"/>
      <c r="I12" s="129"/>
      <c r="J12" s="131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4">
        <f t="shared" si="20"/>
        <v>0</v>
      </c>
    </row>
    <row r="13" spans="1:94" s="72" customFormat="1" ht="12" customHeight="1">
      <c r="A13" s="402">
        <v>6</v>
      </c>
      <c r="B13" s="406" t="s">
        <v>904</v>
      </c>
      <c r="C13" s="400" t="s">
        <v>905</v>
      </c>
      <c r="D13" s="401" t="s">
        <v>404</v>
      </c>
      <c r="E13" s="398" t="s">
        <v>400</v>
      </c>
      <c r="F13" s="399">
        <v>16.21</v>
      </c>
      <c r="G13" s="399">
        <f>H13/365/F13</f>
        <v>3.1232876712328772</v>
      </c>
      <c r="H13" s="405">
        <f>H11</f>
        <v>18479.400000000001</v>
      </c>
      <c r="I13" s="129"/>
      <c r="J13" s="131">
        <f>ROUND(18479.4/4,0)</f>
        <v>4620</v>
      </c>
      <c r="K13" s="132">
        <f>J13</f>
        <v>4620</v>
      </c>
      <c r="L13" s="133">
        <f>K13</f>
        <v>4620</v>
      </c>
      <c r="M13" s="133">
        <f>L13</f>
        <v>4620</v>
      </c>
      <c r="N13" s="133">
        <f>ROUND(M13*(1+取值表!$D$2)*取值表!$H$2,0)</f>
        <v>4589</v>
      </c>
      <c r="O13" s="133">
        <f>N13</f>
        <v>4589</v>
      </c>
      <c r="P13" s="133">
        <f t="shared" ref="P13" si="98">O13</f>
        <v>4589</v>
      </c>
      <c r="Q13" s="133">
        <f>P13</f>
        <v>4589</v>
      </c>
      <c r="R13" s="133">
        <f>ROUND(Q13*(1+取值表!$D$2)*取值表!$H$2,0)</f>
        <v>4558</v>
      </c>
      <c r="S13" s="133">
        <f t="shared" ref="S13:U13" si="99">R13</f>
        <v>4558</v>
      </c>
      <c r="T13" s="133">
        <f t="shared" si="99"/>
        <v>4558</v>
      </c>
      <c r="U13" s="133">
        <f t="shared" si="99"/>
        <v>4558</v>
      </c>
      <c r="V13" s="133">
        <f>ROUND(U13*(1+取值表!$D$2)*取值表!$H$2,0)</f>
        <v>4528</v>
      </c>
      <c r="W13" s="133">
        <f t="shared" ref="W13:Y13" si="100">V13</f>
        <v>4528</v>
      </c>
      <c r="X13" s="133">
        <f t="shared" si="100"/>
        <v>4528</v>
      </c>
      <c r="Y13" s="133">
        <f t="shared" si="100"/>
        <v>4528</v>
      </c>
      <c r="Z13" s="133">
        <f>ROUND(Y13*(1+取值表!$D$2)*取值表!$H$2,0)</f>
        <v>4498</v>
      </c>
      <c r="AA13" s="133">
        <f t="shared" ref="AA13:AC13" si="101">Z13</f>
        <v>4498</v>
      </c>
      <c r="AB13" s="133">
        <f t="shared" si="101"/>
        <v>4498</v>
      </c>
      <c r="AC13" s="133">
        <f t="shared" si="101"/>
        <v>4498</v>
      </c>
      <c r="AD13" s="133">
        <f>ROUND(AC13*(1+取值表!$D$2)*取值表!$H$2,0)</f>
        <v>4468</v>
      </c>
      <c r="AE13" s="133">
        <f t="shared" ref="AE13:AG13" si="102">AD13</f>
        <v>4468</v>
      </c>
      <c r="AF13" s="133">
        <f t="shared" si="102"/>
        <v>4468</v>
      </c>
      <c r="AG13" s="133">
        <f t="shared" si="102"/>
        <v>4468</v>
      </c>
      <c r="AH13" s="133">
        <f>ROUND(AG13*(1+取值表!$D$2)*取值表!$H$2,0)</f>
        <v>4438</v>
      </c>
      <c r="AI13" s="133">
        <f t="shared" ref="AI13:AK13" si="103">AH13</f>
        <v>4438</v>
      </c>
      <c r="AJ13" s="133">
        <f t="shared" si="103"/>
        <v>4438</v>
      </c>
      <c r="AK13" s="133">
        <f t="shared" si="103"/>
        <v>4438</v>
      </c>
      <c r="AL13" s="133">
        <f>ROUND(AK13*(1+取值表!$D$2)*取值表!$H$2,0)</f>
        <v>4408</v>
      </c>
      <c r="AM13" s="133">
        <f t="shared" ref="AM13:AO13" si="104">AL13</f>
        <v>4408</v>
      </c>
      <c r="AN13" s="133">
        <f t="shared" si="104"/>
        <v>4408</v>
      </c>
      <c r="AO13" s="133">
        <f t="shared" si="104"/>
        <v>4408</v>
      </c>
      <c r="AP13" s="133">
        <f>ROUND(AO13*(1+取值表!$D$2)*取值表!$H$2,0)</f>
        <v>4379</v>
      </c>
      <c r="AQ13" s="133">
        <f t="shared" ref="AQ13:AS13" si="105">AP13</f>
        <v>4379</v>
      </c>
      <c r="AR13" s="133">
        <f t="shared" si="105"/>
        <v>4379</v>
      </c>
      <c r="AS13" s="133">
        <f t="shared" si="105"/>
        <v>4379</v>
      </c>
      <c r="AT13" s="133">
        <f>ROUND(AS13*(1+取值表!$D$2)*取值表!$H$2,0)</f>
        <v>4350</v>
      </c>
      <c r="AU13" s="133">
        <f t="shared" ref="AU13:AW13" si="106">AT13</f>
        <v>4350</v>
      </c>
      <c r="AV13" s="133">
        <f t="shared" si="106"/>
        <v>4350</v>
      </c>
      <c r="AW13" s="133">
        <f t="shared" si="106"/>
        <v>4350</v>
      </c>
      <c r="AX13" s="133">
        <f>ROUND(AW13*(1+取值表!$D$2)*取值表!$H$2,0)</f>
        <v>4321</v>
      </c>
      <c r="AY13" s="133">
        <f t="shared" ref="AY13:BA13" si="107">AX13</f>
        <v>4321</v>
      </c>
      <c r="AZ13" s="133">
        <f t="shared" si="107"/>
        <v>4321</v>
      </c>
      <c r="BA13" s="133">
        <f t="shared" si="107"/>
        <v>4321</v>
      </c>
      <c r="BB13" s="133">
        <f>ROUND(BA13*(1+取值表!$D$2)*取值表!$H$2,0)</f>
        <v>4292</v>
      </c>
      <c r="BC13" s="133">
        <f t="shared" ref="BC13:BE13" si="108">BB13</f>
        <v>4292</v>
      </c>
      <c r="BD13" s="133">
        <f t="shared" si="108"/>
        <v>4292</v>
      </c>
      <c r="BE13" s="133">
        <f t="shared" si="108"/>
        <v>4292</v>
      </c>
      <c r="BF13" s="133">
        <f>ROUND(BE13*(1+取值表!$D$2)*取值表!$H$2,0)</f>
        <v>4263</v>
      </c>
      <c r="BG13" s="133">
        <f t="shared" ref="BG13:BI13" si="109">BF13</f>
        <v>4263</v>
      </c>
      <c r="BH13" s="133">
        <f t="shared" si="109"/>
        <v>4263</v>
      </c>
      <c r="BI13" s="133">
        <f t="shared" si="109"/>
        <v>4263</v>
      </c>
      <c r="BJ13" s="133">
        <f>ROUND(BI13*(1+取值表!$D$2)*取值表!$H$2,0)</f>
        <v>4235</v>
      </c>
      <c r="BK13" s="133">
        <f t="shared" ref="BK13:BM13" si="110">BJ13</f>
        <v>4235</v>
      </c>
      <c r="BL13" s="133">
        <f t="shared" si="110"/>
        <v>4235</v>
      </c>
      <c r="BM13" s="133">
        <f t="shared" si="110"/>
        <v>4235</v>
      </c>
      <c r="BN13" s="133">
        <f>ROUND(BM13*(1+取值表!$D$2)*取值表!$H$2,0)</f>
        <v>4207</v>
      </c>
      <c r="BO13" s="133">
        <f t="shared" ref="BO13:BQ13" si="111">BN13</f>
        <v>4207</v>
      </c>
      <c r="BP13" s="133">
        <f t="shared" si="111"/>
        <v>4207</v>
      </c>
      <c r="BQ13" s="133">
        <f t="shared" si="111"/>
        <v>4207</v>
      </c>
      <c r="BR13" s="133">
        <f>ROUND(BQ13*(1+取值表!$D$2)*取值表!$H$2,0)</f>
        <v>4179</v>
      </c>
      <c r="BS13" s="133">
        <f t="shared" ref="BS13:BU13" si="112">BR13</f>
        <v>4179</v>
      </c>
      <c r="BT13" s="133">
        <f t="shared" si="112"/>
        <v>4179</v>
      </c>
      <c r="BU13" s="133">
        <f t="shared" si="112"/>
        <v>4179</v>
      </c>
      <c r="BV13" s="133">
        <f>ROUND(BU13*(1+取值表!$D$2)*取值表!$H$2,0)</f>
        <v>4151</v>
      </c>
      <c r="BW13" s="133">
        <f t="shared" ref="BW13:BY13" si="113">BV13</f>
        <v>4151</v>
      </c>
      <c r="BX13" s="133">
        <f t="shared" si="113"/>
        <v>4151</v>
      </c>
      <c r="BY13" s="133">
        <f t="shared" si="113"/>
        <v>4151</v>
      </c>
      <c r="BZ13" s="133">
        <f>ROUND(BY13*(1+取值表!$D$2)*取值表!$H$2,0)</f>
        <v>4123</v>
      </c>
      <c r="CA13" s="133">
        <f t="shared" ref="CA13:CC13" si="114">BZ13</f>
        <v>4123</v>
      </c>
      <c r="CB13" s="133">
        <f t="shared" si="114"/>
        <v>4123</v>
      </c>
      <c r="CC13" s="133">
        <f t="shared" si="114"/>
        <v>4123</v>
      </c>
      <c r="CD13" s="133">
        <f>ROUND(CC13*(1+取值表!$D$2)*取值表!$H$2,0)</f>
        <v>4096</v>
      </c>
      <c r="CE13" s="133">
        <f t="shared" ref="CE13:CG13" si="115">CD13</f>
        <v>4096</v>
      </c>
      <c r="CF13" s="133">
        <f t="shared" si="115"/>
        <v>4096</v>
      </c>
      <c r="CG13" s="133">
        <f t="shared" si="115"/>
        <v>4096</v>
      </c>
      <c r="CH13" s="133">
        <f>ROUND(CG13*(1+取值表!$D$2)*取值表!$H$2,0)</f>
        <v>4069</v>
      </c>
      <c r="CI13" s="133">
        <f t="shared" ref="CI13:CK13" si="116">CH13</f>
        <v>4069</v>
      </c>
      <c r="CJ13" s="133">
        <f t="shared" si="116"/>
        <v>4069</v>
      </c>
      <c r="CK13" s="133">
        <f t="shared" si="116"/>
        <v>4069</v>
      </c>
      <c r="CL13" s="133">
        <f>ROUND(CK13*(1+取值表!$D$2)*取值表!$H$2,0)</f>
        <v>4042</v>
      </c>
      <c r="CM13" s="133">
        <f t="shared" ref="CM13:CO13" si="117">CL13</f>
        <v>4042</v>
      </c>
      <c r="CN13" s="133">
        <f t="shared" si="117"/>
        <v>4042</v>
      </c>
      <c r="CO13" s="133">
        <f t="shared" si="117"/>
        <v>4042</v>
      </c>
      <c r="CP13" s="134">
        <f t="shared" si="20"/>
        <v>363256</v>
      </c>
    </row>
    <row r="14" spans="1:94" s="72" customFormat="1" ht="12.75">
      <c r="A14" s="402"/>
      <c r="B14" s="406"/>
      <c r="C14" s="400"/>
      <c r="D14" s="401"/>
      <c r="E14" s="398"/>
      <c r="F14" s="399"/>
      <c r="G14" s="399"/>
      <c r="H14" s="405"/>
      <c r="I14" s="129"/>
      <c r="J14" s="131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4">
        <f t="shared" si="20"/>
        <v>0</v>
      </c>
    </row>
    <row r="15" spans="1:94" s="72" customFormat="1" ht="12" customHeight="1">
      <c r="A15" s="402">
        <v>7</v>
      </c>
      <c r="B15" s="406" t="s">
        <v>906</v>
      </c>
      <c r="C15" s="400" t="s">
        <v>907</v>
      </c>
      <c r="D15" s="401" t="s">
        <v>405</v>
      </c>
      <c r="E15" s="398" t="s">
        <v>400</v>
      </c>
      <c r="F15" s="399">
        <v>49.56</v>
      </c>
      <c r="G15" s="399">
        <f>H15/365/F15</f>
        <v>3.1232876712328768</v>
      </c>
      <c r="H15" s="405">
        <f>56498.4</f>
        <v>56498.400000000001</v>
      </c>
      <c r="I15" s="129"/>
      <c r="J15" s="131">
        <f>ROUND(56498.4/4,0)</f>
        <v>14125</v>
      </c>
      <c r="K15" s="132">
        <f>J15</f>
        <v>14125</v>
      </c>
      <c r="L15" s="133">
        <f>K15</f>
        <v>14125</v>
      </c>
      <c r="M15" s="133">
        <f>L15</f>
        <v>14125</v>
      </c>
      <c r="N15" s="133">
        <f>ROUND(M15*(1+取值表!$D$2)*取值表!$H$2,0)</f>
        <v>14031</v>
      </c>
      <c r="O15" s="133">
        <f>N15</f>
        <v>14031</v>
      </c>
      <c r="P15" s="133">
        <f>O15</f>
        <v>14031</v>
      </c>
      <c r="Q15" s="133">
        <f>P15</f>
        <v>14031</v>
      </c>
      <c r="R15" s="133">
        <f>ROUND(Q15*(1+取值表!$D$2)*取值表!$H$2,0)</f>
        <v>13937</v>
      </c>
      <c r="S15" s="133">
        <f t="shared" ref="S15:U15" si="118">R15</f>
        <v>13937</v>
      </c>
      <c r="T15" s="133">
        <f t="shared" si="118"/>
        <v>13937</v>
      </c>
      <c r="U15" s="133">
        <f t="shared" si="118"/>
        <v>13937</v>
      </c>
      <c r="V15" s="133">
        <f>ROUND(U15*(1+取值表!$D$2)*取值表!$H$2,0)</f>
        <v>13844</v>
      </c>
      <c r="W15" s="133">
        <f t="shared" ref="W15:Y15" si="119">V15</f>
        <v>13844</v>
      </c>
      <c r="X15" s="133">
        <f t="shared" si="119"/>
        <v>13844</v>
      </c>
      <c r="Y15" s="133">
        <f t="shared" si="119"/>
        <v>13844</v>
      </c>
      <c r="Z15" s="133">
        <f>ROUND(Y15*(1+取值表!$D$2)*取值表!$H$2,0)</f>
        <v>13752</v>
      </c>
      <c r="AA15" s="133">
        <f t="shared" ref="AA15:AC15" si="120">Z15</f>
        <v>13752</v>
      </c>
      <c r="AB15" s="133">
        <f t="shared" si="120"/>
        <v>13752</v>
      </c>
      <c r="AC15" s="133">
        <f t="shared" si="120"/>
        <v>13752</v>
      </c>
      <c r="AD15" s="133">
        <f>ROUND(AC15*(1+取值表!$D$2)*取值表!$H$2,0)</f>
        <v>13660</v>
      </c>
      <c r="AE15" s="133">
        <f t="shared" ref="AE15:AG15" si="121">AD15</f>
        <v>13660</v>
      </c>
      <c r="AF15" s="133">
        <f t="shared" si="121"/>
        <v>13660</v>
      </c>
      <c r="AG15" s="133">
        <f t="shared" si="121"/>
        <v>13660</v>
      </c>
      <c r="AH15" s="133">
        <f>ROUND(AG15*(1+取值表!$D$2)*取值表!$H$2,0)</f>
        <v>13569</v>
      </c>
      <c r="AI15" s="133">
        <f t="shared" ref="AI15:AK15" si="122">AH15</f>
        <v>13569</v>
      </c>
      <c r="AJ15" s="133">
        <f t="shared" si="122"/>
        <v>13569</v>
      </c>
      <c r="AK15" s="133">
        <f t="shared" si="122"/>
        <v>13569</v>
      </c>
      <c r="AL15" s="133">
        <f>ROUND(AK15*(1+取值表!$D$2)*取值表!$H$2,0)</f>
        <v>13479</v>
      </c>
      <c r="AM15" s="133">
        <f t="shared" ref="AM15:AO15" si="123">AL15</f>
        <v>13479</v>
      </c>
      <c r="AN15" s="133">
        <f t="shared" si="123"/>
        <v>13479</v>
      </c>
      <c r="AO15" s="133">
        <f t="shared" si="123"/>
        <v>13479</v>
      </c>
      <c r="AP15" s="133">
        <f>ROUND(AO15*(1+取值表!$D$2)*取值表!$H$2,0)</f>
        <v>13389</v>
      </c>
      <c r="AQ15" s="133">
        <f t="shared" ref="AQ15:AS15" si="124">AP15</f>
        <v>13389</v>
      </c>
      <c r="AR15" s="133">
        <f t="shared" si="124"/>
        <v>13389</v>
      </c>
      <c r="AS15" s="133">
        <f t="shared" si="124"/>
        <v>13389</v>
      </c>
      <c r="AT15" s="133">
        <f>ROUND(AS15*(1+取值表!$D$2)*取值表!$H$2,0)</f>
        <v>13300</v>
      </c>
      <c r="AU15" s="133">
        <f t="shared" ref="AU15:AW15" si="125">AT15</f>
        <v>13300</v>
      </c>
      <c r="AV15" s="133">
        <f t="shared" si="125"/>
        <v>13300</v>
      </c>
      <c r="AW15" s="133">
        <f t="shared" si="125"/>
        <v>13300</v>
      </c>
      <c r="AX15" s="133">
        <f>ROUND(AW15*(1+取值表!$D$2)*取值表!$H$2,0)</f>
        <v>13211</v>
      </c>
      <c r="AY15" s="133">
        <f t="shared" ref="AY15:BA15" si="126">AX15</f>
        <v>13211</v>
      </c>
      <c r="AZ15" s="133">
        <f t="shared" si="126"/>
        <v>13211</v>
      </c>
      <c r="BA15" s="133">
        <f t="shared" si="126"/>
        <v>13211</v>
      </c>
      <c r="BB15" s="133">
        <f>ROUND(BA15*(1+取值表!$D$2)*取值表!$H$2,0)</f>
        <v>13123</v>
      </c>
      <c r="BC15" s="133">
        <f t="shared" ref="BC15:BE15" si="127">BB15</f>
        <v>13123</v>
      </c>
      <c r="BD15" s="133">
        <f t="shared" si="127"/>
        <v>13123</v>
      </c>
      <c r="BE15" s="133">
        <f t="shared" si="127"/>
        <v>13123</v>
      </c>
      <c r="BF15" s="133">
        <f>ROUND(BE15*(1+取值表!$D$2)*取值表!$H$2,0)</f>
        <v>13036</v>
      </c>
      <c r="BG15" s="133">
        <f t="shared" ref="BG15:BI15" si="128">BF15</f>
        <v>13036</v>
      </c>
      <c r="BH15" s="133">
        <f t="shared" si="128"/>
        <v>13036</v>
      </c>
      <c r="BI15" s="133">
        <f t="shared" si="128"/>
        <v>13036</v>
      </c>
      <c r="BJ15" s="133">
        <f>ROUND(BI15*(1+取值表!$D$2)*取值表!$H$2,0)</f>
        <v>12949</v>
      </c>
      <c r="BK15" s="133">
        <f t="shared" ref="BK15:BM15" si="129">BJ15</f>
        <v>12949</v>
      </c>
      <c r="BL15" s="133">
        <f t="shared" si="129"/>
        <v>12949</v>
      </c>
      <c r="BM15" s="133">
        <f t="shared" si="129"/>
        <v>12949</v>
      </c>
      <c r="BN15" s="133">
        <f>ROUND(BM15*(1+取值表!$D$2)*取值表!$H$2,0)</f>
        <v>12863</v>
      </c>
      <c r="BO15" s="133">
        <f t="shared" ref="BO15:BQ15" si="130">BN15</f>
        <v>12863</v>
      </c>
      <c r="BP15" s="133">
        <f t="shared" si="130"/>
        <v>12863</v>
      </c>
      <c r="BQ15" s="133">
        <f t="shared" si="130"/>
        <v>12863</v>
      </c>
      <c r="BR15" s="133">
        <f>ROUND(BQ15*(1+取值表!$D$2)*取值表!$H$2,0)</f>
        <v>12777</v>
      </c>
      <c r="BS15" s="133">
        <f t="shared" ref="BS15:BU15" si="131">BR15</f>
        <v>12777</v>
      </c>
      <c r="BT15" s="133">
        <f t="shared" si="131"/>
        <v>12777</v>
      </c>
      <c r="BU15" s="133">
        <f t="shared" si="131"/>
        <v>12777</v>
      </c>
      <c r="BV15" s="133">
        <f>ROUND(BU15*(1+取值表!$D$2)*取值表!$H$2,0)</f>
        <v>12692</v>
      </c>
      <c r="BW15" s="133">
        <f t="shared" ref="BW15:BY15" si="132">BV15</f>
        <v>12692</v>
      </c>
      <c r="BX15" s="133">
        <f t="shared" si="132"/>
        <v>12692</v>
      </c>
      <c r="BY15" s="133">
        <f t="shared" si="132"/>
        <v>12692</v>
      </c>
      <c r="BZ15" s="133">
        <f>ROUND(BY15*(1+取值表!$D$2)*取值表!$H$2,0)</f>
        <v>12607</v>
      </c>
      <c r="CA15" s="133">
        <f t="shared" ref="CA15:CC15" si="133">BZ15</f>
        <v>12607</v>
      </c>
      <c r="CB15" s="133">
        <f t="shared" si="133"/>
        <v>12607</v>
      </c>
      <c r="CC15" s="133">
        <f t="shared" si="133"/>
        <v>12607</v>
      </c>
      <c r="CD15" s="133">
        <f>ROUND(CC15*(1+取值表!$D$2)*取值表!$H$2,0)</f>
        <v>12523</v>
      </c>
      <c r="CE15" s="133">
        <f t="shared" ref="CE15:CG15" si="134">CD15</f>
        <v>12523</v>
      </c>
      <c r="CF15" s="133">
        <f t="shared" si="134"/>
        <v>12523</v>
      </c>
      <c r="CG15" s="133">
        <f t="shared" si="134"/>
        <v>12523</v>
      </c>
      <c r="CH15" s="133">
        <f>ROUND(CG15*(1+取值表!$D$2)*取值表!$H$2,0)</f>
        <v>12440</v>
      </c>
      <c r="CI15" s="133">
        <f t="shared" ref="CI15:CK15" si="135">CH15</f>
        <v>12440</v>
      </c>
      <c r="CJ15" s="133">
        <f t="shared" si="135"/>
        <v>12440</v>
      </c>
      <c r="CK15" s="133">
        <f t="shared" si="135"/>
        <v>12440</v>
      </c>
      <c r="CL15" s="133">
        <f>ROUND(CK15*(1+取值表!$D$2)*取值表!$H$2,0)</f>
        <v>12357</v>
      </c>
      <c r="CM15" s="133">
        <f t="shared" ref="CM15:CO15" si="136">CL15</f>
        <v>12357</v>
      </c>
      <c r="CN15" s="133">
        <f t="shared" si="136"/>
        <v>12357</v>
      </c>
      <c r="CO15" s="133">
        <f t="shared" si="136"/>
        <v>12357</v>
      </c>
      <c r="CP15" s="134">
        <f t="shared" si="20"/>
        <v>1110656</v>
      </c>
    </row>
    <row r="16" spans="1:94" s="72" customFormat="1" ht="12.75">
      <c r="A16" s="402"/>
      <c r="B16" s="406"/>
      <c r="C16" s="400"/>
      <c r="D16" s="401"/>
      <c r="E16" s="398"/>
      <c r="F16" s="399"/>
      <c r="G16" s="399"/>
      <c r="H16" s="405"/>
      <c r="I16" s="129"/>
      <c r="J16" s="131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4">
        <f t="shared" si="20"/>
        <v>0</v>
      </c>
    </row>
    <row r="17" spans="1:94" s="72" customFormat="1" ht="12" customHeight="1">
      <c r="A17" s="402">
        <v>8</v>
      </c>
      <c r="B17" s="406" t="s">
        <v>908</v>
      </c>
      <c r="C17" s="400" t="s">
        <v>899</v>
      </c>
      <c r="D17" s="401" t="s">
        <v>123</v>
      </c>
      <c r="E17" s="398" t="s">
        <v>400</v>
      </c>
      <c r="F17" s="399">
        <v>16.52</v>
      </c>
      <c r="G17" s="399">
        <f>H17/365/F17</f>
        <v>3.1232876712328763</v>
      </c>
      <c r="H17" s="405">
        <v>18832.8</v>
      </c>
      <c r="I17" s="129"/>
      <c r="J17" s="131">
        <f>ROUND(18832.8/4,0)</f>
        <v>4708</v>
      </c>
      <c r="K17" s="132">
        <f>J17</f>
        <v>4708</v>
      </c>
      <c r="L17" s="133">
        <f>K17</f>
        <v>4708</v>
      </c>
      <c r="M17" s="133">
        <f>L17</f>
        <v>4708</v>
      </c>
      <c r="N17" s="133">
        <f>ROUND(M17*(1+取值表!$D$2)*取值表!$H$2,0)</f>
        <v>4677</v>
      </c>
      <c r="O17" s="133">
        <f>N17</f>
        <v>4677</v>
      </c>
      <c r="P17" s="133">
        <f t="shared" ref="P17:Q17" si="137">O17</f>
        <v>4677</v>
      </c>
      <c r="Q17" s="133">
        <f t="shared" si="137"/>
        <v>4677</v>
      </c>
      <c r="R17" s="133">
        <f>ROUND(Q17*(1+取值表!$D$2)*取值表!$H$2,0)</f>
        <v>4646</v>
      </c>
      <c r="S17" s="133">
        <f t="shared" ref="S17:U17" si="138">R17</f>
        <v>4646</v>
      </c>
      <c r="T17" s="133">
        <f t="shared" si="138"/>
        <v>4646</v>
      </c>
      <c r="U17" s="133">
        <f t="shared" si="138"/>
        <v>4646</v>
      </c>
      <c r="V17" s="133">
        <f>ROUND(U17*(1+取值表!$D$2)*取值表!$H$2,0)</f>
        <v>4615</v>
      </c>
      <c r="W17" s="133">
        <f t="shared" ref="W17:Y17" si="139">V17</f>
        <v>4615</v>
      </c>
      <c r="X17" s="133">
        <f t="shared" si="139"/>
        <v>4615</v>
      </c>
      <c r="Y17" s="133">
        <f t="shared" si="139"/>
        <v>4615</v>
      </c>
      <c r="Z17" s="133">
        <f>ROUND(Y17*(1+取值表!$D$2)*取值表!$H$2,0)</f>
        <v>4584</v>
      </c>
      <c r="AA17" s="133">
        <f t="shared" ref="AA17:AC17" si="140">Z17</f>
        <v>4584</v>
      </c>
      <c r="AB17" s="133">
        <f t="shared" si="140"/>
        <v>4584</v>
      </c>
      <c r="AC17" s="133">
        <f t="shared" si="140"/>
        <v>4584</v>
      </c>
      <c r="AD17" s="133">
        <f>ROUND(AC17*(1+取值表!$D$2)*取值表!$H$2,0)</f>
        <v>4553</v>
      </c>
      <c r="AE17" s="133">
        <f t="shared" ref="AE17:AG17" si="141">AD17</f>
        <v>4553</v>
      </c>
      <c r="AF17" s="133">
        <f t="shared" si="141"/>
        <v>4553</v>
      </c>
      <c r="AG17" s="133">
        <f t="shared" si="141"/>
        <v>4553</v>
      </c>
      <c r="AH17" s="133">
        <f>ROUND(AG17*(1+取值表!$D$2)*取值表!$H$2,0)</f>
        <v>4523</v>
      </c>
      <c r="AI17" s="133">
        <f t="shared" ref="AI17:AK17" si="142">AH17</f>
        <v>4523</v>
      </c>
      <c r="AJ17" s="133">
        <f t="shared" si="142"/>
        <v>4523</v>
      </c>
      <c r="AK17" s="133">
        <f t="shared" si="142"/>
        <v>4523</v>
      </c>
      <c r="AL17" s="133">
        <f>ROUND(AK17*(1+取值表!$D$2)*取值表!$H$2,0)</f>
        <v>4493</v>
      </c>
      <c r="AM17" s="133">
        <f t="shared" ref="AM17:AO17" si="143">AL17</f>
        <v>4493</v>
      </c>
      <c r="AN17" s="133">
        <f t="shared" si="143"/>
        <v>4493</v>
      </c>
      <c r="AO17" s="133">
        <f t="shared" si="143"/>
        <v>4493</v>
      </c>
      <c r="AP17" s="133">
        <f>ROUND(AO17*(1+取值表!$D$2)*取值表!$H$2,0)</f>
        <v>4463</v>
      </c>
      <c r="AQ17" s="133">
        <f t="shared" ref="AQ17:AS17" si="144">AP17</f>
        <v>4463</v>
      </c>
      <c r="AR17" s="133">
        <f t="shared" si="144"/>
        <v>4463</v>
      </c>
      <c r="AS17" s="133">
        <f t="shared" si="144"/>
        <v>4463</v>
      </c>
      <c r="AT17" s="133">
        <f>ROUND(AS17*(1+取值表!$D$2)*取值表!$H$2,0)</f>
        <v>4433</v>
      </c>
      <c r="AU17" s="133">
        <f t="shared" ref="AU17:AW17" si="145">AT17</f>
        <v>4433</v>
      </c>
      <c r="AV17" s="133">
        <f t="shared" si="145"/>
        <v>4433</v>
      </c>
      <c r="AW17" s="133">
        <f t="shared" si="145"/>
        <v>4433</v>
      </c>
      <c r="AX17" s="133">
        <f>ROUND(AW17*(1+取值表!$D$2)*取值表!$H$2,0)</f>
        <v>4403</v>
      </c>
      <c r="AY17" s="133">
        <f t="shared" ref="AY17:BA17" si="146">AX17</f>
        <v>4403</v>
      </c>
      <c r="AZ17" s="133">
        <f t="shared" si="146"/>
        <v>4403</v>
      </c>
      <c r="BA17" s="133">
        <f t="shared" si="146"/>
        <v>4403</v>
      </c>
      <c r="BB17" s="133">
        <f>ROUND(BA17*(1+取值表!$D$2)*取值表!$H$2,0)</f>
        <v>4374</v>
      </c>
      <c r="BC17" s="133">
        <f t="shared" ref="BC17:BE17" si="147">BB17</f>
        <v>4374</v>
      </c>
      <c r="BD17" s="133">
        <f t="shared" si="147"/>
        <v>4374</v>
      </c>
      <c r="BE17" s="133">
        <f t="shared" si="147"/>
        <v>4374</v>
      </c>
      <c r="BF17" s="133">
        <f>ROUND(BE17*(1+取值表!$D$2)*取值表!$H$2,0)</f>
        <v>4345</v>
      </c>
      <c r="BG17" s="133">
        <f t="shared" ref="BG17:BI17" si="148">BF17</f>
        <v>4345</v>
      </c>
      <c r="BH17" s="133">
        <f t="shared" si="148"/>
        <v>4345</v>
      </c>
      <c r="BI17" s="133">
        <f t="shared" si="148"/>
        <v>4345</v>
      </c>
      <c r="BJ17" s="133">
        <f>ROUND(BI17*(1+取值表!$D$2)*取值表!$H$2,0)</f>
        <v>4316</v>
      </c>
      <c r="BK17" s="133">
        <f t="shared" ref="BK17:BM17" si="149">BJ17</f>
        <v>4316</v>
      </c>
      <c r="BL17" s="133">
        <f t="shared" si="149"/>
        <v>4316</v>
      </c>
      <c r="BM17" s="133">
        <f t="shared" si="149"/>
        <v>4316</v>
      </c>
      <c r="BN17" s="133">
        <f>ROUND(BM17*(1+取值表!$D$2)*取值表!$H$2,0)</f>
        <v>4287</v>
      </c>
      <c r="BO17" s="133">
        <f t="shared" ref="BO17:BQ17" si="150">BN17</f>
        <v>4287</v>
      </c>
      <c r="BP17" s="133">
        <f t="shared" si="150"/>
        <v>4287</v>
      </c>
      <c r="BQ17" s="133">
        <f t="shared" si="150"/>
        <v>4287</v>
      </c>
      <c r="BR17" s="133">
        <f>ROUND(BQ17*(1+取值表!$D$2)*取值表!$H$2,0)</f>
        <v>4258</v>
      </c>
      <c r="BS17" s="133">
        <f t="shared" ref="BS17:BU17" si="151">BR17</f>
        <v>4258</v>
      </c>
      <c r="BT17" s="133">
        <f t="shared" si="151"/>
        <v>4258</v>
      </c>
      <c r="BU17" s="133">
        <f t="shared" si="151"/>
        <v>4258</v>
      </c>
      <c r="BV17" s="133">
        <f>ROUND(BU17*(1+取值表!$D$2)*取值表!$H$2,0)</f>
        <v>4230</v>
      </c>
      <c r="BW17" s="133">
        <f t="shared" ref="BW17:BY17" si="152">BV17</f>
        <v>4230</v>
      </c>
      <c r="BX17" s="133">
        <f t="shared" si="152"/>
        <v>4230</v>
      </c>
      <c r="BY17" s="133">
        <f t="shared" si="152"/>
        <v>4230</v>
      </c>
      <c r="BZ17" s="133">
        <f>ROUND(BY17*(1+取值表!$D$2)*取值表!$H$2,0)</f>
        <v>4202</v>
      </c>
      <c r="CA17" s="133">
        <f t="shared" ref="CA17:CC17" si="153">BZ17</f>
        <v>4202</v>
      </c>
      <c r="CB17" s="133">
        <f t="shared" si="153"/>
        <v>4202</v>
      </c>
      <c r="CC17" s="133">
        <f t="shared" si="153"/>
        <v>4202</v>
      </c>
      <c r="CD17" s="133">
        <f>ROUND(CC17*(1+取值表!$D$2)*取值表!$H$2,0)</f>
        <v>4174</v>
      </c>
      <c r="CE17" s="133">
        <f t="shared" ref="CE17:CG17" si="154">CD17</f>
        <v>4174</v>
      </c>
      <c r="CF17" s="133">
        <f t="shared" si="154"/>
        <v>4174</v>
      </c>
      <c r="CG17" s="133">
        <f t="shared" si="154"/>
        <v>4174</v>
      </c>
      <c r="CH17" s="133">
        <f>ROUND(CG17*(1+取值表!$D$2)*取值表!$H$2,0)</f>
        <v>4146</v>
      </c>
      <c r="CI17" s="133">
        <f t="shared" ref="CI17:CK17" si="155">CH17</f>
        <v>4146</v>
      </c>
      <c r="CJ17" s="133">
        <f t="shared" si="155"/>
        <v>4146</v>
      </c>
      <c r="CK17" s="133">
        <f t="shared" si="155"/>
        <v>4146</v>
      </c>
      <c r="CL17" s="133">
        <f>ROUND(CK17*(1+取值表!$D$2)*取值表!$H$2,0)</f>
        <v>4118</v>
      </c>
      <c r="CM17" s="133">
        <f t="shared" ref="CM17:CO17" si="156">CL17</f>
        <v>4118</v>
      </c>
      <c r="CN17" s="133">
        <f t="shared" si="156"/>
        <v>4118</v>
      </c>
      <c r="CO17" s="133">
        <f t="shared" si="156"/>
        <v>4118</v>
      </c>
      <c r="CP17" s="134">
        <f>SUM(J17:CO17)</f>
        <v>370192</v>
      </c>
    </row>
    <row r="18" spans="1:94" s="72" customFormat="1" ht="12.75">
      <c r="A18" s="402"/>
      <c r="B18" s="406"/>
      <c r="C18" s="400"/>
      <c r="D18" s="401"/>
      <c r="E18" s="398"/>
      <c r="F18" s="399"/>
      <c r="G18" s="399"/>
      <c r="H18" s="405"/>
      <c r="I18" s="129"/>
      <c r="J18" s="131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4">
        <f t="shared" si="20"/>
        <v>0</v>
      </c>
    </row>
    <row r="19" spans="1:94" s="72" customFormat="1" ht="12" customHeight="1">
      <c r="A19" s="402">
        <v>9</v>
      </c>
      <c r="B19" s="406" t="s">
        <v>909</v>
      </c>
      <c r="C19" s="400" t="s">
        <v>910</v>
      </c>
      <c r="D19" s="401" t="s">
        <v>406</v>
      </c>
      <c r="E19" s="398" t="s">
        <v>400</v>
      </c>
      <c r="F19" s="399">
        <v>16.52</v>
      </c>
      <c r="G19" s="399">
        <f>H19/365/F19</f>
        <v>3.1232876712328763</v>
      </c>
      <c r="H19" s="405">
        <v>18832.8</v>
      </c>
      <c r="I19" s="129"/>
      <c r="J19" s="131">
        <f>ROUND(18832.8/4,0)</f>
        <v>4708</v>
      </c>
      <c r="K19" s="132">
        <f>J19</f>
        <v>4708</v>
      </c>
      <c r="L19" s="133">
        <f>K19</f>
        <v>4708</v>
      </c>
      <c r="M19" s="133">
        <f>L19</f>
        <v>4708</v>
      </c>
      <c r="N19" s="133">
        <f>ROUND(M19*(1+取值表!$D$2)*取值表!$H$2,0)</f>
        <v>4677</v>
      </c>
      <c r="O19" s="133">
        <f>N19</f>
        <v>4677</v>
      </c>
      <c r="P19" s="133">
        <f t="shared" ref="P19:Q19" si="157">O19</f>
        <v>4677</v>
      </c>
      <c r="Q19" s="133">
        <f t="shared" si="157"/>
        <v>4677</v>
      </c>
      <c r="R19" s="133">
        <f>ROUND(Q19*(1+取值表!$D$2)*取值表!$H$2,0)</f>
        <v>4646</v>
      </c>
      <c r="S19" s="133">
        <f t="shared" ref="S19:U19" si="158">R19</f>
        <v>4646</v>
      </c>
      <c r="T19" s="133">
        <f t="shared" si="158"/>
        <v>4646</v>
      </c>
      <c r="U19" s="133">
        <f t="shared" si="158"/>
        <v>4646</v>
      </c>
      <c r="V19" s="133">
        <f>ROUND(U19*(1+取值表!$D$2)*取值表!$H$2,0)</f>
        <v>4615</v>
      </c>
      <c r="W19" s="133">
        <f t="shared" ref="W19:Y19" si="159">V19</f>
        <v>4615</v>
      </c>
      <c r="X19" s="133">
        <f t="shared" si="159"/>
        <v>4615</v>
      </c>
      <c r="Y19" s="133">
        <f t="shared" si="159"/>
        <v>4615</v>
      </c>
      <c r="Z19" s="133">
        <f>ROUND(Y19*(1+取值表!$D$2)*取值表!$H$2,0)</f>
        <v>4584</v>
      </c>
      <c r="AA19" s="133">
        <f t="shared" ref="AA19:AC19" si="160">Z19</f>
        <v>4584</v>
      </c>
      <c r="AB19" s="133">
        <f t="shared" si="160"/>
        <v>4584</v>
      </c>
      <c r="AC19" s="133">
        <f t="shared" si="160"/>
        <v>4584</v>
      </c>
      <c r="AD19" s="133">
        <f>ROUND(AC19*(1+取值表!$D$2)*取值表!$H$2,0)</f>
        <v>4553</v>
      </c>
      <c r="AE19" s="133">
        <f t="shared" ref="AE19:AG19" si="161">AD19</f>
        <v>4553</v>
      </c>
      <c r="AF19" s="133">
        <f t="shared" si="161"/>
        <v>4553</v>
      </c>
      <c r="AG19" s="133">
        <f t="shared" si="161"/>
        <v>4553</v>
      </c>
      <c r="AH19" s="133">
        <f>ROUND(AG19*(1+取值表!$D$2)*取值表!$H$2,0)</f>
        <v>4523</v>
      </c>
      <c r="AI19" s="133">
        <f t="shared" ref="AI19:AK19" si="162">AH19</f>
        <v>4523</v>
      </c>
      <c r="AJ19" s="133">
        <f t="shared" si="162"/>
        <v>4523</v>
      </c>
      <c r="AK19" s="133">
        <f t="shared" si="162"/>
        <v>4523</v>
      </c>
      <c r="AL19" s="133">
        <f>ROUND(AK19*(1+取值表!$D$2)*取值表!$H$2,0)</f>
        <v>4493</v>
      </c>
      <c r="AM19" s="133">
        <f t="shared" ref="AM19:AO19" si="163">AL19</f>
        <v>4493</v>
      </c>
      <c r="AN19" s="133">
        <f t="shared" si="163"/>
        <v>4493</v>
      </c>
      <c r="AO19" s="133">
        <f t="shared" si="163"/>
        <v>4493</v>
      </c>
      <c r="AP19" s="133">
        <f>ROUND(AO19*(1+取值表!$D$2)*取值表!$H$2,0)</f>
        <v>4463</v>
      </c>
      <c r="AQ19" s="133">
        <f t="shared" ref="AQ19:AS19" si="164">AP19</f>
        <v>4463</v>
      </c>
      <c r="AR19" s="133">
        <f t="shared" si="164"/>
        <v>4463</v>
      </c>
      <c r="AS19" s="133">
        <f t="shared" si="164"/>
        <v>4463</v>
      </c>
      <c r="AT19" s="133">
        <f>ROUND(AS19*(1+取值表!$D$2)*取值表!$H$2,0)</f>
        <v>4433</v>
      </c>
      <c r="AU19" s="133">
        <f t="shared" ref="AU19:AW19" si="165">AT19</f>
        <v>4433</v>
      </c>
      <c r="AV19" s="133">
        <f t="shared" si="165"/>
        <v>4433</v>
      </c>
      <c r="AW19" s="133">
        <f t="shared" si="165"/>
        <v>4433</v>
      </c>
      <c r="AX19" s="133">
        <f>ROUND(AW19*(1+取值表!$D$2)*取值表!$H$2,0)</f>
        <v>4403</v>
      </c>
      <c r="AY19" s="133">
        <f t="shared" ref="AY19:BA19" si="166">AX19</f>
        <v>4403</v>
      </c>
      <c r="AZ19" s="133">
        <f t="shared" si="166"/>
        <v>4403</v>
      </c>
      <c r="BA19" s="133">
        <f t="shared" si="166"/>
        <v>4403</v>
      </c>
      <c r="BB19" s="133">
        <f>ROUND(BA19*(1+取值表!$D$2)*取值表!$H$2,0)</f>
        <v>4374</v>
      </c>
      <c r="BC19" s="133">
        <f t="shared" ref="BC19:BE19" si="167">BB19</f>
        <v>4374</v>
      </c>
      <c r="BD19" s="133">
        <f t="shared" si="167"/>
        <v>4374</v>
      </c>
      <c r="BE19" s="133">
        <f t="shared" si="167"/>
        <v>4374</v>
      </c>
      <c r="BF19" s="133">
        <f>ROUND(BE19*(1+取值表!$D$2)*取值表!$H$2,0)</f>
        <v>4345</v>
      </c>
      <c r="BG19" s="133">
        <f t="shared" ref="BG19:BI19" si="168">BF19</f>
        <v>4345</v>
      </c>
      <c r="BH19" s="133">
        <f t="shared" si="168"/>
        <v>4345</v>
      </c>
      <c r="BI19" s="133">
        <f t="shared" si="168"/>
        <v>4345</v>
      </c>
      <c r="BJ19" s="133">
        <f>ROUND(BI19*(1+取值表!$D$2)*取值表!$H$2,0)</f>
        <v>4316</v>
      </c>
      <c r="BK19" s="133">
        <f t="shared" ref="BK19:BM19" si="169">BJ19</f>
        <v>4316</v>
      </c>
      <c r="BL19" s="133">
        <f t="shared" si="169"/>
        <v>4316</v>
      </c>
      <c r="BM19" s="133">
        <f t="shared" si="169"/>
        <v>4316</v>
      </c>
      <c r="BN19" s="133">
        <f>ROUND(BM19*(1+取值表!$D$2)*取值表!$H$2,0)</f>
        <v>4287</v>
      </c>
      <c r="BO19" s="133">
        <f t="shared" ref="BO19:BQ19" si="170">BN19</f>
        <v>4287</v>
      </c>
      <c r="BP19" s="133">
        <f t="shared" si="170"/>
        <v>4287</v>
      </c>
      <c r="BQ19" s="133">
        <f t="shared" si="170"/>
        <v>4287</v>
      </c>
      <c r="BR19" s="133">
        <f>ROUND(BQ19*(1+取值表!$D$2)*取值表!$H$2,0)</f>
        <v>4258</v>
      </c>
      <c r="BS19" s="133">
        <f t="shared" ref="BS19:BU19" si="171">BR19</f>
        <v>4258</v>
      </c>
      <c r="BT19" s="133">
        <f t="shared" si="171"/>
        <v>4258</v>
      </c>
      <c r="BU19" s="133">
        <f t="shared" si="171"/>
        <v>4258</v>
      </c>
      <c r="BV19" s="133">
        <f>ROUND(BU19*(1+取值表!$D$2)*取值表!$H$2,0)</f>
        <v>4230</v>
      </c>
      <c r="BW19" s="133">
        <f t="shared" ref="BW19:BY19" si="172">BV19</f>
        <v>4230</v>
      </c>
      <c r="BX19" s="133">
        <f t="shared" si="172"/>
        <v>4230</v>
      </c>
      <c r="BY19" s="133">
        <f t="shared" si="172"/>
        <v>4230</v>
      </c>
      <c r="BZ19" s="133">
        <f>ROUND(BY19*(1+取值表!$D$2)*取值表!$H$2,0)</f>
        <v>4202</v>
      </c>
      <c r="CA19" s="133">
        <f t="shared" ref="CA19:CC19" si="173">BZ19</f>
        <v>4202</v>
      </c>
      <c r="CB19" s="133">
        <f t="shared" si="173"/>
        <v>4202</v>
      </c>
      <c r="CC19" s="133">
        <f t="shared" si="173"/>
        <v>4202</v>
      </c>
      <c r="CD19" s="133">
        <f>ROUND(CC19*(1+取值表!$D$2)*取值表!$H$2,0)</f>
        <v>4174</v>
      </c>
      <c r="CE19" s="133">
        <f t="shared" ref="CE19:CG19" si="174">CD19</f>
        <v>4174</v>
      </c>
      <c r="CF19" s="133">
        <f t="shared" si="174"/>
        <v>4174</v>
      </c>
      <c r="CG19" s="133">
        <f t="shared" si="174"/>
        <v>4174</v>
      </c>
      <c r="CH19" s="133">
        <f>ROUND(CG19*(1+取值表!$D$2)*取值表!$H$2,0)</f>
        <v>4146</v>
      </c>
      <c r="CI19" s="133">
        <f t="shared" ref="CI19:CK19" si="175">CH19</f>
        <v>4146</v>
      </c>
      <c r="CJ19" s="133">
        <f t="shared" si="175"/>
        <v>4146</v>
      </c>
      <c r="CK19" s="133">
        <f t="shared" si="175"/>
        <v>4146</v>
      </c>
      <c r="CL19" s="133">
        <f>ROUND(CK19*(1+取值表!$D$2)*取值表!$H$2,0)</f>
        <v>4118</v>
      </c>
      <c r="CM19" s="133">
        <f t="shared" ref="CM19:CO19" si="176">CL19</f>
        <v>4118</v>
      </c>
      <c r="CN19" s="133">
        <f t="shared" si="176"/>
        <v>4118</v>
      </c>
      <c r="CO19" s="133">
        <f t="shared" si="176"/>
        <v>4118</v>
      </c>
      <c r="CP19" s="134">
        <f t="shared" si="20"/>
        <v>370192</v>
      </c>
    </row>
    <row r="20" spans="1:94" s="72" customFormat="1" ht="12.75">
      <c r="A20" s="402"/>
      <c r="B20" s="406"/>
      <c r="C20" s="400"/>
      <c r="D20" s="401"/>
      <c r="E20" s="398"/>
      <c r="F20" s="399"/>
      <c r="G20" s="399"/>
      <c r="H20" s="405"/>
      <c r="I20" s="129"/>
      <c r="J20" s="131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4">
        <f t="shared" si="20"/>
        <v>0</v>
      </c>
    </row>
    <row r="21" spans="1:94" s="72" customFormat="1" ht="13.5" customHeight="1">
      <c r="A21" s="402">
        <v>10</v>
      </c>
      <c r="B21" s="406" t="s">
        <v>911</v>
      </c>
      <c r="C21" s="400" t="s">
        <v>912</v>
      </c>
      <c r="D21" s="401" t="s">
        <v>402</v>
      </c>
      <c r="E21" s="398" t="s">
        <v>400</v>
      </c>
      <c r="F21" s="399">
        <v>16.23</v>
      </c>
      <c r="G21" s="399">
        <f>H21/365/F21</f>
        <v>2.4657534246575339</v>
      </c>
      <c r="H21" s="405">
        <v>14607</v>
      </c>
      <c r="I21" s="129"/>
      <c r="J21" s="131">
        <f>ROUND(14607/4,0)</f>
        <v>3652</v>
      </c>
      <c r="K21" s="132">
        <f>J21</f>
        <v>3652</v>
      </c>
      <c r="L21" s="133">
        <f>K21</f>
        <v>3652</v>
      </c>
      <c r="M21" s="133">
        <f>L21</f>
        <v>3652</v>
      </c>
      <c r="N21" s="133">
        <f>ROUND(M21*(1+取值表!$D$2)*取值表!$H$2,0)</f>
        <v>3628</v>
      </c>
      <c r="O21" s="133">
        <f>N21</f>
        <v>3628</v>
      </c>
      <c r="P21" s="133">
        <f t="shared" ref="P21:Q21" si="177">O21</f>
        <v>3628</v>
      </c>
      <c r="Q21" s="133">
        <f t="shared" si="177"/>
        <v>3628</v>
      </c>
      <c r="R21" s="133">
        <f>ROUND(Q21*(1+取值表!$D$2)*取值表!$H$2,0)</f>
        <v>3604</v>
      </c>
      <c r="S21" s="133">
        <f t="shared" ref="S21:U21" si="178">R21</f>
        <v>3604</v>
      </c>
      <c r="T21" s="133">
        <f t="shared" si="178"/>
        <v>3604</v>
      </c>
      <c r="U21" s="133">
        <f t="shared" si="178"/>
        <v>3604</v>
      </c>
      <c r="V21" s="133">
        <f>ROUND(U21*(1+取值表!$D$2)*取值表!$H$2,0)</f>
        <v>3580</v>
      </c>
      <c r="W21" s="133">
        <f t="shared" ref="W21:Y21" si="179">V21</f>
        <v>3580</v>
      </c>
      <c r="X21" s="133">
        <f t="shared" si="179"/>
        <v>3580</v>
      </c>
      <c r="Y21" s="133">
        <f t="shared" si="179"/>
        <v>3580</v>
      </c>
      <c r="Z21" s="133">
        <f>ROUND(Y21*(1+取值表!$D$2)*取值表!$H$2,0)</f>
        <v>3556</v>
      </c>
      <c r="AA21" s="133">
        <f t="shared" ref="AA21:AC21" si="180">Z21</f>
        <v>3556</v>
      </c>
      <c r="AB21" s="133">
        <f t="shared" si="180"/>
        <v>3556</v>
      </c>
      <c r="AC21" s="133">
        <f t="shared" si="180"/>
        <v>3556</v>
      </c>
      <c r="AD21" s="133">
        <f>ROUND(AC21*(1+取值表!$D$2)*取值表!$H$2,0)</f>
        <v>3532</v>
      </c>
      <c r="AE21" s="133">
        <f t="shared" ref="AE21:AG21" si="181">AD21</f>
        <v>3532</v>
      </c>
      <c r="AF21" s="133">
        <f t="shared" si="181"/>
        <v>3532</v>
      </c>
      <c r="AG21" s="133">
        <f t="shared" si="181"/>
        <v>3532</v>
      </c>
      <c r="AH21" s="133">
        <f>ROUND(AG21*(1+取值表!$D$2)*取值表!$H$2,0)</f>
        <v>3508</v>
      </c>
      <c r="AI21" s="133">
        <f t="shared" ref="AI21:AK21" si="182">AH21</f>
        <v>3508</v>
      </c>
      <c r="AJ21" s="133">
        <f t="shared" si="182"/>
        <v>3508</v>
      </c>
      <c r="AK21" s="133">
        <f t="shared" si="182"/>
        <v>3508</v>
      </c>
      <c r="AL21" s="133">
        <f>ROUND(AK21*(1+取值表!$D$2)*取值表!$H$2,0)</f>
        <v>3485</v>
      </c>
      <c r="AM21" s="133">
        <f t="shared" ref="AM21:AO21" si="183">AL21</f>
        <v>3485</v>
      </c>
      <c r="AN21" s="133">
        <f t="shared" si="183"/>
        <v>3485</v>
      </c>
      <c r="AO21" s="133">
        <f t="shared" si="183"/>
        <v>3485</v>
      </c>
      <c r="AP21" s="133">
        <f>ROUND(AO21*(1+取值表!$D$2)*取值表!$H$2,0)</f>
        <v>3462</v>
      </c>
      <c r="AQ21" s="133">
        <f t="shared" ref="AQ21:AS21" si="184">AP21</f>
        <v>3462</v>
      </c>
      <c r="AR21" s="133">
        <f t="shared" si="184"/>
        <v>3462</v>
      </c>
      <c r="AS21" s="133">
        <f t="shared" si="184"/>
        <v>3462</v>
      </c>
      <c r="AT21" s="133">
        <f>ROUND(AS21*(1+取值表!$D$2)*取值表!$H$2,0)</f>
        <v>3439</v>
      </c>
      <c r="AU21" s="133">
        <f t="shared" ref="AU21:AW21" si="185">AT21</f>
        <v>3439</v>
      </c>
      <c r="AV21" s="133">
        <f t="shared" si="185"/>
        <v>3439</v>
      </c>
      <c r="AW21" s="133">
        <f t="shared" si="185"/>
        <v>3439</v>
      </c>
      <c r="AX21" s="133">
        <f>ROUND(AW21*(1+取值表!$D$2)*取值表!$H$2,0)</f>
        <v>3416</v>
      </c>
      <c r="AY21" s="133">
        <f t="shared" ref="AY21:BA21" si="186">AX21</f>
        <v>3416</v>
      </c>
      <c r="AZ21" s="133">
        <f t="shared" si="186"/>
        <v>3416</v>
      </c>
      <c r="BA21" s="133">
        <f t="shared" si="186"/>
        <v>3416</v>
      </c>
      <c r="BB21" s="133">
        <f>ROUND(BA21*(1+取值表!$D$2)*取值表!$H$2,0)</f>
        <v>3393</v>
      </c>
      <c r="BC21" s="133">
        <f t="shared" ref="BC21:BE21" si="187">BB21</f>
        <v>3393</v>
      </c>
      <c r="BD21" s="133">
        <f t="shared" si="187"/>
        <v>3393</v>
      </c>
      <c r="BE21" s="133">
        <f t="shared" si="187"/>
        <v>3393</v>
      </c>
      <c r="BF21" s="133">
        <f>ROUND(BE21*(1+取值表!$D$2)*取值表!$H$2,0)</f>
        <v>3370</v>
      </c>
      <c r="BG21" s="133">
        <f t="shared" ref="BG21:BI21" si="188">BF21</f>
        <v>3370</v>
      </c>
      <c r="BH21" s="133">
        <f t="shared" si="188"/>
        <v>3370</v>
      </c>
      <c r="BI21" s="133">
        <f t="shared" si="188"/>
        <v>3370</v>
      </c>
      <c r="BJ21" s="133">
        <f>ROUND(BI21*(1+取值表!$D$2)*取值表!$H$2,0)</f>
        <v>3348</v>
      </c>
      <c r="BK21" s="133">
        <f t="shared" ref="BK21:BM21" si="189">BJ21</f>
        <v>3348</v>
      </c>
      <c r="BL21" s="133">
        <f t="shared" si="189"/>
        <v>3348</v>
      </c>
      <c r="BM21" s="133">
        <f t="shared" si="189"/>
        <v>3348</v>
      </c>
      <c r="BN21" s="133">
        <f>ROUND(BM21*(1+取值表!$D$2)*取值表!$H$2,0)</f>
        <v>3326</v>
      </c>
      <c r="BO21" s="133">
        <f t="shared" ref="BO21:BQ21" si="190">BN21</f>
        <v>3326</v>
      </c>
      <c r="BP21" s="133">
        <f t="shared" si="190"/>
        <v>3326</v>
      </c>
      <c r="BQ21" s="133">
        <f t="shared" si="190"/>
        <v>3326</v>
      </c>
      <c r="BR21" s="133">
        <f>ROUND(BQ21*(1+取值表!$D$2)*取值表!$H$2,0)</f>
        <v>3304</v>
      </c>
      <c r="BS21" s="133">
        <f t="shared" ref="BS21:BU21" si="191">BR21</f>
        <v>3304</v>
      </c>
      <c r="BT21" s="133">
        <f t="shared" si="191"/>
        <v>3304</v>
      </c>
      <c r="BU21" s="133">
        <f t="shared" si="191"/>
        <v>3304</v>
      </c>
      <c r="BV21" s="133">
        <f>ROUND(BU21*(1+取值表!$D$2)*取值表!$H$2,0)</f>
        <v>3282</v>
      </c>
      <c r="BW21" s="133">
        <f t="shared" ref="BW21:BY21" si="192">BV21</f>
        <v>3282</v>
      </c>
      <c r="BX21" s="133">
        <f t="shared" si="192"/>
        <v>3282</v>
      </c>
      <c r="BY21" s="133">
        <f t="shared" si="192"/>
        <v>3282</v>
      </c>
      <c r="BZ21" s="133">
        <f>ROUND(BY21*(1+取值表!$D$2)*取值表!$H$2,0)</f>
        <v>3260</v>
      </c>
      <c r="CA21" s="133">
        <f t="shared" ref="CA21:CC21" si="193">BZ21</f>
        <v>3260</v>
      </c>
      <c r="CB21" s="133">
        <f t="shared" si="193"/>
        <v>3260</v>
      </c>
      <c r="CC21" s="133">
        <f t="shared" si="193"/>
        <v>3260</v>
      </c>
      <c r="CD21" s="133">
        <f>ROUND(CC21*(1+取值表!$D$2)*取值表!$H$2,0)</f>
        <v>3238</v>
      </c>
      <c r="CE21" s="133">
        <f t="shared" ref="CE21:CG21" si="194">CD21</f>
        <v>3238</v>
      </c>
      <c r="CF21" s="133">
        <f t="shared" si="194"/>
        <v>3238</v>
      </c>
      <c r="CG21" s="133">
        <f t="shared" si="194"/>
        <v>3238</v>
      </c>
      <c r="CH21" s="133">
        <f>ROUND(CG21*(1+取值表!$D$2)*取值表!$H$2,0)</f>
        <v>3216</v>
      </c>
      <c r="CI21" s="133">
        <f t="shared" ref="CI21:CK21" si="195">CH21</f>
        <v>3216</v>
      </c>
      <c r="CJ21" s="133">
        <f t="shared" si="195"/>
        <v>3216</v>
      </c>
      <c r="CK21" s="133">
        <f t="shared" si="195"/>
        <v>3216</v>
      </c>
      <c r="CL21" s="133">
        <f>ROUND(CK21*(1+取值表!$D$2)*取值表!$H$2,0)</f>
        <v>3195</v>
      </c>
      <c r="CM21" s="133">
        <f t="shared" ref="CM21:CO21" si="196">CL21</f>
        <v>3195</v>
      </c>
      <c r="CN21" s="133">
        <f t="shared" si="196"/>
        <v>3195</v>
      </c>
      <c r="CO21" s="133">
        <f t="shared" si="196"/>
        <v>3195</v>
      </c>
      <c r="CP21" s="134">
        <f t="shared" si="20"/>
        <v>287176</v>
      </c>
    </row>
    <row r="22" spans="1:94" s="72" customFormat="1" ht="13.5" customHeight="1">
      <c r="A22" s="402"/>
      <c r="B22" s="406"/>
      <c r="C22" s="400"/>
      <c r="D22" s="401"/>
      <c r="E22" s="398"/>
      <c r="F22" s="399"/>
      <c r="G22" s="399"/>
      <c r="H22" s="405"/>
      <c r="I22" s="129"/>
      <c r="J22" s="131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4">
        <f t="shared" si="20"/>
        <v>0</v>
      </c>
    </row>
    <row r="23" spans="1:94" s="72" customFormat="1" ht="12" customHeight="1">
      <c r="A23" s="402">
        <v>11</v>
      </c>
      <c r="B23" s="406" t="s">
        <v>913</v>
      </c>
      <c r="C23" s="400" t="s">
        <v>907</v>
      </c>
      <c r="D23" s="401" t="s">
        <v>407</v>
      </c>
      <c r="E23" s="398" t="s">
        <v>400</v>
      </c>
      <c r="F23" s="399">
        <v>17.63</v>
      </c>
      <c r="G23" s="399">
        <f>H23/365/F23</f>
        <v>3.1232876712328772</v>
      </c>
      <c r="H23" s="405">
        <v>20098.2</v>
      </c>
      <c r="I23" s="129"/>
      <c r="J23" s="131">
        <f>ROUND(20098.2/4,0)</f>
        <v>5025</v>
      </c>
      <c r="K23" s="132">
        <f>J23</f>
        <v>5025</v>
      </c>
      <c r="L23" s="133">
        <f>K23</f>
        <v>5025</v>
      </c>
      <c r="M23" s="133">
        <f>L23</f>
        <v>5025</v>
      </c>
      <c r="N23" s="133">
        <f>ROUND(M23*(1+取值表!$D$2)*取值表!$H$2,0)</f>
        <v>4992</v>
      </c>
      <c r="O23" s="133">
        <f>N23</f>
        <v>4992</v>
      </c>
      <c r="P23" s="133">
        <f t="shared" ref="P23:Q23" si="197">O23</f>
        <v>4992</v>
      </c>
      <c r="Q23" s="133">
        <f t="shared" si="197"/>
        <v>4992</v>
      </c>
      <c r="R23" s="133">
        <f>ROUND(Q23*(1+取值表!$D$2)*取值表!$H$2,0)</f>
        <v>4959</v>
      </c>
      <c r="S23" s="133">
        <f t="shared" ref="S23:U23" si="198">R23</f>
        <v>4959</v>
      </c>
      <c r="T23" s="133">
        <f t="shared" si="198"/>
        <v>4959</v>
      </c>
      <c r="U23" s="133">
        <f t="shared" si="198"/>
        <v>4959</v>
      </c>
      <c r="V23" s="133">
        <f>ROUND(U23*(1+取值表!$D$2)*取值表!$H$2,0)</f>
        <v>4926</v>
      </c>
      <c r="W23" s="133">
        <f t="shared" ref="W23:Y23" si="199">V23</f>
        <v>4926</v>
      </c>
      <c r="X23" s="133">
        <f t="shared" si="199"/>
        <v>4926</v>
      </c>
      <c r="Y23" s="133">
        <f t="shared" si="199"/>
        <v>4926</v>
      </c>
      <c r="Z23" s="133">
        <f>ROUND(Y23*(1+取值表!$D$2)*取值表!$H$2,0)</f>
        <v>4893</v>
      </c>
      <c r="AA23" s="133">
        <f t="shared" ref="AA23:AC23" si="200">Z23</f>
        <v>4893</v>
      </c>
      <c r="AB23" s="133">
        <f t="shared" si="200"/>
        <v>4893</v>
      </c>
      <c r="AC23" s="133">
        <f t="shared" si="200"/>
        <v>4893</v>
      </c>
      <c r="AD23" s="133">
        <f>ROUND(AC23*(1+取值表!$D$2)*取值表!$H$2,0)</f>
        <v>4860</v>
      </c>
      <c r="AE23" s="133">
        <f t="shared" ref="AE23:AG23" si="201">AD23</f>
        <v>4860</v>
      </c>
      <c r="AF23" s="133">
        <f t="shared" si="201"/>
        <v>4860</v>
      </c>
      <c r="AG23" s="133">
        <f t="shared" si="201"/>
        <v>4860</v>
      </c>
      <c r="AH23" s="133">
        <f>ROUND(AG23*(1+取值表!$D$2)*取值表!$H$2,0)</f>
        <v>4828</v>
      </c>
      <c r="AI23" s="133">
        <f t="shared" ref="AI23:AK23" si="202">AH23</f>
        <v>4828</v>
      </c>
      <c r="AJ23" s="133">
        <f t="shared" si="202"/>
        <v>4828</v>
      </c>
      <c r="AK23" s="133">
        <f t="shared" si="202"/>
        <v>4828</v>
      </c>
      <c r="AL23" s="133">
        <f>ROUND(AK23*(1+取值表!$D$2)*取值表!$H$2,0)</f>
        <v>4796</v>
      </c>
      <c r="AM23" s="133">
        <f t="shared" ref="AM23:AO23" si="203">AL23</f>
        <v>4796</v>
      </c>
      <c r="AN23" s="133">
        <f t="shared" si="203"/>
        <v>4796</v>
      </c>
      <c r="AO23" s="133">
        <f t="shared" si="203"/>
        <v>4796</v>
      </c>
      <c r="AP23" s="133">
        <f>ROUND(AO23*(1+取值表!$D$2)*取值表!$H$2,0)</f>
        <v>4764</v>
      </c>
      <c r="AQ23" s="133">
        <f t="shared" ref="AQ23:AS23" si="204">AP23</f>
        <v>4764</v>
      </c>
      <c r="AR23" s="133">
        <f t="shared" si="204"/>
        <v>4764</v>
      </c>
      <c r="AS23" s="133">
        <f t="shared" si="204"/>
        <v>4764</v>
      </c>
      <c r="AT23" s="133">
        <f>ROUND(AS23*(1+取值表!$D$2)*取值表!$H$2,0)</f>
        <v>4732</v>
      </c>
      <c r="AU23" s="133">
        <f t="shared" ref="AU23:AW23" si="205">AT23</f>
        <v>4732</v>
      </c>
      <c r="AV23" s="133">
        <f t="shared" si="205"/>
        <v>4732</v>
      </c>
      <c r="AW23" s="133">
        <f t="shared" si="205"/>
        <v>4732</v>
      </c>
      <c r="AX23" s="133">
        <f>ROUND(AW23*(1+取值表!$D$2)*取值表!$H$2,0)</f>
        <v>4700</v>
      </c>
      <c r="AY23" s="133">
        <f t="shared" ref="AY23:BA23" si="206">AX23</f>
        <v>4700</v>
      </c>
      <c r="AZ23" s="133">
        <f t="shared" si="206"/>
        <v>4700</v>
      </c>
      <c r="BA23" s="133">
        <f t="shared" si="206"/>
        <v>4700</v>
      </c>
      <c r="BB23" s="133">
        <f>ROUND(BA23*(1+取值表!$D$2)*取值表!$H$2,0)</f>
        <v>4669</v>
      </c>
      <c r="BC23" s="133">
        <f t="shared" ref="BC23:BE23" si="207">BB23</f>
        <v>4669</v>
      </c>
      <c r="BD23" s="133">
        <f t="shared" si="207"/>
        <v>4669</v>
      </c>
      <c r="BE23" s="133">
        <f t="shared" si="207"/>
        <v>4669</v>
      </c>
      <c r="BF23" s="133">
        <f>ROUND(BE23*(1+取值表!$D$2)*取值表!$H$2,0)</f>
        <v>4638</v>
      </c>
      <c r="BG23" s="133">
        <f t="shared" ref="BG23:BI23" si="208">BF23</f>
        <v>4638</v>
      </c>
      <c r="BH23" s="133">
        <f t="shared" si="208"/>
        <v>4638</v>
      </c>
      <c r="BI23" s="133">
        <f t="shared" si="208"/>
        <v>4638</v>
      </c>
      <c r="BJ23" s="133">
        <f>ROUND(BI23*(1+取值表!$D$2)*取值表!$H$2,0)</f>
        <v>4607</v>
      </c>
      <c r="BK23" s="133">
        <f t="shared" ref="BK23:BM23" si="209">BJ23</f>
        <v>4607</v>
      </c>
      <c r="BL23" s="133">
        <f t="shared" si="209"/>
        <v>4607</v>
      </c>
      <c r="BM23" s="133">
        <f t="shared" si="209"/>
        <v>4607</v>
      </c>
      <c r="BN23" s="133">
        <f>ROUND(BM23*(1+取值表!$D$2)*取值表!$H$2,0)</f>
        <v>4576</v>
      </c>
      <c r="BO23" s="133">
        <f t="shared" ref="BO23:BQ23" si="210">BN23</f>
        <v>4576</v>
      </c>
      <c r="BP23" s="133">
        <f t="shared" si="210"/>
        <v>4576</v>
      </c>
      <c r="BQ23" s="133">
        <f t="shared" si="210"/>
        <v>4576</v>
      </c>
      <c r="BR23" s="133">
        <f>ROUND(BQ23*(1+取值表!$D$2)*取值表!$H$2,0)</f>
        <v>4545</v>
      </c>
      <c r="BS23" s="133">
        <f t="shared" ref="BS23:BU23" si="211">BR23</f>
        <v>4545</v>
      </c>
      <c r="BT23" s="133">
        <f t="shared" si="211"/>
        <v>4545</v>
      </c>
      <c r="BU23" s="133">
        <f t="shared" si="211"/>
        <v>4545</v>
      </c>
      <c r="BV23" s="133">
        <f>ROUND(BU23*(1+取值表!$D$2)*取值表!$H$2,0)</f>
        <v>4515</v>
      </c>
      <c r="BW23" s="133">
        <f t="shared" ref="BW23:BY23" si="212">BV23</f>
        <v>4515</v>
      </c>
      <c r="BX23" s="133">
        <f t="shared" si="212"/>
        <v>4515</v>
      </c>
      <c r="BY23" s="133">
        <f t="shared" si="212"/>
        <v>4515</v>
      </c>
      <c r="BZ23" s="133">
        <f>ROUND(BY23*(1+取值表!$D$2)*取值表!$H$2,0)</f>
        <v>4485</v>
      </c>
      <c r="CA23" s="133">
        <f t="shared" ref="CA23:CC23" si="213">BZ23</f>
        <v>4485</v>
      </c>
      <c r="CB23" s="133">
        <f t="shared" si="213"/>
        <v>4485</v>
      </c>
      <c r="CC23" s="133">
        <f t="shared" si="213"/>
        <v>4485</v>
      </c>
      <c r="CD23" s="133">
        <f>ROUND(CC23*(1+取值表!$D$2)*取值表!$H$2,0)</f>
        <v>4455</v>
      </c>
      <c r="CE23" s="133">
        <f t="shared" ref="CE23:CG23" si="214">CD23</f>
        <v>4455</v>
      </c>
      <c r="CF23" s="133">
        <f t="shared" si="214"/>
        <v>4455</v>
      </c>
      <c r="CG23" s="133">
        <f t="shared" si="214"/>
        <v>4455</v>
      </c>
      <c r="CH23" s="133">
        <f>ROUND(CG23*(1+取值表!$D$2)*取值表!$H$2,0)</f>
        <v>4425</v>
      </c>
      <c r="CI23" s="133">
        <f t="shared" ref="CI23:CK23" si="215">CH23</f>
        <v>4425</v>
      </c>
      <c r="CJ23" s="133">
        <f t="shared" si="215"/>
        <v>4425</v>
      </c>
      <c r="CK23" s="133">
        <f t="shared" si="215"/>
        <v>4425</v>
      </c>
      <c r="CL23" s="133">
        <f>ROUND(CK23*(1+取值表!$D$2)*取值表!$H$2,0)</f>
        <v>4396</v>
      </c>
      <c r="CM23" s="133">
        <f t="shared" ref="CM23:CO23" si="216">CL23</f>
        <v>4396</v>
      </c>
      <c r="CN23" s="133">
        <f t="shared" si="216"/>
        <v>4396</v>
      </c>
      <c r="CO23" s="133">
        <f t="shared" si="216"/>
        <v>4396</v>
      </c>
      <c r="CP23" s="134">
        <f t="shared" si="20"/>
        <v>395144</v>
      </c>
    </row>
    <row r="24" spans="1:94" s="72" customFormat="1" ht="12.75">
      <c r="A24" s="402"/>
      <c r="B24" s="406"/>
      <c r="C24" s="400"/>
      <c r="D24" s="401"/>
      <c r="E24" s="398"/>
      <c r="F24" s="399"/>
      <c r="G24" s="399"/>
      <c r="H24" s="405"/>
      <c r="I24" s="129"/>
      <c r="J24" s="131"/>
      <c r="K24" s="71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4">
        <f t="shared" si="20"/>
        <v>0</v>
      </c>
    </row>
    <row r="25" spans="1:94" s="72" customFormat="1" ht="12" customHeight="1">
      <c r="A25" s="402">
        <v>12</v>
      </c>
      <c r="B25" s="406" t="s">
        <v>914</v>
      </c>
      <c r="C25" s="400" t="s">
        <v>915</v>
      </c>
      <c r="D25" s="401" t="s">
        <v>408</v>
      </c>
      <c r="E25" s="398" t="s">
        <v>400</v>
      </c>
      <c r="F25" s="399">
        <v>17.63</v>
      </c>
      <c r="G25" s="399">
        <f>H25/365/F25</f>
        <v>3.1232876712328772</v>
      </c>
      <c r="H25" s="405">
        <v>20098.2</v>
      </c>
      <c r="I25" s="129"/>
      <c r="J25" s="131">
        <f>ROUND(20098.2/4,0)</f>
        <v>5025</v>
      </c>
      <c r="K25" s="132">
        <f>J25</f>
        <v>5025</v>
      </c>
      <c r="L25" s="133">
        <f>K25</f>
        <v>5025</v>
      </c>
      <c r="M25" s="133">
        <f>L25</f>
        <v>5025</v>
      </c>
      <c r="N25" s="133">
        <f>ROUND(M25*(1+取值表!$D$2)*取值表!$H$2,0)</f>
        <v>4992</v>
      </c>
      <c r="O25" s="133">
        <f>N25</f>
        <v>4992</v>
      </c>
      <c r="P25" s="133">
        <f t="shared" ref="P25:Q25" si="217">O25</f>
        <v>4992</v>
      </c>
      <c r="Q25" s="133">
        <f t="shared" si="217"/>
        <v>4992</v>
      </c>
      <c r="R25" s="133">
        <f>ROUND(Q25*(1+取值表!$D$2)*取值表!$H$2,0)</f>
        <v>4959</v>
      </c>
      <c r="S25" s="133">
        <f t="shared" ref="S25:U25" si="218">R25</f>
        <v>4959</v>
      </c>
      <c r="T25" s="133">
        <f t="shared" si="218"/>
        <v>4959</v>
      </c>
      <c r="U25" s="133">
        <f t="shared" si="218"/>
        <v>4959</v>
      </c>
      <c r="V25" s="133">
        <f>ROUND(U25*(1+取值表!$D$2)*取值表!$H$2,0)</f>
        <v>4926</v>
      </c>
      <c r="W25" s="133">
        <f t="shared" ref="W25:Y25" si="219">V25</f>
        <v>4926</v>
      </c>
      <c r="X25" s="133">
        <f t="shared" si="219"/>
        <v>4926</v>
      </c>
      <c r="Y25" s="133">
        <f t="shared" si="219"/>
        <v>4926</v>
      </c>
      <c r="Z25" s="133">
        <f>ROUND(Y25*(1+取值表!$D$2)*取值表!$H$2,0)</f>
        <v>4893</v>
      </c>
      <c r="AA25" s="133">
        <f t="shared" ref="AA25:AC25" si="220">Z25</f>
        <v>4893</v>
      </c>
      <c r="AB25" s="133">
        <f t="shared" si="220"/>
        <v>4893</v>
      </c>
      <c r="AC25" s="133">
        <f t="shared" si="220"/>
        <v>4893</v>
      </c>
      <c r="AD25" s="133">
        <f>ROUND(AC25*(1+取值表!$D$2)*取值表!$H$2,0)</f>
        <v>4860</v>
      </c>
      <c r="AE25" s="133">
        <f t="shared" ref="AE25:AG25" si="221">AD25</f>
        <v>4860</v>
      </c>
      <c r="AF25" s="133">
        <f t="shared" si="221"/>
        <v>4860</v>
      </c>
      <c r="AG25" s="133">
        <f t="shared" si="221"/>
        <v>4860</v>
      </c>
      <c r="AH25" s="133">
        <f>ROUND(AG25*(1+取值表!$D$2)*取值表!$H$2,0)</f>
        <v>4828</v>
      </c>
      <c r="AI25" s="133">
        <f t="shared" ref="AI25:AK25" si="222">AH25</f>
        <v>4828</v>
      </c>
      <c r="AJ25" s="133">
        <f t="shared" si="222"/>
        <v>4828</v>
      </c>
      <c r="AK25" s="133">
        <f t="shared" si="222"/>
        <v>4828</v>
      </c>
      <c r="AL25" s="133">
        <f>ROUND(AK25*(1+取值表!$D$2)*取值表!$H$2,0)</f>
        <v>4796</v>
      </c>
      <c r="AM25" s="133">
        <f t="shared" ref="AM25:AO25" si="223">AL25</f>
        <v>4796</v>
      </c>
      <c r="AN25" s="133">
        <f t="shared" si="223"/>
        <v>4796</v>
      </c>
      <c r="AO25" s="133">
        <f t="shared" si="223"/>
        <v>4796</v>
      </c>
      <c r="AP25" s="133">
        <f>ROUND(AO25*(1+取值表!$D$2)*取值表!$H$2,0)</f>
        <v>4764</v>
      </c>
      <c r="AQ25" s="133">
        <f t="shared" ref="AQ25:AS25" si="224">AP25</f>
        <v>4764</v>
      </c>
      <c r="AR25" s="133">
        <f t="shared" si="224"/>
        <v>4764</v>
      </c>
      <c r="AS25" s="133">
        <f t="shared" si="224"/>
        <v>4764</v>
      </c>
      <c r="AT25" s="133">
        <f>ROUND(AS25*(1+取值表!$D$2)*取值表!$H$2,0)</f>
        <v>4732</v>
      </c>
      <c r="AU25" s="133">
        <f t="shared" ref="AU25:AW25" si="225">AT25</f>
        <v>4732</v>
      </c>
      <c r="AV25" s="133">
        <f t="shared" si="225"/>
        <v>4732</v>
      </c>
      <c r="AW25" s="133">
        <f t="shared" si="225"/>
        <v>4732</v>
      </c>
      <c r="AX25" s="133">
        <f>ROUND(AW25*(1+取值表!$D$2)*取值表!$H$2,0)</f>
        <v>4700</v>
      </c>
      <c r="AY25" s="133">
        <f t="shared" ref="AY25:BA25" si="226">AX25</f>
        <v>4700</v>
      </c>
      <c r="AZ25" s="133">
        <f t="shared" si="226"/>
        <v>4700</v>
      </c>
      <c r="BA25" s="133">
        <f t="shared" si="226"/>
        <v>4700</v>
      </c>
      <c r="BB25" s="133">
        <f>ROUND(BA25*(1+取值表!$D$2)*取值表!$H$2,0)</f>
        <v>4669</v>
      </c>
      <c r="BC25" s="133">
        <f t="shared" ref="BC25:BE25" si="227">BB25</f>
        <v>4669</v>
      </c>
      <c r="BD25" s="133">
        <f t="shared" si="227"/>
        <v>4669</v>
      </c>
      <c r="BE25" s="133">
        <f t="shared" si="227"/>
        <v>4669</v>
      </c>
      <c r="BF25" s="133">
        <f>ROUND(BE25*(1+取值表!$D$2)*取值表!$H$2,0)</f>
        <v>4638</v>
      </c>
      <c r="BG25" s="133">
        <f t="shared" ref="BG25:BI25" si="228">BF25</f>
        <v>4638</v>
      </c>
      <c r="BH25" s="133">
        <f t="shared" si="228"/>
        <v>4638</v>
      </c>
      <c r="BI25" s="133">
        <f t="shared" si="228"/>
        <v>4638</v>
      </c>
      <c r="BJ25" s="133">
        <f>ROUND(BI25*(1+取值表!$D$2)*取值表!$H$2,0)</f>
        <v>4607</v>
      </c>
      <c r="BK25" s="133">
        <f t="shared" ref="BK25:BM25" si="229">BJ25</f>
        <v>4607</v>
      </c>
      <c r="BL25" s="133">
        <f t="shared" si="229"/>
        <v>4607</v>
      </c>
      <c r="BM25" s="133">
        <f t="shared" si="229"/>
        <v>4607</v>
      </c>
      <c r="BN25" s="133">
        <f>ROUND(BM25*(1+取值表!$D$2)*取值表!$H$2,0)</f>
        <v>4576</v>
      </c>
      <c r="BO25" s="133">
        <f t="shared" ref="BO25:BQ25" si="230">BN25</f>
        <v>4576</v>
      </c>
      <c r="BP25" s="133">
        <f t="shared" si="230"/>
        <v>4576</v>
      </c>
      <c r="BQ25" s="133">
        <f t="shared" si="230"/>
        <v>4576</v>
      </c>
      <c r="BR25" s="133">
        <f>ROUND(BQ25*(1+取值表!$D$2)*取值表!$H$2,0)</f>
        <v>4545</v>
      </c>
      <c r="BS25" s="133">
        <f t="shared" ref="BS25:BU25" si="231">BR25</f>
        <v>4545</v>
      </c>
      <c r="BT25" s="133">
        <f t="shared" si="231"/>
        <v>4545</v>
      </c>
      <c r="BU25" s="133">
        <f t="shared" si="231"/>
        <v>4545</v>
      </c>
      <c r="BV25" s="133">
        <f>ROUND(BU25*(1+取值表!$D$2)*取值表!$H$2,0)</f>
        <v>4515</v>
      </c>
      <c r="BW25" s="133">
        <f t="shared" ref="BW25:BY25" si="232">BV25</f>
        <v>4515</v>
      </c>
      <c r="BX25" s="133">
        <f t="shared" si="232"/>
        <v>4515</v>
      </c>
      <c r="BY25" s="133">
        <f t="shared" si="232"/>
        <v>4515</v>
      </c>
      <c r="BZ25" s="133">
        <f>ROUND(BY25*(1+取值表!$D$2)*取值表!$H$2,0)</f>
        <v>4485</v>
      </c>
      <c r="CA25" s="133">
        <f t="shared" ref="CA25:CC25" si="233">BZ25</f>
        <v>4485</v>
      </c>
      <c r="CB25" s="133">
        <f t="shared" si="233"/>
        <v>4485</v>
      </c>
      <c r="CC25" s="133">
        <f t="shared" si="233"/>
        <v>4485</v>
      </c>
      <c r="CD25" s="133">
        <f>ROUND(CC25*(1+取值表!$D$2)*取值表!$H$2,0)</f>
        <v>4455</v>
      </c>
      <c r="CE25" s="133">
        <f t="shared" ref="CE25:CG25" si="234">CD25</f>
        <v>4455</v>
      </c>
      <c r="CF25" s="133">
        <f t="shared" si="234"/>
        <v>4455</v>
      </c>
      <c r="CG25" s="133">
        <f t="shared" si="234"/>
        <v>4455</v>
      </c>
      <c r="CH25" s="133">
        <f>ROUND(CG25*(1+取值表!$D$2)*取值表!$H$2,0)</f>
        <v>4425</v>
      </c>
      <c r="CI25" s="133">
        <f t="shared" ref="CI25:CK25" si="235">CH25</f>
        <v>4425</v>
      </c>
      <c r="CJ25" s="133">
        <f t="shared" si="235"/>
        <v>4425</v>
      </c>
      <c r="CK25" s="133">
        <f t="shared" si="235"/>
        <v>4425</v>
      </c>
      <c r="CL25" s="133">
        <f>ROUND(CK25*(1+取值表!$D$2)*取值表!$H$2,0)</f>
        <v>4396</v>
      </c>
      <c r="CM25" s="133">
        <f t="shared" ref="CM25:CO25" si="236">CL25</f>
        <v>4396</v>
      </c>
      <c r="CN25" s="133">
        <f t="shared" si="236"/>
        <v>4396</v>
      </c>
      <c r="CO25" s="133">
        <f t="shared" si="236"/>
        <v>4396</v>
      </c>
      <c r="CP25" s="134">
        <f t="shared" si="20"/>
        <v>395144</v>
      </c>
    </row>
    <row r="26" spans="1:94" s="72" customFormat="1" ht="12.75">
      <c r="A26" s="402"/>
      <c r="B26" s="406"/>
      <c r="C26" s="400"/>
      <c r="D26" s="401"/>
      <c r="E26" s="398"/>
      <c r="F26" s="399"/>
      <c r="G26" s="399"/>
      <c r="H26" s="405"/>
      <c r="I26" s="129"/>
      <c r="J26" s="131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4">
        <f t="shared" si="20"/>
        <v>0</v>
      </c>
    </row>
    <row r="27" spans="1:94" s="72" customFormat="1" ht="12" customHeight="1">
      <c r="A27" s="402">
        <v>13</v>
      </c>
      <c r="B27" s="406" t="s">
        <v>916</v>
      </c>
      <c r="C27" s="400" t="s">
        <v>917</v>
      </c>
      <c r="D27" s="401" t="s">
        <v>402</v>
      </c>
      <c r="E27" s="398" t="s">
        <v>400</v>
      </c>
      <c r="F27" s="399">
        <v>11.89</v>
      </c>
      <c r="G27" s="399">
        <f>H27/365/F27</f>
        <v>3.1232876712328768</v>
      </c>
      <c r="H27" s="405">
        <v>13554.6</v>
      </c>
      <c r="I27" s="129"/>
      <c r="J27" s="131">
        <f>ROUND(13554.6/4,0)</f>
        <v>3389</v>
      </c>
      <c r="K27" s="132">
        <f>J27</f>
        <v>3389</v>
      </c>
      <c r="L27" s="133">
        <f>K27</f>
        <v>3389</v>
      </c>
      <c r="M27" s="133">
        <f>L27</f>
        <v>3389</v>
      </c>
      <c r="N27" s="133">
        <f>ROUND(M27*(1+取值表!$D$2)*取值表!$H$2,0)</f>
        <v>3366</v>
      </c>
      <c r="O27" s="133">
        <f>N27</f>
        <v>3366</v>
      </c>
      <c r="P27" s="133">
        <f t="shared" ref="P27:Q27" si="237">O27</f>
        <v>3366</v>
      </c>
      <c r="Q27" s="133">
        <f t="shared" si="237"/>
        <v>3366</v>
      </c>
      <c r="R27" s="133">
        <f>ROUND(Q27*(1+取值表!$D$2)*取值表!$H$2,0)</f>
        <v>3344</v>
      </c>
      <c r="S27" s="133">
        <f t="shared" ref="S27:U27" si="238">R27</f>
        <v>3344</v>
      </c>
      <c r="T27" s="133">
        <f t="shared" si="238"/>
        <v>3344</v>
      </c>
      <c r="U27" s="133">
        <f t="shared" si="238"/>
        <v>3344</v>
      </c>
      <c r="V27" s="133">
        <f>ROUND(U27*(1+取值表!$D$2)*取值表!$H$2,0)</f>
        <v>3322</v>
      </c>
      <c r="W27" s="133">
        <f t="shared" ref="W27:Y27" si="239">V27</f>
        <v>3322</v>
      </c>
      <c r="X27" s="133">
        <f t="shared" si="239"/>
        <v>3322</v>
      </c>
      <c r="Y27" s="133">
        <f t="shared" si="239"/>
        <v>3322</v>
      </c>
      <c r="Z27" s="133">
        <f>ROUND(Y27*(1+取值表!$D$2)*取值表!$H$2,0)</f>
        <v>3300</v>
      </c>
      <c r="AA27" s="133">
        <f t="shared" ref="AA27:AC27" si="240">Z27</f>
        <v>3300</v>
      </c>
      <c r="AB27" s="133">
        <f t="shared" si="240"/>
        <v>3300</v>
      </c>
      <c r="AC27" s="133">
        <f t="shared" si="240"/>
        <v>3300</v>
      </c>
      <c r="AD27" s="133">
        <f>ROUND(AC27*(1+取值表!$D$2)*取值表!$H$2,0)</f>
        <v>3278</v>
      </c>
      <c r="AE27" s="133">
        <f t="shared" ref="AE27:AG27" si="241">AD27</f>
        <v>3278</v>
      </c>
      <c r="AF27" s="133">
        <f t="shared" si="241"/>
        <v>3278</v>
      </c>
      <c r="AG27" s="133">
        <f t="shared" si="241"/>
        <v>3278</v>
      </c>
      <c r="AH27" s="133">
        <f>ROUND(AG27*(1+取值表!$D$2)*取值表!$H$2,0)</f>
        <v>3256</v>
      </c>
      <c r="AI27" s="133">
        <f t="shared" ref="AI27:AK27" si="242">AH27</f>
        <v>3256</v>
      </c>
      <c r="AJ27" s="133">
        <f t="shared" si="242"/>
        <v>3256</v>
      </c>
      <c r="AK27" s="133">
        <f t="shared" si="242"/>
        <v>3256</v>
      </c>
      <c r="AL27" s="133">
        <f>ROUND(AK27*(1+取值表!$D$2)*取值表!$H$2,0)</f>
        <v>3234</v>
      </c>
      <c r="AM27" s="133">
        <f t="shared" ref="AM27:AO27" si="243">AL27</f>
        <v>3234</v>
      </c>
      <c r="AN27" s="133">
        <f t="shared" si="243"/>
        <v>3234</v>
      </c>
      <c r="AO27" s="133">
        <f t="shared" si="243"/>
        <v>3234</v>
      </c>
      <c r="AP27" s="133">
        <f>ROUND(AO27*(1+取值表!$D$2)*取值表!$H$2,0)</f>
        <v>3212</v>
      </c>
      <c r="AQ27" s="133">
        <f t="shared" ref="AQ27:AS27" si="244">AP27</f>
        <v>3212</v>
      </c>
      <c r="AR27" s="133">
        <f t="shared" si="244"/>
        <v>3212</v>
      </c>
      <c r="AS27" s="133">
        <f t="shared" si="244"/>
        <v>3212</v>
      </c>
      <c r="AT27" s="133">
        <f>ROUND(AS27*(1+取值表!$D$2)*取值表!$H$2,0)</f>
        <v>3191</v>
      </c>
      <c r="AU27" s="133">
        <f t="shared" ref="AU27:AW27" si="245">AT27</f>
        <v>3191</v>
      </c>
      <c r="AV27" s="133">
        <f t="shared" si="245"/>
        <v>3191</v>
      </c>
      <c r="AW27" s="133">
        <f t="shared" si="245"/>
        <v>3191</v>
      </c>
      <c r="AX27" s="133">
        <f>ROUND(AW27*(1+取值表!$D$2)*取值表!$H$2,0)</f>
        <v>3170</v>
      </c>
      <c r="AY27" s="133">
        <f t="shared" ref="AY27:BA27" si="246">AX27</f>
        <v>3170</v>
      </c>
      <c r="AZ27" s="133">
        <f t="shared" si="246"/>
        <v>3170</v>
      </c>
      <c r="BA27" s="133">
        <f t="shared" si="246"/>
        <v>3170</v>
      </c>
      <c r="BB27" s="133">
        <f>ROUND(BA27*(1+取值表!$D$2)*取值表!$H$2,0)</f>
        <v>3149</v>
      </c>
      <c r="BC27" s="133">
        <f t="shared" ref="BC27:BE27" si="247">BB27</f>
        <v>3149</v>
      </c>
      <c r="BD27" s="133">
        <f t="shared" si="247"/>
        <v>3149</v>
      </c>
      <c r="BE27" s="133">
        <f t="shared" si="247"/>
        <v>3149</v>
      </c>
      <c r="BF27" s="133">
        <f>ROUND(BE27*(1+取值表!$D$2)*取值表!$H$2,0)</f>
        <v>3128</v>
      </c>
      <c r="BG27" s="133">
        <f t="shared" ref="BG27:BI27" si="248">BF27</f>
        <v>3128</v>
      </c>
      <c r="BH27" s="133">
        <f t="shared" si="248"/>
        <v>3128</v>
      </c>
      <c r="BI27" s="133">
        <f t="shared" si="248"/>
        <v>3128</v>
      </c>
      <c r="BJ27" s="133">
        <f>ROUND(BI27*(1+取值表!$D$2)*取值表!$H$2,0)</f>
        <v>3107</v>
      </c>
      <c r="BK27" s="133">
        <f t="shared" ref="BK27:BM27" si="249">BJ27</f>
        <v>3107</v>
      </c>
      <c r="BL27" s="133">
        <f t="shared" si="249"/>
        <v>3107</v>
      </c>
      <c r="BM27" s="133">
        <f t="shared" si="249"/>
        <v>3107</v>
      </c>
      <c r="BN27" s="133">
        <f>ROUND(BM27*(1+取值表!$D$2)*取值表!$H$2,0)</f>
        <v>3086</v>
      </c>
      <c r="BO27" s="133">
        <f t="shared" ref="BO27:BQ27" si="250">BN27</f>
        <v>3086</v>
      </c>
      <c r="BP27" s="133">
        <f t="shared" si="250"/>
        <v>3086</v>
      </c>
      <c r="BQ27" s="133">
        <f t="shared" si="250"/>
        <v>3086</v>
      </c>
      <c r="BR27" s="133">
        <f>ROUND(BQ27*(1+取值表!$D$2)*取值表!$H$2,0)</f>
        <v>3065</v>
      </c>
      <c r="BS27" s="133">
        <f t="shared" ref="BS27:BU27" si="251">BR27</f>
        <v>3065</v>
      </c>
      <c r="BT27" s="133">
        <f t="shared" si="251"/>
        <v>3065</v>
      </c>
      <c r="BU27" s="133">
        <f t="shared" si="251"/>
        <v>3065</v>
      </c>
      <c r="BV27" s="133">
        <f>ROUND(BU27*(1+取值表!$D$2)*取值表!$H$2,0)</f>
        <v>3045</v>
      </c>
      <c r="BW27" s="133">
        <f t="shared" ref="BW27:BY27" si="252">BV27</f>
        <v>3045</v>
      </c>
      <c r="BX27" s="133">
        <f t="shared" si="252"/>
        <v>3045</v>
      </c>
      <c r="BY27" s="133">
        <f t="shared" si="252"/>
        <v>3045</v>
      </c>
      <c r="BZ27" s="133">
        <f>ROUND(BY27*(1+取值表!$D$2)*取值表!$H$2,0)</f>
        <v>3025</v>
      </c>
      <c r="CA27" s="133">
        <f t="shared" ref="CA27:CC27" si="253">BZ27</f>
        <v>3025</v>
      </c>
      <c r="CB27" s="133">
        <f t="shared" si="253"/>
        <v>3025</v>
      </c>
      <c r="CC27" s="133">
        <f t="shared" si="253"/>
        <v>3025</v>
      </c>
      <c r="CD27" s="133">
        <f>ROUND(CC27*(1+取值表!$D$2)*取值表!$H$2,0)</f>
        <v>3005</v>
      </c>
      <c r="CE27" s="133">
        <f t="shared" ref="CE27:CG27" si="254">CD27</f>
        <v>3005</v>
      </c>
      <c r="CF27" s="133">
        <f t="shared" si="254"/>
        <v>3005</v>
      </c>
      <c r="CG27" s="133">
        <f t="shared" si="254"/>
        <v>3005</v>
      </c>
      <c r="CH27" s="133">
        <f>ROUND(CG27*(1+取值表!$D$2)*取值表!$H$2,0)</f>
        <v>2985</v>
      </c>
      <c r="CI27" s="133">
        <f t="shared" ref="CI27:CK27" si="255">CH27</f>
        <v>2985</v>
      </c>
      <c r="CJ27" s="133">
        <f t="shared" si="255"/>
        <v>2985</v>
      </c>
      <c r="CK27" s="133">
        <f t="shared" si="255"/>
        <v>2985</v>
      </c>
      <c r="CL27" s="133">
        <f>ROUND(CK27*(1+取值表!$D$2)*取值表!$H$2,0)</f>
        <v>2965</v>
      </c>
      <c r="CM27" s="133">
        <f t="shared" ref="CM27:CO27" si="256">CL27</f>
        <v>2965</v>
      </c>
      <c r="CN27" s="133">
        <f t="shared" si="256"/>
        <v>2965</v>
      </c>
      <c r="CO27" s="133">
        <f t="shared" si="256"/>
        <v>2965</v>
      </c>
      <c r="CP27" s="134">
        <f t="shared" si="20"/>
        <v>266488</v>
      </c>
    </row>
    <row r="28" spans="1:94" s="72" customFormat="1" ht="12.75">
      <c r="A28" s="402"/>
      <c r="B28" s="406"/>
      <c r="C28" s="400"/>
      <c r="D28" s="401"/>
      <c r="E28" s="398"/>
      <c r="F28" s="399"/>
      <c r="G28" s="399"/>
      <c r="H28" s="405"/>
      <c r="I28" s="129"/>
      <c r="J28" s="131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4">
        <f t="shared" si="20"/>
        <v>0</v>
      </c>
    </row>
    <row r="29" spans="1:94" s="72" customFormat="1" ht="12" customHeight="1">
      <c r="A29" s="402">
        <v>14</v>
      </c>
      <c r="B29" s="406" t="s">
        <v>918</v>
      </c>
      <c r="C29" s="400" t="s">
        <v>919</v>
      </c>
      <c r="D29" s="401" t="s">
        <v>409</v>
      </c>
      <c r="E29" s="398" t="s">
        <v>400</v>
      </c>
      <c r="F29" s="399">
        <v>13.65</v>
      </c>
      <c r="G29" s="399">
        <f>H29/365/F29</f>
        <v>3.1232876712328768</v>
      </c>
      <c r="H29" s="405">
        <v>15561</v>
      </c>
      <c r="I29" s="129"/>
      <c r="J29" s="131">
        <f>ROUND(15561/4,0)</f>
        <v>3890</v>
      </c>
      <c r="K29" s="132">
        <f>J29</f>
        <v>3890</v>
      </c>
      <c r="L29" s="133">
        <f>K29</f>
        <v>3890</v>
      </c>
      <c r="M29" s="133">
        <f>L29</f>
        <v>3890</v>
      </c>
      <c r="N29" s="133">
        <f>ROUND(M29*(1+取值表!$D$2)*取值表!$H$2,0)</f>
        <v>3864</v>
      </c>
      <c r="O29" s="133">
        <f>N29</f>
        <v>3864</v>
      </c>
      <c r="P29" s="133">
        <f t="shared" ref="P29:Q29" si="257">O29</f>
        <v>3864</v>
      </c>
      <c r="Q29" s="133">
        <f t="shared" si="257"/>
        <v>3864</v>
      </c>
      <c r="R29" s="133">
        <f>ROUND(Q29*(1+取值表!$D$2)*取值表!$H$2,0)</f>
        <v>3838</v>
      </c>
      <c r="S29" s="133">
        <f t="shared" ref="S29:U29" si="258">R29</f>
        <v>3838</v>
      </c>
      <c r="T29" s="133">
        <f t="shared" si="258"/>
        <v>3838</v>
      </c>
      <c r="U29" s="133">
        <f t="shared" si="258"/>
        <v>3838</v>
      </c>
      <c r="V29" s="133">
        <f>ROUND(U29*(1+取值表!$D$2)*取值表!$H$2,0)</f>
        <v>3812</v>
      </c>
      <c r="W29" s="133">
        <f t="shared" ref="W29:Y29" si="259">V29</f>
        <v>3812</v>
      </c>
      <c r="X29" s="133">
        <f t="shared" si="259"/>
        <v>3812</v>
      </c>
      <c r="Y29" s="133">
        <f t="shared" si="259"/>
        <v>3812</v>
      </c>
      <c r="Z29" s="133">
        <f>ROUND(Y29*(1+取值表!$D$2)*取值表!$H$2,0)</f>
        <v>3787</v>
      </c>
      <c r="AA29" s="133">
        <f t="shared" ref="AA29:AC29" si="260">Z29</f>
        <v>3787</v>
      </c>
      <c r="AB29" s="133">
        <f t="shared" si="260"/>
        <v>3787</v>
      </c>
      <c r="AC29" s="133">
        <f t="shared" si="260"/>
        <v>3787</v>
      </c>
      <c r="AD29" s="133">
        <f>ROUND(AC29*(1+取值表!$D$2)*取值表!$H$2,0)</f>
        <v>3762</v>
      </c>
      <c r="AE29" s="133">
        <f t="shared" ref="AE29:AG29" si="261">AD29</f>
        <v>3762</v>
      </c>
      <c r="AF29" s="133">
        <f t="shared" si="261"/>
        <v>3762</v>
      </c>
      <c r="AG29" s="133">
        <f t="shared" si="261"/>
        <v>3762</v>
      </c>
      <c r="AH29" s="133">
        <f>ROUND(AG29*(1+取值表!$D$2)*取值表!$H$2,0)</f>
        <v>3737</v>
      </c>
      <c r="AI29" s="133">
        <f t="shared" ref="AI29:AK29" si="262">AH29</f>
        <v>3737</v>
      </c>
      <c r="AJ29" s="133">
        <f t="shared" si="262"/>
        <v>3737</v>
      </c>
      <c r="AK29" s="133">
        <f t="shared" si="262"/>
        <v>3737</v>
      </c>
      <c r="AL29" s="133">
        <f>ROUND(AK29*(1+取值表!$D$2)*取值表!$H$2,0)</f>
        <v>3712</v>
      </c>
      <c r="AM29" s="133">
        <f t="shared" ref="AM29:AO29" si="263">AL29</f>
        <v>3712</v>
      </c>
      <c r="AN29" s="133">
        <f t="shared" si="263"/>
        <v>3712</v>
      </c>
      <c r="AO29" s="133">
        <f t="shared" si="263"/>
        <v>3712</v>
      </c>
      <c r="AP29" s="133">
        <f>ROUND(AO29*(1+取值表!$D$2)*取值表!$H$2,0)</f>
        <v>3687</v>
      </c>
      <c r="AQ29" s="133">
        <f t="shared" ref="AQ29:AS29" si="264">AP29</f>
        <v>3687</v>
      </c>
      <c r="AR29" s="133">
        <f t="shared" si="264"/>
        <v>3687</v>
      </c>
      <c r="AS29" s="133">
        <f t="shared" si="264"/>
        <v>3687</v>
      </c>
      <c r="AT29" s="133">
        <f>ROUND(AS29*(1+取值表!$D$2)*取值表!$H$2,0)</f>
        <v>3662</v>
      </c>
      <c r="AU29" s="133">
        <f t="shared" ref="AU29:AW29" si="265">AT29</f>
        <v>3662</v>
      </c>
      <c r="AV29" s="133">
        <f t="shared" si="265"/>
        <v>3662</v>
      </c>
      <c r="AW29" s="133">
        <f t="shared" si="265"/>
        <v>3662</v>
      </c>
      <c r="AX29" s="133">
        <f>ROUND(AW29*(1+取值表!$D$2)*取值表!$H$2,0)</f>
        <v>3638</v>
      </c>
      <c r="AY29" s="133">
        <f t="shared" ref="AY29:BA29" si="266">AX29</f>
        <v>3638</v>
      </c>
      <c r="AZ29" s="133">
        <f t="shared" si="266"/>
        <v>3638</v>
      </c>
      <c r="BA29" s="133">
        <f t="shared" si="266"/>
        <v>3638</v>
      </c>
      <c r="BB29" s="133">
        <f>ROUND(BA29*(1+取值表!$D$2)*取值表!$H$2,0)</f>
        <v>3614</v>
      </c>
      <c r="BC29" s="133">
        <f t="shared" ref="BC29:BE29" si="267">BB29</f>
        <v>3614</v>
      </c>
      <c r="BD29" s="133">
        <f t="shared" si="267"/>
        <v>3614</v>
      </c>
      <c r="BE29" s="133">
        <f t="shared" si="267"/>
        <v>3614</v>
      </c>
      <c r="BF29" s="133">
        <f>ROUND(BE29*(1+取值表!$D$2)*取值表!$H$2,0)</f>
        <v>3590</v>
      </c>
      <c r="BG29" s="133">
        <f t="shared" ref="BG29:BI29" si="268">BF29</f>
        <v>3590</v>
      </c>
      <c r="BH29" s="133">
        <f t="shared" si="268"/>
        <v>3590</v>
      </c>
      <c r="BI29" s="133">
        <f t="shared" si="268"/>
        <v>3590</v>
      </c>
      <c r="BJ29" s="133">
        <f>ROUND(BI29*(1+取值表!$D$2)*取值表!$H$2,0)</f>
        <v>3566</v>
      </c>
      <c r="BK29" s="133">
        <f t="shared" ref="BK29:BM29" si="269">BJ29</f>
        <v>3566</v>
      </c>
      <c r="BL29" s="133">
        <f t="shared" si="269"/>
        <v>3566</v>
      </c>
      <c r="BM29" s="133">
        <f t="shared" si="269"/>
        <v>3566</v>
      </c>
      <c r="BN29" s="133">
        <f>ROUND(BM29*(1+取值表!$D$2)*取值表!$H$2,0)</f>
        <v>3542</v>
      </c>
      <c r="BO29" s="133">
        <f t="shared" ref="BO29:BQ29" si="270">BN29</f>
        <v>3542</v>
      </c>
      <c r="BP29" s="133">
        <f t="shared" si="270"/>
        <v>3542</v>
      </c>
      <c r="BQ29" s="133">
        <f t="shared" si="270"/>
        <v>3542</v>
      </c>
      <c r="BR29" s="133">
        <f>ROUND(BQ29*(1+取值表!$D$2)*取值表!$H$2,0)</f>
        <v>3518</v>
      </c>
      <c r="BS29" s="133">
        <f t="shared" ref="BS29:BU29" si="271">BR29</f>
        <v>3518</v>
      </c>
      <c r="BT29" s="133">
        <f t="shared" si="271"/>
        <v>3518</v>
      </c>
      <c r="BU29" s="133">
        <f t="shared" si="271"/>
        <v>3518</v>
      </c>
      <c r="BV29" s="133">
        <f>ROUND(BU29*(1+取值表!$D$2)*取值表!$H$2,0)</f>
        <v>3495</v>
      </c>
      <c r="BW29" s="133">
        <f t="shared" ref="BW29:BY29" si="272">BV29</f>
        <v>3495</v>
      </c>
      <c r="BX29" s="133">
        <f t="shared" si="272"/>
        <v>3495</v>
      </c>
      <c r="BY29" s="133">
        <f t="shared" si="272"/>
        <v>3495</v>
      </c>
      <c r="BZ29" s="133">
        <f>ROUND(BY29*(1+取值表!$D$2)*取值表!$H$2,0)</f>
        <v>3472</v>
      </c>
      <c r="CA29" s="133">
        <f t="shared" ref="CA29:CC29" si="273">BZ29</f>
        <v>3472</v>
      </c>
      <c r="CB29" s="133">
        <f t="shared" si="273"/>
        <v>3472</v>
      </c>
      <c r="CC29" s="133">
        <f t="shared" si="273"/>
        <v>3472</v>
      </c>
      <c r="CD29" s="133">
        <f>ROUND(CC29*(1+取值表!$D$2)*取值表!$H$2,0)</f>
        <v>3449</v>
      </c>
      <c r="CE29" s="133">
        <f t="shared" ref="CE29:CG29" si="274">CD29</f>
        <v>3449</v>
      </c>
      <c r="CF29" s="133">
        <f t="shared" si="274"/>
        <v>3449</v>
      </c>
      <c r="CG29" s="133">
        <f t="shared" si="274"/>
        <v>3449</v>
      </c>
      <c r="CH29" s="133">
        <f>ROUND(CG29*(1+取值表!$D$2)*取值表!$H$2,0)</f>
        <v>3426</v>
      </c>
      <c r="CI29" s="133">
        <f t="shared" ref="CI29:CK29" si="275">CH29</f>
        <v>3426</v>
      </c>
      <c r="CJ29" s="133">
        <f t="shared" si="275"/>
        <v>3426</v>
      </c>
      <c r="CK29" s="133">
        <f t="shared" si="275"/>
        <v>3426</v>
      </c>
      <c r="CL29" s="133">
        <f>ROUND(CK29*(1+取值表!$D$2)*取值表!$H$2,0)</f>
        <v>3403</v>
      </c>
      <c r="CM29" s="133">
        <f t="shared" ref="CM29:CO29" si="276">CL29</f>
        <v>3403</v>
      </c>
      <c r="CN29" s="133">
        <f t="shared" si="276"/>
        <v>3403</v>
      </c>
      <c r="CO29" s="133">
        <f t="shared" si="276"/>
        <v>3403</v>
      </c>
      <c r="CP29" s="134">
        <f t="shared" si="20"/>
        <v>305856</v>
      </c>
    </row>
    <row r="30" spans="1:94" s="72" customFormat="1" ht="12.75">
      <c r="A30" s="402"/>
      <c r="B30" s="406"/>
      <c r="C30" s="400"/>
      <c r="D30" s="401"/>
      <c r="E30" s="398"/>
      <c r="F30" s="399"/>
      <c r="G30" s="399"/>
      <c r="H30" s="405"/>
      <c r="I30" s="129"/>
      <c r="J30" s="131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4">
        <f t="shared" si="20"/>
        <v>0</v>
      </c>
    </row>
    <row r="31" spans="1:94" s="72" customFormat="1" ht="13.5" customHeight="1">
      <c r="A31" s="402">
        <v>15</v>
      </c>
      <c r="B31" s="414" t="s">
        <v>920</v>
      </c>
      <c r="C31" s="400" t="s">
        <v>907</v>
      </c>
      <c r="D31" s="401" t="s">
        <v>410</v>
      </c>
      <c r="E31" s="398" t="s">
        <v>400</v>
      </c>
      <c r="F31" s="399">
        <v>16</v>
      </c>
      <c r="G31" s="399">
        <f>H31/365/F31</f>
        <v>3.1232876712328768</v>
      </c>
      <c r="H31" s="405">
        <v>18240</v>
      </c>
      <c r="I31" s="129"/>
      <c r="J31" s="131">
        <f>ROUND(18240/4,0)</f>
        <v>4560</v>
      </c>
      <c r="K31" s="132">
        <f>J31</f>
        <v>4560</v>
      </c>
      <c r="L31" s="133">
        <f>K31</f>
        <v>4560</v>
      </c>
      <c r="M31" s="133">
        <f>L31</f>
        <v>4560</v>
      </c>
      <c r="N31" s="133">
        <f>ROUND(M31*(1+取值表!$D$2)*取值表!$H$2,0)</f>
        <v>4530</v>
      </c>
      <c r="O31" s="133">
        <f>N31</f>
        <v>4530</v>
      </c>
      <c r="P31" s="133">
        <f t="shared" ref="P31:Q31" si="277">O31</f>
        <v>4530</v>
      </c>
      <c r="Q31" s="133">
        <f t="shared" si="277"/>
        <v>4530</v>
      </c>
      <c r="R31" s="133">
        <f>ROUND(Q31*(1+取值表!$D$2)*取值表!$H$2,0)</f>
        <v>4500</v>
      </c>
      <c r="S31" s="133">
        <f t="shared" ref="S31:U31" si="278">R31</f>
        <v>4500</v>
      </c>
      <c r="T31" s="133">
        <f t="shared" si="278"/>
        <v>4500</v>
      </c>
      <c r="U31" s="133">
        <f t="shared" si="278"/>
        <v>4500</v>
      </c>
      <c r="V31" s="133">
        <f>ROUND(U31*(1+取值表!$D$2)*取值表!$H$2,0)</f>
        <v>4470</v>
      </c>
      <c r="W31" s="133">
        <f t="shared" ref="W31:Y31" si="279">V31</f>
        <v>4470</v>
      </c>
      <c r="X31" s="133">
        <f t="shared" si="279"/>
        <v>4470</v>
      </c>
      <c r="Y31" s="133">
        <f t="shared" si="279"/>
        <v>4470</v>
      </c>
      <c r="Z31" s="133">
        <f>ROUND(Y31*(1+取值表!$D$2)*取值表!$H$2,0)</f>
        <v>4440</v>
      </c>
      <c r="AA31" s="133">
        <f t="shared" ref="AA31:AC31" si="280">Z31</f>
        <v>4440</v>
      </c>
      <c r="AB31" s="133">
        <f t="shared" si="280"/>
        <v>4440</v>
      </c>
      <c r="AC31" s="133">
        <f t="shared" si="280"/>
        <v>4440</v>
      </c>
      <c r="AD31" s="133">
        <f>ROUND(AC31*(1+取值表!$D$2)*取值表!$H$2,0)</f>
        <v>4410</v>
      </c>
      <c r="AE31" s="133">
        <f t="shared" ref="AE31:AG31" si="281">AD31</f>
        <v>4410</v>
      </c>
      <c r="AF31" s="133">
        <f t="shared" si="281"/>
        <v>4410</v>
      </c>
      <c r="AG31" s="133">
        <f t="shared" si="281"/>
        <v>4410</v>
      </c>
      <c r="AH31" s="133">
        <f>ROUND(AG31*(1+取值表!$D$2)*取值表!$H$2,0)</f>
        <v>4381</v>
      </c>
      <c r="AI31" s="133">
        <f t="shared" ref="AI31:AK31" si="282">AH31</f>
        <v>4381</v>
      </c>
      <c r="AJ31" s="133">
        <f t="shared" si="282"/>
        <v>4381</v>
      </c>
      <c r="AK31" s="133">
        <f t="shared" si="282"/>
        <v>4381</v>
      </c>
      <c r="AL31" s="133">
        <f>ROUND(AK31*(1+取值表!$D$2)*取值表!$H$2,0)</f>
        <v>4352</v>
      </c>
      <c r="AM31" s="133">
        <f t="shared" ref="AM31:AO31" si="283">AL31</f>
        <v>4352</v>
      </c>
      <c r="AN31" s="133">
        <f t="shared" si="283"/>
        <v>4352</v>
      </c>
      <c r="AO31" s="133">
        <f t="shared" si="283"/>
        <v>4352</v>
      </c>
      <c r="AP31" s="133">
        <f>ROUND(AO31*(1+取值表!$D$2)*取值表!$H$2,0)</f>
        <v>4323</v>
      </c>
      <c r="AQ31" s="133">
        <f t="shared" ref="AQ31:AS31" si="284">AP31</f>
        <v>4323</v>
      </c>
      <c r="AR31" s="133">
        <f t="shared" si="284"/>
        <v>4323</v>
      </c>
      <c r="AS31" s="133">
        <f t="shared" si="284"/>
        <v>4323</v>
      </c>
      <c r="AT31" s="133">
        <f>ROUND(AS31*(1+取值表!$D$2)*取值表!$H$2,0)</f>
        <v>4294</v>
      </c>
      <c r="AU31" s="133">
        <f t="shared" ref="AU31:AW31" si="285">AT31</f>
        <v>4294</v>
      </c>
      <c r="AV31" s="133">
        <f t="shared" si="285"/>
        <v>4294</v>
      </c>
      <c r="AW31" s="133">
        <f t="shared" si="285"/>
        <v>4294</v>
      </c>
      <c r="AX31" s="133">
        <f>ROUND(AW31*(1+取值表!$D$2)*取值表!$H$2,0)</f>
        <v>4265</v>
      </c>
      <c r="AY31" s="133">
        <f t="shared" ref="AY31:BA31" si="286">AX31</f>
        <v>4265</v>
      </c>
      <c r="AZ31" s="133">
        <f t="shared" si="286"/>
        <v>4265</v>
      </c>
      <c r="BA31" s="133">
        <f t="shared" si="286"/>
        <v>4265</v>
      </c>
      <c r="BB31" s="133">
        <f>ROUND(BA31*(1+取值表!$D$2)*取值表!$H$2,0)</f>
        <v>4237</v>
      </c>
      <c r="BC31" s="133">
        <f t="shared" ref="BC31:BE31" si="287">BB31</f>
        <v>4237</v>
      </c>
      <c r="BD31" s="133">
        <f t="shared" si="287"/>
        <v>4237</v>
      </c>
      <c r="BE31" s="133">
        <f t="shared" si="287"/>
        <v>4237</v>
      </c>
      <c r="BF31" s="133">
        <f>ROUND(BE31*(1+取值表!$D$2)*取值表!$H$2,0)</f>
        <v>4209</v>
      </c>
      <c r="BG31" s="133">
        <f t="shared" ref="BG31:BI31" si="288">BF31</f>
        <v>4209</v>
      </c>
      <c r="BH31" s="133">
        <f t="shared" si="288"/>
        <v>4209</v>
      </c>
      <c r="BI31" s="133">
        <f t="shared" si="288"/>
        <v>4209</v>
      </c>
      <c r="BJ31" s="133">
        <f>ROUND(BI31*(1+取值表!$D$2)*取值表!$H$2,0)</f>
        <v>4181</v>
      </c>
      <c r="BK31" s="133">
        <f t="shared" ref="BK31:BM31" si="289">BJ31</f>
        <v>4181</v>
      </c>
      <c r="BL31" s="133">
        <f t="shared" si="289"/>
        <v>4181</v>
      </c>
      <c r="BM31" s="133">
        <f t="shared" si="289"/>
        <v>4181</v>
      </c>
      <c r="BN31" s="133">
        <f>ROUND(BM31*(1+取值表!$D$2)*取值表!$H$2,0)</f>
        <v>4153</v>
      </c>
      <c r="BO31" s="133">
        <f t="shared" ref="BO31:BQ31" si="290">BN31</f>
        <v>4153</v>
      </c>
      <c r="BP31" s="133">
        <f t="shared" si="290"/>
        <v>4153</v>
      </c>
      <c r="BQ31" s="133">
        <f t="shared" si="290"/>
        <v>4153</v>
      </c>
      <c r="BR31" s="133">
        <f>ROUND(BQ31*(1+取值表!$D$2)*取值表!$H$2,0)</f>
        <v>4125</v>
      </c>
      <c r="BS31" s="133">
        <f t="shared" ref="BS31:BU31" si="291">BR31</f>
        <v>4125</v>
      </c>
      <c r="BT31" s="133">
        <f t="shared" si="291"/>
        <v>4125</v>
      </c>
      <c r="BU31" s="133">
        <f t="shared" si="291"/>
        <v>4125</v>
      </c>
      <c r="BV31" s="133">
        <f>ROUND(BU31*(1+取值表!$D$2)*取值表!$H$2,0)</f>
        <v>4098</v>
      </c>
      <c r="BW31" s="133">
        <f t="shared" ref="BW31:BY31" si="292">BV31</f>
        <v>4098</v>
      </c>
      <c r="BX31" s="133">
        <f t="shared" si="292"/>
        <v>4098</v>
      </c>
      <c r="BY31" s="133">
        <f t="shared" si="292"/>
        <v>4098</v>
      </c>
      <c r="BZ31" s="133">
        <f>ROUND(BY31*(1+取值表!$D$2)*取值表!$H$2,0)</f>
        <v>4071</v>
      </c>
      <c r="CA31" s="133">
        <f t="shared" ref="CA31:CC31" si="293">BZ31</f>
        <v>4071</v>
      </c>
      <c r="CB31" s="133">
        <f t="shared" si="293"/>
        <v>4071</v>
      </c>
      <c r="CC31" s="133">
        <f t="shared" si="293"/>
        <v>4071</v>
      </c>
      <c r="CD31" s="133">
        <f>ROUND(CC31*(1+取值表!$D$2)*取值表!$H$2,0)</f>
        <v>4044</v>
      </c>
      <c r="CE31" s="133">
        <f t="shared" ref="CE31:CG31" si="294">CD31</f>
        <v>4044</v>
      </c>
      <c r="CF31" s="133">
        <f t="shared" si="294"/>
        <v>4044</v>
      </c>
      <c r="CG31" s="133">
        <f t="shared" si="294"/>
        <v>4044</v>
      </c>
      <c r="CH31" s="133">
        <f>ROUND(CG31*(1+取值表!$D$2)*取值表!$H$2,0)</f>
        <v>4017</v>
      </c>
      <c r="CI31" s="133">
        <f t="shared" ref="CI31:CK31" si="295">CH31</f>
        <v>4017</v>
      </c>
      <c r="CJ31" s="133">
        <f t="shared" si="295"/>
        <v>4017</v>
      </c>
      <c r="CK31" s="133">
        <f t="shared" si="295"/>
        <v>4017</v>
      </c>
      <c r="CL31" s="133">
        <f>ROUND(CK31*(1+取值表!$D$2)*取值表!$H$2,0)</f>
        <v>3990</v>
      </c>
      <c r="CM31" s="133">
        <f t="shared" ref="CM31:CO31" si="296">CL31</f>
        <v>3990</v>
      </c>
      <c r="CN31" s="133">
        <f t="shared" si="296"/>
        <v>3990</v>
      </c>
      <c r="CO31" s="133">
        <f t="shared" si="296"/>
        <v>3990</v>
      </c>
      <c r="CP31" s="134">
        <f t="shared" si="20"/>
        <v>358600</v>
      </c>
    </row>
    <row r="32" spans="1:94" s="72" customFormat="1" ht="12.75">
      <c r="A32" s="402"/>
      <c r="B32" s="414"/>
      <c r="C32" s="400"/>
      <c r="D32" s="401"/>
      <c r="E32" s="398"/>
      <c r="F32" s="399"/>
      <c r="G32" s="399"/>
      <c r="H32" s="405"/>
      <c r="I32" s="129"/>
      <c r="J32" s="131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4">
        <f t="shared" si="20"/>
        <v>0</v>
      </c>
    </row>
    <row r="33" spans="1:94" s="72" customFormat="1" ht="12" customHeight="1">
      <c r="A33" s="402">
        <v>16</v>
      </c>
      <c r="B33" s="406" t="s">
        <v>921</v>
      </c>
      <c r="C33" s="400" t="s">
        <v>907</v>
      </c>
      <c r="D33" s="401" t="s">
        <v>411</v>
      </c>
      <c r="E33" s="398" t="s">
        <v>400</v>
      </c>
      <c r="F33" s="399">
        <v>16</v>
      </c>
      <c r="G33" s="399">
        <f>H33/365/F33</f>
        <v>3.1232876712328768</v>
      </c>
      <c r="H33" s="405">
        <v>18240</v>
      </c>
      <c r="I33" s="129"/>
      <c r="J33" s="131">
        <f>ROUND(18240/4,0)</f>
        <v>4560</v>
      </c>
      <c r="K33" s="133">
        <f>J33</f>
        <v>4560</v>
      </c>
      <c r="L33" s="132">
        <f>K33</f>
        <v>4560</v>
      </c>
      <c r="M33" s="133">
        <f>L33</f>
        <v>4560</v>
      </c>
      <c r="N33" s="133">
        <f>ROUND(M33*(1+取值表!$D$2)*取值表!$H$2,0)</f>
        <v>4530</v>
      </c>
      <c r="O33" s="133">
        <f>N33</f>
        <v>4530</v>
      </c>
      <c r="P33" s="133">
        <f t="shared" ref="P33:Q33" si="297">O33</f>
        <v>4530</v>
      </c>
      <c r="Q33" s="133">
        <f t="shared" si="297"/>
        <v>4530</v>
      </c>
      <c r="R33" s="133">
        <f>ROUND(Q33*(1+取值表!$D$2)*取值表!$H$2,0)</f>
        <v>4500</v>
      </c>
      <c r="S33" s="133">
        <f t="shared" ref="S33:U33" si="298">R33</f>
        <v>4500</v>
      </c>
      <c r="T33" s="133">
        <f t="shared" si="298"/>
        <v>4500</v>
      </c>
      <c r="U33" s="133">
        <f t="shared" si="298"/>
        <v>4500</v>
      </c>
      <c r="V33" s="133">
        <f>ROUND(U33*(1+取值表!$D$2)*取值表!$H$2,0)</f>
        <v>4470</v>
      </c>
      <c r="W33" s="133">
        <f t="shared" ref="W33:Y33" si="299">V33</f>
        <v>4470</v>
      </c>
      <c r="X33" s="133">
        <f t="shared" si="299"/>
        <v>4470</v>
      </c>
      <c r="Y33" s="133">
        <f t="shared" si="299"/>
        <v>4470</v>
      </c>
      <c r="Z33" s="133">
        <f>ROUND(Y33*(1+取值表!$D$2)*取值表!$H$2,0)</f>
        <v>4440</v>
      </c>
      <c r="AA33" s="133">
        <f t="shared" ref="AA33:AC33" si="300">Z33</f>
        <v>4440</v>
      </c>
      <c r="AB33" s="133">
        <f t="shared" si="300"/>
        <v>4440</v>
      </c>
      <c r="AC33" s="133">
        <f t="shared" si="300"/>
        <v>4440</v>
      </c>
      <c r="AD33" s="133">
        <f>ROUND(AC33*(1+取值表!$D$2)*取值表!$H$2,0)</f>
        <v>4410</v>
      </c>
      <c r="AE33" s="133">
        <f t="shared" ref="AE33:AG33" si="301">AD33</f>
        <v>4410</v>
      </c>
      <c r="AF33" s="133">
        <f t="shared" si="301"/>
        <v>4410</v>
      </c>
      <c r="AG33" s="133">
        <f t="shared" si="301"/>
        <v>4410</v>
      </c>
      <c r="AH33" s="133">
        <f>ROUND(AG33*(1+取值表!$D$2)*取值表!$H$2,0)</f>
        <v>4381</v>
      </c>
      <c r="AI33" s="133">
        <f t="shared" ref="AI33:AK33" si="302">AH33</f>
        <v>4381</v>
      </c>
      <c r="AJ33" s="133">
        <f t="shared" si="302"/>
        <v>4381</v>
      </c>
      <c r="AK33" s="133">
        <f t="shared" si="302"/>
        <v>4381</v>
      </c>
      <c r="AL33" s="133">
        <f>ROUND(AK33*(1+取值表!$D$2)*取值表!$H$2,0)</f>
        <v>4352</v>
      </c>
      <c r="AM33" s="133">
        <f t="shared" ref="AM33:AO33" si="303">AL33</f>
        <v>4352</v>
      </c>
      <c r="AN33" s="133">
        <f t="shared" si="303"/>
        <v>4352</v>
      </c>
      <c r="AO33" s="133">
        <f t="shared" si="303"/>
        <v>4352</v>
      </c>
      <c r="AP33" s="133">
        <f>ROUND(AO33*(1+取值表!$D$2)*取值表!$H$2,0)</f>
        <v>4323</v>
      </c>
      <c r="AQ33" s="133">
        <f t="shared" ref="AQ33:AS33" si="304">AP33</f>
        <v>4323</v>
      </c>
      <c r="AR33" s="133">
        <f t="shared" si="304"/>
        <v>4323</v>
      </c>
      <c r="AS33" s="133">
        <f t="shared" si="304"/>
        <v>4323</v>
      </c>
      <c r="AT33" s="133">
        <f>ROUND(AS33*(1+取值表!$D$2)*取值表!$H$2,0)</f>
        <v>4294</v>
      </c>
      <c r="AU33" s="133">
        <f t="shared" ref="AU33:AW33" si="305">AT33</f>
        <v>4294</v>
      </c>
      <c r="AV33" s="133">
        <f t="shared" si="305"/>
        <v>4294</v>
      </c>
      <c r="AW33" s="133">
        <f t="shared" si="305"/>
        <v>4294</v>
      </c>
      <c r="AX33" s="133">
        <f>ROUND(AW33*(1+取值表!$D$2)*取值表!$H$2,0)</f>
        <v>4265</v>
      </c>
      <c r="AY33" s="133">
        <f t="shared" ref="AY33:BA33" si="306">AX33</f>
        <v>4265</v>
      </c>
      <c r="AZ33" s="133">
        <f t="shared" si="306"/>
        <v>4265</v>
      </c>
      <c r="BA33" s="133">
        <f t="shared" si="306"/>
        <v>4265</v>
      </c>
      <c r="BB33" s="133">
        <f>ROUND(BA33*(1+取值表!$D$2)*取值表!$H$2,0)</f>
        <v>4237</v>
      </c>
      <c r="BC33" s="133">
        <f t="shared" ref="BC33:BE33" si="307">BB33</f>
        <v>4237</v>
      </c>
      <c r="BD33" s="133">
        <f t="shared" si="307"/>
        <v>4237</v>
      </c>
      <c r="BE33" s="133">
        <f t="shared" si="307"/>
        <v>4237</v>
      </c>
      <c r="BF33" s="133">
        <f>ROUND(BE33*(1+取值表!$D$2)*取值表!$H$2,0)</f>
        <v>4209</v>
      </c>
      <c r="BG33" s="133">
        <f t="shared" ref="BG33:BI33" si="308">BF33</f>
        <v>4209</v>
      </c>
      <c r="BH33" s="133">
        <f t="shared" si="308"/>
        <v>4209</v>
      </c>
      <c r="BI33" s="133">
        <f t="shared" si="308"/>
        <v>4209</v>
      </c>
      <c r="BJ33" s="133">
        <f>ROUND(BI33*(1+取值表!$D$2)*取值表!$H$2,0)</f>
        <v>4181</v>
      </c>
      <c r="BK33" s="133">
        <f t="shared" ref="BK33:BM33" si="309">BJ33</f>
        <v>4181</v>
      </c>
      <c r="BL33" s="133">
        <f t="shared" si="309"/>
        <v>4181</v>
      </c>
      <c r="BM33" s="133">
        <f t="shared" si="309"/>
        <v>4181</v>
      </c>
      <c r="BN33" s="133">
        <f>ROUND(BM33*(1+取值表!$D$2)*取值表!$H$2,0)</f>
        <v>4153</v>
      </c>
      <c r="BO33" s="133">
        <f t="shared" ref="BO33:BQ33" si="310">BN33</f>
        <v>4153</v>
      </c>
      <c r="BP33" s="133">
        <f t="shared" si="310"/>
        <v>4153</v>
      </c>
      <c r="BQ33" s="133">
        <f t="shared" si="310"/>
        <v>4153</v>
      </c>
      <c r="BR33" s="133">
        <f>ROUND(BQ33*(1+取值表!$D$2)*取值表!$H$2,0)</f>
        <v>4125</v>
      </c>
      <c r="BS33" s="133">
        <f t="shared" ref="BS33:BU33" si="311">BR33</f>
        <v>4125</v>
      </c>
      <c r="BT33" s="133">
        <f t="shared" si="311"/>
        <v>4125</v>
      </c>
      <c r="BU33" s="133">
        <f t="shared" si="311"/>
        <v>4125</v>
      </c>
      <c r="BV33" s="133">
        <f>ROUND(BU33*(1+取值表!$D$2)*取值表!$H$2,0)</f>
        <v>4098</v>
      </c>
      <c r="BW33" s="133">
        <f t="shared" ref="BW33:BY33" si="312">BV33</f>
        <v>4098</v>
      </c>
      <c r="BX33" s="133">
        <f t="shared" si="312"/>
        <v>4098</v>
      </c>
      <c r="BY33" s="133">
        <f t="shared" si="312"/>
        <v>4098</v>
      </c>
      <c r="BZ33" s="133">
        <f>ROUND(BY33*(1+取值表!$D$2)*取值表!$H$2,0)</f>
        <v>4071</v>
      </c>
      <c r="CA33" s="133">
        <f t="shared" ref="CA33:CC33" si="313">BZ33</f>
        <v>4071</v>
      </c>
      <c r="CB33" s="133">
        <f t="shared" si="313"/>
        <v>4071</v>
      </c>
      <c r="CC33" s="133">
        <f t="shared" si="313"/>
        <v>4071</v>
      </c>
      <c r="CD33" s="133">
        <f>ROUND(CC33*(1+取值表!$D$2)*取值表!$H$2,0)</f>
        <v>4044</v>
      </c>
      <c r="CE33" s="133">
        <f t="shared" ref="CE33:CG33" si="314">CD33</f>
        <v>4044</v>
      </c>
      <c r="CF33" s="133">
        <f t="shared" si="314"/>
        <v>4044</v>
      </c>
      <c r="CG33" s="133">
        <f t="shared" si="314"/>
        <v>4044</v>
      </c>
      <c r="CH33" s="133">
        <f>ROUND(CG33*(1+取值表!$D$2)*取值表!$H$2,0)</f>
        <v>4017</v>
      </c>
      <c r="CI33" s="133">
        <f t="shared" ref="CI33:CK33" si="315">CH33</f>
        <v>4017</v>
      </c>
      <c r="CJ33" s="133">
        <f t="shared" si="315"/>
        <v>4017</v>
      </c>
      <c r="CK33" s="133">
        <f t="shared" si="315"/>
        <v>4017</v>
      </c>
      <c r="CL33" s="133">
        <f>ROUND(CK33*(1+取值表!$D$2)*取值表!$H$2,0)</f>
        <v>3990</v>
      </c>
      <c r="CM33" s="133">
        <f t="shared" ref="CM33:CO33" si="316">CL33</f>
        <v>3990</v>
      </c>
      <c r="CN33" s="133">
        <f t="shared" si="316"/>
        <v>3990</v>
      </c>
      <c r="CO33" s="133">
        <f t="shared" si="316"/>
        <v>3990</v>
      </c>
      <c r="CP33" s="134">
        <f t="shared" ref="CP33:CP56" si="317">SUM(J33:CO33)</f>
        <v>358600</v>
      </c>
    </row>
    <row r="34" spans="1:94" s="72" customFormat="1" ht="12.75">
      <c r="A34" s="402"/>
      <c r="B34" s="406"/>
      <c r="C34" s="400"/>
      <c r="D34" s="401"/>
      <c r="E34" s="398"/>
      <c r="F34" s="399"/>
      <c r="G34" s="399"/>
      <c r="H34" s="405"/>
      <c r="I34" s="129"/>
      <c r="J34" s="131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4">
        <f t="shared" si="317"/>
        <v>0</v>
      </c>
    </row>
    <row r="35" spans="1:94" s="72" customFormat="1" ht="12" customHeight="1">
      <c r="A35" s="402">
        <v>17</v>
      </c>
      <c r="B35" s="406" t="s">
        <v>922</v>
      </c>
      <c r="C35" s="400" t="s">
        <v>923</v>
      </c>
      <c r="D35" s="401" t="s">
        <v>402</v>
      </c>
      <c r="E35" s="398" t="s">
        <v>400</v>
      </c>
      <c r="F35" s="399">
        <v>16</v>
      </c>
      <c r="G35" s="399">
        <f>H35/365/F35</f>
        <v>2.4657534246575343</v>
      </c>
      <c r="H35" s="405">
        <v>14400</v>
      </c>
      <c r="I35" s="129"/>
      <c r="J35" s="131">
        <f>ROUND(14400/4,0)</f>
        <v>3600</v>
      </c>
      <c r="K35" s="132">
        <f>J35</f>
        <v>3600</v>
      </c>
      <c r="L35" s="133">
        <f>K35</f>
        <v>3600</v>
      </c>
      <c r="M35" s="133">
        <f>L35</f>
        <v>3600</v>
      </c>
      <c r="N35" s="133">
        <f>ROUND(M35*(1+取值表!$D$2)*取值表!$H$2,0)</f>
        <v>3576</v>
      </c>
      <c r="O35" s="133">
        <f>N35</f>
        <v>3576</v>
      </c>
      <c r="P35" s="133">
        <f t="shared" ref="P35:Q35" si="318">O35</f>
        <v>3576</v>
      </c>
      <c r="Q35" s="133">
        <f t="shared" si="318"/>
        <v>3576</v>
      </c>
      <c r="R35" s="133">
        <f>ROUND(Q35*(1+取值表!$D$2)*取值表!$H$2,0)</f>
        <v>3552</v>
      </c>
      <c r="S35" s="133">
        <f t="shared" ref="S35:U35" si="319">R35</f>
        <v>3552</v>
      </c>
      <c r="T35" s="133">
        <f t="shared" si="319"/>
        <v>3552</v>
      </c>
      <c r="U35" s="133">
        <f t="shared" si="319"/>
        <v>3552</v>
      </c>
      <c r="V35" s="133">
        <f>ROUND(U35*(1+取值表!$D$2)*取值表!$H$2,0)</f>
        <v>3528</v>
      </c>
      <c r="W35" s="133">
        <f t="shared" ref="W35:Y35" si="320">V35</f>
        <v>3528</v>
      </c>
      <c r="X35" s="133">
        <f t="shared" si="320"/>
        <v>3528</v>
      </c>
      <c r="Y35" s="133">
        <f t="shared" si="320"/>
        <v>3528</v>
      </c>
      <c r="Z35" s="133">
        <f>ROUND(Y35*(1+取值表!$D$2)*取值表!$H$2,0)</f>
        <v>3504</v>
      </c>
      <c r="AA35" s="133">
        <f t="shared" ref="AA35:AC35" si="321">Z35</f>
        <v>3504</v>
      </c>
      <c r="AB35" s="133">
        <f t="shared" si="321"/>
        <v>3504</v>
      </c>
      <c r="AC35" s="133">
        <f t="shared" si="321"/>
        <v>3504</v>
      </c>
      <c r="AD35" s="133">
        <f>ROUND(AC35*(1+取值表!$D$2)*取值表!$H$2,0)</f>
        <v>3481</v>
      </c>
      <c r="AE35" s="133">
        <f t="shared" ref="AE35:AG35" si="322">AD35</f>
        <v>3481</v>
      </c>
      <c r="AF35" s="133">
        <f t="shared" si="322"/>
        <v>3481</v>
      </c>
      <c r="AG35" s="133">
        <f t="shared" si="322"/>
        <v>3481</v>
      </c>
      <c r="AH35" s="133">
        <f>ROUND(AG35*(1+取值表!$D$2)*取值表!$H$2,0)</f>
        <v>3458</v>
      </c>
      <c r="AI35" s="133">
        <f t="shared" ref="AI35:AK35" si="323">AH35</f>
        <v>3458</v>
      </c>
      <c r="AJ35" s="133">
        <f t="shared" si="323"/>
        <v>3458</v>
      </c>
      <c r="AK35" s="133">
        <f t="shared" si="323"/>
        <v>3458</v>
      </c>
      <c r="AL35" s="133">
        <f>ROUND(AK35*(1+取值表!$D$2)*取值表!$H$2,0)</f>
        <v>3435</v>
      </c>
      <c r="AM35" s="133">
        <f t="shared" ref="AM35:AO35" si="324">AL35</f>
        <v>3435</v>
      </c>
      <c r="AN35" s="133">
        <f t="shared" si="324"/>
        <v>3435</v>
      </c>
      <c r="AO35" s="133">
        <f t="shared" si="324"/>
        <v>3435</v>
      </c>
      <c r="AP35" s="133">
        <f>ROUND(AO35*(1+取值表!$D$2)*取值表!$H$2,0)</f>
        <v>3412</v>
      </c>
      <c r="AQ35" s="133">
        <f t="shared" ref="AQ35:AS35" si="325">AP35</f>
        <v>3412</v>
      </c>
      <c r="AR35" s="133">
        <f t="shared" si="325"/>
        <v>3412</v>
      </c>
      <c r="AS35" s="133">
        <f t="shared" si="325"/>
        <v>3412</v>
      </c>
      <c r="AT35" s="133">
        <f>ROUND(AS35*(1+取值表!$D$2)*取值表!$H$2,0)</f>
        <v>3389</v>
      </c>
      <c r="AU35" s="133">
        <f t="shared" ref="AU35:AW35" si="326">AT35</f>
        <v>3389</v>
      </c>
      <c r="AV35" s="133">
        <f t="shared" si="326"/>
        <v>3389</v>
      </c>
      <c r="AW35" s="133">
        <f t="shared" si="326"/>
        <v>3389</v>
      </c>
      <c r="AX35" s="133">
        <f>ROUND(AW35*(1+取值表!$D$2)*取值表!$H$2,0)</f>
        <v>3366</v>
      </c>
      <c r="AY35" s="133">
        <f t="shared" ref="AY35:BA35" si="327">AX35</f>
        <v>3366</v>
      </c>
      <c r="AZ35" s="133">
        <f t="shared" si="327"/>
        <v>3366</v>
      </c>
      <c r="BA35" s="133">
        <f t="shared" si="327"/>
        <v>3366</v>
      </c>
      <c r="BB35" s="133">
        <f>ROUND(BA35*(1+取值表!$D$2)*取值表!$H$2,0)</f>
        <v>3344</v>
      </c>
      <c r="BC35" s="133">
        <f t="shared" ref="BC35:BE35" si="328">BB35</f>
        <v>3344</v>
      </c>
      <c r="BD35" s="133">
        <f t="shared" si="328"/>
        <v>3344</v>
      </c>
      <c r="BE35" s="133">
        <f t="shared" si="328"/>
        <v>3344</v>
      </c>
      <c r="BF35" s="133">
        <f>ROUND(BE35*(1+取值表!$D$2)*取值表!$H$2,0)</f>
        <v>3322</v>
      </c>
      <c r="BG35" s="133">
        <f t="shared" ref="BG35:BI35" si="329">BF35</f>
        <v>3322</v>
      </c>
      <c r="BH35" s="133">
        <f t="shared" si="329"/>
        <v>3322</v>
      </c>
      <c r="BI35" s="133">
        <f t="shared" si="329"/>
        <v>3322</v>
      </c>
      <c r="BJ35" s="133">
        <f>ROUND(BI35*(1+取值表!$D$2)*取值表!$H$2,0)</f>
        <v>3300</v>
      </c>
      <c r="BK35" s="133">
        <f t="shared" ref="BK35:BM35" si="330">BJ35</f>
        <v>3300</v>
      </c>
      <c r="BL35" s="133">
        <f t="shared" si="330"/>
        <v>3300</v>
      </c>
      <c r="BM35" s="133">
        <f t="shared" si="330"/>
        <v>3300</v>
      </c>
      <c r="BN35" s="133">
        <f>ROUND(BM35*(1+取值表!$D$2)*取值表!$H$2,0)</f>
        <v>3278</v>
      </c>
      <c r="BO35" s="133">
        <f t="shared" ref="BO35:BQ35" si="331">BN35</f>
        <v>3278</v>
      </c>
      <c r="BP35" s="133">
        <f t="shared" si="331"/>
        <v>3278</v>
      </c>
      <c r="BQ35" s="133">
        <f t="shared" si="331"/>
        <v>3278</v>
      </c>
      <c r="BR35" s="133">
        <f>ROUND(BQ35*(1+取值表!$D$2)*取值表!$H$2,0)</f>
        <v>3256</v>
      </c>
      <c r="BS35" s="133">
        <f t="shared" ref="BS35:BU35" si="332">BR35</f>
        <v>3256</v>
      </c>
      <c r="BT35" s="133">
        <f t="shared" si="332"/>
        <v>3256</v>
      </c>
      <c r="BU35" s="133">
        <f t="shared" si="332"/>
        <v>3256</v>
      </c>
      <c r="BV35" s="133">
        <f>ROUND(BU35*(1+取值表!$D$2)*取值表!$H$2,0)</f>
        <v>3234</v>
      </c>
      <c r="BW35" s="133">
        <f t="shared" ref="BW35:BY35" si="333">BV35</f>
        <v>3234</v>
      </c>
      <c r="BX35" s="133">
        <f t="shared" si="333"/>
        <v>3234</v>
      </c>
      <c r="BY35" s="133">
        <f t="shared" si="333"/>
        <v>3234</v>
      </c>
      <c r="BZ35" s="133">
        <f>ROUND(BY35*(1+取值表!$D$2)*取值表!$H$2,0)</f>
        <v>3212</v>
      </c>
      <c r="CA35" s="133">
        <f t="shared" ref="CA35:CC35" si="334">BZ35</f>
        <v>3212</v>
      </c>
      <c r="CB35" s="133">
        <f t="shared" si="334"/>
        <v>3212</v>
      </c>
      <c r="CC35" s="133">
        <f t="shared" si="334"/>
        <v>3212</v>
      </c>
      <c r="CD35" s="133">
        <f>ROUND(CC35*(1+取值表!$D$2)*取值表!$H$2,0)</f>
        <v>3191</v>
      </c>
      <c r="CE35" s="133">
        <f t="shared" ref="CE35:CG35" si="335">CD35</f>
        <v>3191</v>
      </c>
      <c r="CF35" s="133">
        <f t="shared" si="335"/>
        <v>3191</v>
      </c>
      <c r="CG35" s="133">
        <f t="shared" si="335"/>
        <v>3191</v>
      </c>
      <c r="CH35" s="133">
        <f>ROUND(CG35*(1+取值表!$D$2)*取值表!$H$2,0)</f>
        <v>3170</v>
      </c>
      <c r="CI35" s="133">
        <f t="shared" ref="CI35:CK35" si="336">CH35</f>
        <v>3170</v>
      </c>
      <c r="CJ35" s="133">
        <f t="shared" si="336"/>
        <v>3170</v>
      </c>
      <c r="CK35" s="133">
        <f t="shared" si="336"/>
        <v>3170</v>
      </c>
      <c r="CL35" s="133">
        <f>ROUND(CK35*(1+取值表!$D$2)*取值表!$H$2,0)</f>
        <v>3149</v>
      </c>
      <c r="CM35" s="133">
        <f t="shared" ref="CM35:CO35" si="337">CL35</f>
        <v>3149</v>
      </c>
      <c r="CN35" s="133">
        <f t="shared" si="337"/>
        <v>3149</v>
      </c>
      <c r="CO35" s="133">
        <f t="shared" si="337"/>
        <v>3149</v>
      </c>
      <c r="CP35" s="134">
        <f t="shared" si="317"/>
        <v>283028</v>
      </c>
    </row>
    <row r="36" spans="1:94" s="72" customFormat="1" ht="12.75">
      <c r="A36" s="402"/>
      <c r="B36" s="406"/>
      <c r="C36" s="400"/>
      <c r="D36" s="401"/>
      <c r="E36" s="398"/>
      <c r="F36" s="399"/>
      <c r="G36" s="399"/>
      <c r="H36" s="405"/>
      <c r="I36" s="129"/>
      <c r="J36" s="131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4">
        <f t="shared" si="317"/>
        <v>0</v>
      </c>
    </row>
    <row r="37" spans="1:94" s="72" customFormat="1" ht="12" customHeight="1">
      <c r="A37" s="402">
        <v>18</v>
      </c>
      <c r="B37" s="406" t="s">
        <v>924</v>
      </c>
      <c r="C37" s="400" t="s">
        <v>925</v>
      </c>
      <c r="D37" s="401" t="s">
        <v>412</v>
      </c>
      <c r="E37" s="398" t="s">
        <v>400</v>
      </c>
      <c r="F37" s="399">
        <v>33.630000000000003</v>
      </c>
      <c r="G37" s="399">
        <f>H37/365/F37</f>
        <v>3.1232876712328763</v>
      </c>
      <c r="H37" s="405">
        <v>38338.199999999997</v>
      </c>
      <c r="I37" s="129"/>
      <c r="J37" s="131">
        <f>ROUND(38338.2/4,0)</f>
        <v>9585</v>
      </c>
      <c r="K37" s="132">
        <f>J37</f>
        <v>9585</v>
      </c>
      <c r="L37" s="133">
        <f>K37</f>
        <v>9585</v>
      </c>
      <c r="M37" s="133">
        <f>L37</f>
        <v>9585</v>
      </c>
      <c r="N37" s="133">
        <f>ROUND(M37*(1+取值表!$D$2)*取值表!$H$2,0)</f>
        <v>9521</v>
      </c>
      <c r="O37" s="133">
        <f>N37</f>
        <v>9521</v>
      </c>
      <c r="P37" s="133">
        <f t="shared" ref="P37:Q37" si="338">O37</f>
        <v>9521</v>
      </c>
      <c r="Q37" s="133">
        <f t="shared" si="338"/>
        <v>9521</v>
      </c>
      <c r="R37" s="133">
        <f>ROUND(Q37*(1+取值表!$D$2)*取值表!$H$2,0)</f>
        <v>9458</v>
      </c>
      <c r="S37" s="133">
        <f t="shared" ref="S37:U37" si="339">R37</f>
        <v>9458</v>
      </c>
      <c r="T37" s="133">
        <f t="shared" si="339"/>
        <v>9458</v>
      </c>
      <c r="U37" s="133">
        <f t="shared" si="339"/>
        <v>9458</v>
      </c>
      <c r="V37" s="133">
        <f>ROUND(U37*(1+取值表!$D$2)*取值表!$H$2,0)</f>
        <v>9395</v>
      </c>
      <c r="W37" s="133">
        <f t="shared" ref="W37:Y37" si="340">V37</f>
        <v>9395</v>
      </c>
      <c r="X37" s="133">
        <f t="shared" si="340"/>
        <v>9395</v>
      </c>
      <c r="Y37" s="133">
        <f t="shared" si="340"/>
        <v>9395</v>
      </c>
      <c r="Z37" s="133">
        <f>ROUND(Y37*(1+取值表!$D$2)*取值表!$H$2,0)</f>
        <v>9332</v>
      </c>
      <c r="AA37" s="133">
        <f t="shared" ref="AA37:AC37" si="341">Z37</f>
        <v>9332</v>
      </c>
      <c r="AB37" s="133">
        <f t="shared" si="341"/>
        <v>9332</v>
      </c>
      <c r="AC37" s="133">
        <f t="shared" si="341"/>
        <v>9332</v>
      </c>
      <c r="AD37" s="133">
        <f>ROUND(AC37*(1+取值表!$D$2)*取值表!$H$2,0)</f>
        <v>9270</v>
      </c>
      <c r="AE37" s="133">
        <f t="shared" ref="AE37:AG37" si="342">AD37</f>
        <v>9270</v>
      </c>
      <c r="AF37" s="133">
        <f t="shared" si="342"/>
        <v>9270</v>
      </c>
      <c r="AG37" s="133">
        <f t="shared" si="342"/>
        <v>9270</v>
      </c>
      <c r="AH37" s="133">
        <f>ROUND(AG37*(1+取值表!$D$2)*取值表!$H$2,0)</f>
        <v>9208</v>
      </c>
      <c r="AI37" s="133">
        <f t="shared" ref="AI37:AK37" si="343">AH37</f>
        <v>9208</v>
      </c>
      <c r="AJ37" s="133">
        <f t="shared" si="343"/>
        <v>9208</v>
      </c>
      <c r="AK37" s="133">
        <f t="shared" si="343"/>
        <v>9208</v>
      </c>
      <c r="AL37" s="133">
        <f>ROUND(AK37*(1+取值表!$D$2)*取值表!$H$2,0)</f>
        <v>9147</v>
      </c>
      <c r="AM37" s="133">
        <f t="shared" ref="AM37:AO37" si="344">AL37</f>
        <v>9147</v>
      </c>
      <c r="AN37" s="133">
        <f t="shared" si="344"/>
        <v>9147</v>
      </c>
      <c r="AO37" s="133">
        <f t="shared" si="344"/>
        <v>9147</v>
      </c>
      <c r="AP37" s="133">
        <f>ROUND(AO37*(1+取值表!$D$2)*取值表!$H$2,0)</f>
        <v>9086</v>
      </c>
      <c r="AQ37" s="133">
        <f t="shared" ref="AQ37:AS37" si="345">AP37</f>
        <v>9086</v>
      </c>
      <c r="AR37" s="133">
        <f t="shared" si="345"/>
        <v>9086</v>
      </c>
      <c r="AS37" s="133">
        <f t="shared" si="345"/>
        <v>9086</v>
      </c>
      <c r="AT37" s="133">
        <f>ROUND(AS37*(1+取值表!$D$2)*取值表!$H$2,0)</f>
        <v>9025</v>
      </c>
      <c r="AU37" s="133">
        <f t="shared" ref="AU37:AW37" si="346">AT37</f>
        <v>9025</v>
      </c>
      <c r="AV37" s="133">
        <f t="shared" si="346"/>
        <v>9025</v>
      </c>
      <c r="AW37" s="133">
        <f t="shared" si="346"/>
        <v>9025</v>
      </c>
      <c r="AX37" s="133">
        <f>ROUND(AW37*(1+取值表!$D$2)*取值表!$H$2,0)</f>
        <v>8965</v>
      </c>
      <c r="AY37" s="133">
        <f t="shared" ref="AY37:BA37" si="347">AX37</f>
        <v>8965</v>
      </c>
      <c r="AZ37" s="133">
        <f t="shared" si="347"/>
        <v>8965</v>
      </c>
      <c r="BA37" s="133">
        <f t="shared" si="347"/>
        <v>8965</v>
      </c>
      <c r="BB37" s="133">
        <f>ROUND(BA37*(1+取值表!$D$2)*取值表!$H$2,0)</f>
        <v>8905</v>
      </c>
      <c r="BC37" s="133">
        <f t="shared" ref="BC37:BE37" si="348">BB37</f>
        <v>8905</v>
      </c>
      <c r="BD37" s="133">
        <f t="shared" si="348"/>
        <v>8905</v>
      </c>
      <c r="BE37" s="133">
        <f t="shared" si="348"/>
        <v>8905</v>
      </c>
      <c r="BF37" s="133">
        <f>ROUND(BE37*(1+取值表!$D$2)*取值表!$H$2,0)</f>
        <v>8846</v>
      </c>
      <c r="BG37" s="133">
        <f t="shared" ref="BG37:BI37" si="349">BF37</f>
        <v>8846</v>
      </c>
      <c r="BH37" s="133">
        <f t="shared" si="349"/>
        <v>8846</v>
      </c>
      <c r="BI37" s="133">
        <f t="shared" si="349"/>
        <v>8846</v>
      </c>
      <c r="BJ37" s="133">
        <f>ROUND(BI37*(1+取值表!$D$2)*取值表!$H$2,0)</f>
        <v>8787</v>
      </c>
      <c r="BK37" s="133">
        <f t="shared" ref="BK37:BM37" si="350">BJ37</f>
        <v>8787</v>
      </c>
      <c r="BL37" s="133">
        <f t="shared" si="350"/>
        <v>8787</v>
      </c>
      <c r="BM37" s="133">
        <f t="shared" si="350"/>
        <v>8787</v>
      </c>
      <c r="BN37" s="133">
        <f>ROUND(BM37*(1+取值表!$D$2)*取值表!$H$2,0)</f>
        <v>8728</v>
      </c>
      <c r="BO37" s="133">
        <f t="shared" ref="BO37:BQ37" si="351">BN37</f>
        <v>8728</v>
      </c>
      <c r="BP37" s="133">
        <f t="shared" si="351"/>
        <v>8728</v>
      </c>
      <c r="BQ37" s="133">
        <f t="shared" si="351"/>
        <v>8728</v>
      </c>
      <c r="BR37" s="133">
        <f>ROUND(BQ37*(1+取值表!$D$2)*取值表!$H$2,0)</f>
        <v>8670</v>
      </c>
      <c r="BS37" s="133">
        <f t="shared" ref="BS37:BU37" si="352">BR37</f>
        <v>8670</v>
      </c>
      <c r="BT37" s="133">
        <f t="shared" si="352"/>
        <v>8670</v>
      </c>
      <c r="BU37" s="133">
        <f t="shared" si="352"/>
        <v>8670</v>
      </c>
      <c r="BV37" s="133">
        <f>ROUND(BU37*(1+取值表!$D$2)*取值表!$H$2,0)</f>
        <v>8612</v>
      </c>
      <c r="BW37" s="133">
        <f t="shared" ref="BW37:BY37" si="353">BV37</f>
        <v>8612</v>
      </c>
      <c r="BX37" s="133">
        <f t="shared" si="353"/>
        <v>8612</v>
      </c>
      <c r="BY37" s="133">
        <f t="shared" si="353"/>
        <v>8612</v>
      </c>
      <c r="BZ37" s="133">
        <f>ROUND(BY37*(1+取值表!$D$2)*取值表!$H$2,0)</f>
        <v>8555</v>
      </c>
      <c r="CA37" s="133">
        <f t="shared" ref="CA37:CC37" si="354">BZ37</f>
        <v>8555</v>
      </c>
      <c r="CB37" s="133">
        <f t="shared" si="354"/>
        <v>8555</v>
      </c>
      <c r="CC37" s="133">
        <f t="shared" si="354"/>
        <v>8555</v>
      </c>
      <c r="CD37" s="133">
        <f>ROUND(CC37*(1+取值表!$D$2)*取值表!$H$2,0)</f>
        <v>8498</v>
      </c>
      <c r="CE37" s="133">
        <f t="shared" ref="CE37:CG37" si="355">CD37</f>
        <v>8498</v>
      </c>
      <c r="CF37" s="133">
        <f t="shared" si="355"/>
        <v>8498</v>
      </c>
      <c r="CG37" s="133">
        <f t="shared" si="355"/>
        <v>8498</v>
      </c>
      <c r="CH37" s="133">
        <f>ROUND(CG37*(1+取值表!$D$2)*取值表!$H$2,0)</f>
        <v>8441</v>
      </c>
      <c r="CI37" s="133">
        <f t="shared" ref="CI37:CK37" si="356">CH37</f>
        <v>8441</v>
      </c>
      <c r="CJ37" s="133">
        <f t="shared" si="356"/>
        <v>8441</v>
      </c>
      <c r="CK37" s="133">
        <f t="shared" si="356"/>
        <v>8441</v>
      </c>
      <c r="CL37" s="133">
        <f>ROUND(CK37*(1+取值表!$D$2)*取值表!$H$2,0)</f>
        <v>8385</v>
      </c>
      <c r="CM37" s="133">
        <f t="shared" ref="CM37:CO37" si="357">CL37</f>
        <v>8385</v>
      </c>
      <c r="CN37" s="133">
        <f t="shared" si="357"/>
        <v>8385</v>
      </c>
      <c r="CO37" s="133">
        <f t="shared" si="357"/>
        <v>8385</v>
      </c>
      <c r="CP37" s="134">
        <f t="shared" si="317"/>
        <v>753676</v>
      </c>
    </row>
    <row r="38" spans="1:94" s="72" customFormat="1" ht="12.75">
      <c r="A38" s="402"/>
      <c r="B38" s="406"/>
      <c r="C38" s="400"/>
      <c r="D38" s="401"/>
      <c r="E38" s="398"/>
      <c r="F38" s="399"/>
      <c r="G38" s="399"/>
      <c r="H38" s="405"/>
      <c r="I38" s="129"/>
      <c r="J38" s="131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4">
        <f t="shared" si="317"/>
        <v>0</v>
      </c>
    </row>
    <row r="39" spans="1:94" s="72" customFormat="1" ht="12" customHeight="1">
      <c r="A39" s="402">
        <v>19</v>
      </c>
      <c r="B39" s="406" t="s">
        <v>926</v>
      </c>
      <c r="C39" s="400" t="s">
        <v>927</v>
      </c>
      <c r="D39" s="401" t="s">
        <v>413</v>
      </c>
      <c r="E39" s="398" t="s">
        <v>400</v>
      </c>
      <c r="F39" s="399">
        <v>16</v>
      </c>
      <c r="G39" s="399">
        <f>H39/365/F39</f>
        <v>3.1232876712328768</v>
      </c>
      <c r="H39" s="405">
        <v>18240</v>
      </c>
      <c r="I39" s="129"/>
      <c r="J39" s="131">
        <f>ROUND(18240/4,0)</f>
        <v>4560</v>
      </c>
      <c r="K39" s="133">
        <f>J39</f>
        <v>4560</v>
      </c>
      <c r="L39" s="132">
        <f>K39</f>
        <v>4560</v>
      </c>
      <c r="M39" s="133">
        <f>L39</f>
        <v>4560</v>
      </c>
      <c r="N39" s="133">
        <f>ROUND(M39*(1+取值表!$D$2)*取值表!$H$2,0)</f>
        <v>4530</v>
      </c>
      <c r="O39" s="133">
        <f>N39</f>
        <v>4530</v>
      </c>
      <c r="P39" s="133">
        <f t="shared" ref="P39:Q39" si="358">O39</f>
        <v>4530</v>
      </c>
      <c r="Q39" s="133">
        <f t="shared" si="358"/>
        <v>4530</v>
      </c>
      <c r="R39" s="133">
        <f>ROUND(Q39*(1+取值表!$D$2)*取值表!$H$2,0)</f>
        <v>4500</v>
      </c>
      <c r="S39" s="133">
        <f t="shared" ref="S39:U39" si="359">R39</f>
        <v>4500</v>
      </c>
      <c r="T39" s="133">
        <f t="shared" si="359"/>
        <v>4500</v>
      </c>
      <c r="U39" s="133">
        <f t="shared" si="359"/>
        <v>4500</v>
      </c>
      <c r="V39" s="133">
        <f>ROUND(U39*(1+取值表!$D$2)*取值表!$H$2,0)</f>
        <v>4470</v>
      </c>
      <c r="W39" s="133">
        <f t="shared" ref="W39:Y39" si="360">V39</f>
        <v>4470</v>
      </c>
      <c r="X39" s="133">
        <f t="shared" si="360"/>
        <v>4470</v>
      </c>
      <c r="Y39" s="133">
        <f t="shared" si="360"/>
        <v>4470</v>
      </c>
      <c r="Z39" s="133">
        <f>ROUND(Y39*(1+取值表!$D$2)*取值表!$H$2,0)</f>
        <v>4440</v>
      </c>
      <c r="AA39" s="133">
        <f t="shared" ref="AA39:AC39" si="361">Z39</f>
        <v>4440</v>
      </c>
      <c r="AB39" s="133">
        <f t="shared" si="361"/>
        <v>4440</v>
      </c>
      <c r="AC39" s="133">
        <f t="shared" si="361"/>
        <v>4440</v>
      </c>
      <c r="AD39" s="133">
        <f>ROUND(AC39*(1+取值表!$D$2)*取值表!$H$2,0)</f>
        <v>4410</v>
      </c>
      <c r="AE39" s="133">
        <f t="shared" ref="AE39:AG39" si="362">AD39</f>
        <v>4410</v>
      </c>
      <c r="AF39" s="133">
        <f t="shared" si="362"/>
        <v>4410</v>
      </c>
      <c r="AG39" s="133">
        <f t="shared" si="362"/>
        <v>4410</v>
      </c>
      <c r="AH39" s="133">
        <f>ROUND(AG39*(1+取值表!$D$2)*取值表!$H$2,0)</f>
        <v>4381</v>
      </c>
      <c r="AI39" s="133">
        <f t="shared" ref="AI39:AK39" si="363">AH39</f>
        <v>4381</v>
      </c>
      <c r="AJ39" s="133">
        <f t="shared" si="363"/>
        <v>4381</v>
      </c>
      <c r="AK39" s="133">
        <f t="shared" si="363"/>
        <v>4381</v>
      </c>
      <c r="AL39" s="133">
        <f>ROUND(AK39*(1+取值表!$D$2)*取值表!$H$2,0)</f>
        <v>4352</v>
      </c>
      <c r="AM39" s="133">
        <f t="shared" ref="AM39:AO39" si="364">AL39</f>
        <v>4352</v>
      </c>
      <c r="AN39" s="133">
        <f t="shared" si="364"/>
        <v>4352</v>
      </c>
      <c r="AO39" s="133">
        <f t="shared" si="364"/>
        <v>4352</v>
      </c>
      <c r="AP39" s="133">
        <f>ROUND(AO39*(1+取值表!$D$2)*取值表!$H$2,0)</f>
        <v>4323</v>
      </c>
      <c r="AQ39" s="133">
        <f t="shared" ref="AQ39:AS39" si="365">AP39</f>
        <v>4323</v>
      </c>
      <c r="AR39" s="133">
        <f t="shared" si="365"/>
        <v>4323</v>
      </c>
      <c r="AS39" s="133">
        <f t="shared" si="365"/>
        <v>4323</v>
      </c>
      <c r="AT39" s="133">
        <f>ROUND(AS39*(1+取值表!$D$2)*取值表!$H$2,0)</f>
        <v>4294</v>
      </c>
      <c r="AU39" s="133">
        <f t="shared" ref="AU39:AW39" si="366">AT39</f>
        <v>4294</v>
      </c>
      <c r="AV39" s="133">
        <f t="shared" si="366"/>
        <v>4294</v>
      </c>
      <c r="AW39" s="133">
        <f t="shared" si="366"/>
        <v>4294</v>
      </c>
      <c r="AX39" s="133">
        <f>ROUND(AW39*(1+取值表!$D$2)*取值表!$H$2,0)</f>
        <v>4265</v>
      </c>
      <c r="AY39" s="133">
        <f t="shared" ref="AY39:BA39" si="367">AX39</f>
        <v>4265</v>
      </c>
      <c r="AZ39" s="133">
        <f t="shared" si="367"/>
        <v>4265</v>
      </c>
      <c r="BA39" s="133">
        <f t="shared" si="367"/>
        <v>4265</v>
      </c>
      <c r="BB39" s="133">
        <f>ROUND(BA39*(1+取值表!$D$2)*取值表!$H$2,0)</f>
        <v>4237</v>
      </c>
      <c r="BC39" s="133">
        <f t="shared" ref="BC39:BE39" si="368">BB39</f>
        <v>4237</v>
      </c>
      <c r="BD39" s="133">
        <f t="shared" si="368"/>
        <v>4237</v>
      </c>
      <c r="BE39" s="133">
        <f t="shared" si="368"/>
        <v>4237</v>
      </c>
      <c r="BF39" s="133">
        <f>ROUND(BE39*(1+取值表!$D$2)*取值表!$H$2,0)</f>
        <v>4209</v>
      </c>
      <c r="BG39" s="133">
        <f t="shared" ref="BG39:BI39" si="369">BF39</f>
        <v>4209</v>
      </c>
      <c r="BH39" s="133">
        <f t="shared" si="369"/>
        <v>4209</v>
      </c>
      <c r="BI39" s="133">
        <f t="shared" si="369"/>
        <v>4209</v>
      </c>
      <c r="BJ39" s="133">
        <f>ROUND(BI39*(1+取值表!$D$2)*取值表!$H$2,0)</f>
        <v>4181</v>
      </c>
      <c r="BK39" s="133">
        <f t="shared" ref="BK39:BM39" si="370">BJ39</f>
        <v>4181</v>
      </c>
      <c r="BL39" s="133">
        <f t="shared" si="370"/>
        <v>4181</v>
      </c>
      <c r="BM39" s="133">
        <f t="shared" si="370"/>
        <v>4181</v>
      </c>
      <c r="BN39" s="133">
        <f>ROUND(BM39*(1+取值表!$D$2)*取值表!$H$2,0)</f>
        <v>4153</v>
      </c>
      <c r="BO39" s="133">
        <f t="shared" ref="BO39:BQ39" si="371">BN39</f>
        <v>4153</v>
      </c>
      <c r="BP39" s="133">
        <f t="shared" si="371"/>
        <v>4153</v>
      </c>
      <c r="BQ39" s="133">
        <f t="shared" si="371"/>
        <v>4153</v>
      </c>
      <c r="BR39" s="133">
        <f>ROUND(BQ39*(1+取值表!$D$2)*取值表!$H$2,0)</f>
        <v>4125</v>
      </c>
      <c r="BS39" s="133">
        <f t="shared" ref="BS39:BU39" si="372">BR39</f>
        <v>4125</v>
      </c>
      <c r="BT39" s="133">
        <f t="shared" si="372"/>
        <v>4125</v>
      </c>
      <c r="BU39" s="133">
        <f t="shared" si="372"/>
        <v>4125</v>
      </c>
      <c r="BV39" s="133">
        <f>ROUND(BU39*(1+取值表!$D$2)*取值表!$H$2,0)</f>
        <v>4098</v>
      </c>
      <c r="BW39" s="133">
        <f t="shared" ref="BW39:BY39" si="373">BV39</f>
        <v>4098</v>
      </c>
      <c r="BX39" s="133">
        <f t="shared" si="373"/>
        <v>4098</v>
      </c>
      <c r="BY39" s="133">
        <f t="shared" si="373"/>
        <v>4098</v>
      </c>
      <c r="BZ39" s="133">
        <f>ROUND(BY39*(1+取值表!$D$2)*取值表!$H$2,0)</f>
        <v>4071</v>
      </c>
      <c r="CA39" s="133">
        <f t="shared" ref="CA39:CC39" si="374">BZ39</f>
        <v>4071</v>
      </c>
      <c r="CB39" s="133">
        <f t="shared" si="374"/>
        <v>4071</v>
      </c>
      <c r="CC39" s="133">
        <f t="shared" si="374"/>
        <v>4071</v>
      </c>
      <c r="CD39" s="133">
        <f>ROUND(CC39*(1+取值表!$D$2)*取值表!$H$2,0)</f>
        <v>4044</v>
      </c>
      <c r="CE39" s="133">
        <f t="shared" ref="CE39:CG39" si="375">CD39</f>
        <v>4044</v>
      </c>
      <c r="CF39" s="133">
        <f t="shared" si="375"/>
        <v>4044</v>
      </c>
      <c r="CG39" s="133">
        <f t="shared" si="375"/>
        <v>4044</v>
      </c>
      <c r="CH39" s="133">
        <f>ROUND(CG39*(1+取值表!$D$2)*取值表!$H$2,0)</f>
        <v>4017</v>
      </c>
      <c r="CI39" s="133">
        <f t="shared" ref="CI39:CK39" si="376">CH39</f>
        <v>4017</v>
      </c>
      <c r="CJ39" s="133">
        <f t="shared" si="376"/>
        <v>4017</v>
      </c>
      <c r="CK39" s="133">
        <f t="shared" si="376"/>
        <v>4017</v>
      </c>
      <c r="CL39" s="133">
        <f>ROUND(CK39*(1+取值表!$D$2)*取值表!$H$2,0)</f>
        <v>3990</v>
      </c>
      <c r="CM39" s="133">
        <f t="shared" ref="CM39:CO39" si="377">CL39</f>
        <v>3990</v>
      </c>
      <c r="CN39" s="133">
        <f t="shared" si="377"/>
        <v>3990</v>
      </c>
      <c r="CO39" s="133">
        <f t="shared" si="377"/>
        <v>3990</v>
      </c>
      <c r="CP39" s="134">
        <f t="shared" si="317"/>
        <v>358600</v>
      </c>
    </row>
    <row r="40" spans="1:94" s="72" customFormat="1" ht="12.75">
      <c r="A40" s="402"/>
      <c r="B40" s="406"/>
      <c r="C40" s="400"/>
      <c r="D40" s="401"/>
      <c r="E40" s="398"/>
      <c r="F40" s="399"/>
      <c r="G40" s="399"/>
      <c r="H40" s="405"/>
      <c r="I40" s="129"/>
      <c r="J40" s="131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4">
        <f t="shared" si="317"/>
        <v>0</v>
      </c>
    </row>
    <row r="41" spans="1:94" s="72" customFormat="1" ht="13.5" customHeight="1">
      <c r="A41" s="402">
        <v>20</v>
      </c>
      <c r="B41" s="414" t="s">
        <v>928</v>
      </c>
      <c r="C41" s="400" t="s">
        <v>917</v>
      </c>
      <c r="D41" s="401" t="s">
        <v>415</v>
      </c>
      <c r="E41" s="398" t="s">
        <v>414</v>
      </c>
      <c r="F41" s="399">
        <v>16</v>
      </c>
      <c r="G41" s="399">
        <f>H41/365/F41</f>
        <v>3.1232876712328768</v>
      </c>
      <c r="H41" s="405">
        <v>18240</v>
      </c>
      <c r="I41" s="129"/>
      <c r="J41" s="131">
        <f>ROUND(18240/4,0)</f>
        <v>4560</v>
      </c>
      <c r="K41" s="133">
        <f>J41</f>
        <v>4560</v>
      </c>
      <c r="L41" s="132">
        <f>K41</f>
        <v>4560</v>
      </c>
      <c r="M41" s="133">
        <f>L41</f>
        <v>4560</v>
      </c>
      <c r="N41" s="133">
        <f>ROUND(M41*(1+取值表!$D$2)*取值表!$H$2,0)</f>
        <v>4530</v>
      </c>
      <c r="O41" s="133">
        <f>N41</f>
        <v>4530</v>
      </c>
      <c r="P41" s="133">
        <f t="shared" ref="P41:Q41" si="378">O41</f>
        <v>4530</v>
      </c>
      <c r="Q41" s="133">
        <f t="shared" si="378"/>
        <v>4530</v>
      </c>
      <c r="R41" s="133">
        <f>ROUND(Q41*(1+取值表!$D$2)*取值表!$H$2,0)</f>
        <v>4500</v>
      </c>
      <c r="S41" s="133">
        <f t="shared" ref="S41:U41" si="379">R41</f>
        <v>4500</v>
      </c>
      <c r="T41" s="133">
        <f t="shared" si="379"/>
        <v>4500</v>
      </c>
      <c r="U41" s="133">
        <f t="shared" si="379"/>
        <v>4500</v>
      </c>
      <c r="V41" s="133">
        <f>ROUND(U41*(1+取值表!$D$2)*取值表!$H$2,0)</f>
        <v>4470</v>
      </c>
      <c r="W41" s="133">
        <f t="shared" ref="W41:Y41" si="380">V41</f>
        <v>4470</v>
      </c>
      <c r="X41" s="133">
        <f t="shared" si="380"/>
        <v>4470</v>
      </c>
      <c r="Y41" s="133">
        <f t="shared" si="380"/>
        <v>4470</v>
      </c>
      <c r="Z41" s="133">
        <f>ROUND(Y41*(1+取值表!$D$2)*取值表!$H$2,0)</f>
        <v>4440</v>
      </c>
      <c r="AA41" s="133">
        <f t="shared" ref="AA41:AC41" si="381">Z41</f>
        <v>4440</v>
      </c>
      <c r="AB41" s="133">
        <f t="shared" si="381"/>
        <v>4440</v>
      </c>
      <c r="AC41" s="133">
        <f t="shared" si="381"/>
        <v>4440</v>
      </c>
      <c r="AD41" s="133">
        <f>ROUND(AC41*(1+取值表!$D$2)*取值表!$H$2,0)</f>
        <v>4410</v>
      </c>
      <c r="AE41" s="133">
        <f t="shared" ref="AE41:AG41" si="382">AD41</f>
        <v>4410</v>
      </c>
      <c r="AF41" s="133">
        <f t="shared" si="382"/>
        <v>4410</v>
      </c>
      <c r="AG41" s="133">
        <f t="shared" si="382"/>
        <v>4410</v>
      </c>
      <c r="AH41" s="133">
        <f>ROUND(AG41*(1+取值表!$D$2)*取值表!$H$2,0)</f>
        <v>4381</v>
      </c>
      <c r="AI41" s="133">
        <f t="shared" ref="AI41:AK41" si="383">AH41</f>
        <v>4381</v>
      </c>
      <c r="AJ41" s="133">
        <f t="shared" si="383"/>
        <v>4381</v>
      </c>
      <c r="AK41" s="133">
        <f t="shared" si="383"/>
        <v>4381</v>
      </c>
      <c r="AL41" s="133">
        <f>ROUND(AK41*(1+取值表!$D$2)*取值表!$H$2,0)</f>
        <v>4352</v>
      </c>
      <c r="AM41" s="133">
        <f t="shared" ref="AM41:AO41" si="384">AL41</f>
        <v>4352</v>
      </c>
      <c r="AN41" s="133">
        <f t="shared" si="384"/>
        <v>4352</v>
      </c>
      <c r="AO41" s="133">
        <f t="shared" si="384"/>
        <v>4352</v>
      </c>
      <c r="AP41" s="133">
        <f>ROUND(AO41*(1+取值表!$D$2)*取值表!$H$2,0)</f>
        <v>4323</v>
      </c>
      <c r="AQ41" s="133">
        <f t="shared" ref="AQ41:AS41" si="385">AP41</f>
        <v>4323</v>
      </c>
      <c r="AR41" s="133">
        <f t="shared" si="385"/>
        <v>4323</v>
      </c>
      <c r="AS41" s="133">
        <f t="shared" si="385"/>
        <v>4323</v>
      </c>
      <c r="AT41" s="133">
        <f>ROUND(AS41*(1+取值表!$D$2)*取值表!$H$2,0)</f>
        <v>4294</v>
      </c>
      <c r="AU41" s="133">
        <f t="shared" ref="AU41:AW41" si="386">AT41</f>
        <v>4294</v>
      </c>
      <c r="AV41" s="133">
        <f t="shared" si="386"/>
        <v>4294</v>
      </c>
      <c r="AW41" s="133">
        <f t="shared" si="386"/>
        <v>4294</v>
      </c>
      <c r="AX41" s="133">
        <f>ROUND(AW41*(1+取值表!$D$2)*取值表!$H$2,0)</f>
        <v>4265</v>
      </c>
      <c r="AY41" s="133">
        <f t="shared" ref="AY41:BA41" si="387">AX41</f>
        <v>4265</v>
      </c>
      <c r="AZ41" s="133">
        <f t="shared" si="387"/>
        <v>4265</v>
      </c>
      <c r="BA41" s="133">
        <f t="shared" si="387"/>
        <v>4265</v>
      </c>
      <c r="BB41" s="133">
        <f>ROUND(BA41*(1+取值表!$D$2)*取值表!$H$2,0)</f>
        <v>4237</v>
      </c>
      <c r="BC41" s="133">
        <f t="shared" ref="BC41:BE41" si="388">BB41</f>
        <v>4237</v>
      </c>
      <c r="BD41" s="133">
        <f t="shared" si="388"/>
        <v>4237</v>
      </c>
      <c r="BE41" s="133">
        <f t="shared" si="388"/>
        <v>4237</v>
      </c>
      <c r="BF41" s="133">
        <f>ROUND(BE41*(1+取值表!$D$2)*取值表!$H$2,0)</f>
        <v>4209</v>
      </c>
      <c r="BG41" s="133">
        <f t="shared" ref="BG41:BI41" si="389">BF41</f>
        <v>4209</v>
      </c>
      <c r="BH41" s="133">
        <f t="shared" si="389"/>
        <v>4209</v>
      </c>
      <c r="BI41" s="133">
        <f t="shared" si="389"/>
        <v>4209</v>
      </c>
      <c r="BJ41" s="133">
        <f>ROUND(BI41*(1+取值表!$D$2)*取值表!$H$2,0)</f>
        <v>4181</v>
      </c>
      <c r="BK41" s="133">
        <f t="shared" ref="BK41:BM41" si="390">BJ41</f>
        <v>4181</v>
      </c>
      <c r="BL41" s="133">
        <f t="shared" si="390"/>
        <v>4181</v>
      </c>
      <c r="BM41" s="133">
        <f t="shared" si="390"/>
        <v>4181</v>
      </c>
      <c r="BN41" s="133">
        <f>ROUND(BM41*(1+取值表!$D$2)*取值表!$H$2,0)</f>
        <v>4153</v>
      </c>
      <c r="BO41" s="133">
        <f t="shared" ref="BO41:BQ41" si="391">BN41</f>
        <v>4153</v>
      </c>
      <c r="BP41" s="133">
        <f t="shared" si="391"/>
        <v>4153</v>
      </c>
      <c r="BQ41" s="133">
        <f t="shared" si="391"/>
        <v>4153</v>
      </c>
      <c r="BR41" s="133">
        <f>ROUND(BQ41*(1+取值表!$D$2)*取值表!$H$2,0)</f>
        <v>4125</v>
      </c>
      <c r="BS41" s="133">
        <f t="shared" ref="BS41:BU41" si="392">BR41</f>
        <v>4125</v>
      </c>
      <c r="BT41" s="133">
        <f t="shared" si="392"/>
        <v>4125</v>
      </c>
      <c r="BU41" s="133">
        <f t="shared" si="392"/>
        <v>4125</v>
      </c>
      <c r="BV41" s="133">
        <f>ROUND(BU41*(1+取值表!$D$2)*取值表!$H$2,0)</f>
        <v>4098</v>
      </c>
      <c r="BW41" s="133">
        <f t="shared" ref="BW41:BY41" si="393">BV41</f>
        <v>4098</v>
      </c>
      <c r="BX41" s="133">
        <f t="shared" si="393"/>
        <v>4098</v>
      </c>
      <c r="BY41" s="133">
        <f t="shared" si="393"/>
        <v>4098</v>
      </c>
      <c r="BZ41" s="133">
        <f>ROUND(BY41*(1+取值表!$D$2)*取值表!$H$2,0)</f>
        <v>4071</v>
      </c>
      <c r="CA41" s="133">
        <f t="shared" ref="CA41:CC41" si="394">BZ41</f>
        <v>4071</v>
      </c>
      <c r="CB41" s="133">
        <f t="shared" si="394"/>
        <v>4071</v>
      </c>
      <c r="CC41" s="133">
        <f t="shared" si="394"/>
        <v>4071</v>
      </c>
      <c r="CD41" s="133">
        <f>ROUND(CC41*(1+取值表!$D$2)*取值表!$H$2,0)</f>
        <v>4044</v>
      </c>
      <c r="CE41" s="133">
        <f t="shared" ref="CE41:CG41" si="395">CD41</f>
        <v>4044</v>
      </c>
      <c r="CF41" s="133">
        <f t="shared" si="395"/>
        <v>4044</v>
      </c>
      <c r="CG41" s="133">
        <f t="shared" si="395"/>
        <v>4044</v>
      </c>
      <c r="CH41" s="133">
        <f>ROUND(CG41*(1+取值表!$D$2)*取值表!$H$2,0)</f>
        <v>4017</v>
      </c>
      <c r="CI41" s="133">
        <f t="shared" ref="CI41:CK41" si="396">CH41</f>
        <v>4017</v>
      </c>
      <c r="CJ41" s="133">
        <f t="shared" si="396"/>
        <v>4017</v>
      </c>
      <c r="CK41" s="133">
        <f t="shared" si="396"/>
        <v>4017</v>
      </c>
      <c r="CL41" s="133">
        <f>ROUND(CK41*(1+取值表!$D$2)*取值表!$H$2,0)</f>
        <v>3990</v>
      </c>
      <c r="CM41" s="133">
        <f t="shared" ref="CM41:CO41" si="397">CL41</f>
        <v>3990</v>
      </c>
      <c r="CN41" s="133">
        <f t="shared" si="397"/>
        <v>3990</v>
      </c>
      <c r="CO41" s="133">
        <f t="shared" si="397"/>
        <v>3990</v>
      </c>
      <c r="CP41" s="134">
        <f t="shared" si="317"/>
        <v>358600</v>
      </c>
    </row>
    <row r="42" spans="1:94" s="72" customFormat="1" ht="12.75">
      <c r="A42" s="402"/>
      <c r="B42" s="414"/>
      <c r="C42" s="400"/>
      <c r="D42" s="401"/>
      <c r="E42" s="398"/>
      <c r="F42" s="399"/>
      <c r="G42" s="399"/>
      <c r="H42" s="405"/>
      <c r="I42" s="129"/>
      <c r="J42" s="131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4">
        <f t="shared" si="317"/>
        <v>0</v>
      </c>
    </row>
    <row r="43" spans="1:94" s="72" customFormat="1" ht="12" customHeight="1">
      <c r="A43" s="402">
        <v>21</v>
      </c>
      <c r="B43" s="414" t="s">
        <v>929</v>
      </c>
      <c r="C43" s="400" t="s">
        <v>930</v>
      </c>
      <c r="D43" s="401" t="s">
        <v>416</v>
      </c>
      <c r="E43" s="398" t="s">
        <v>400</v>
      </c>
      <c r="F43" s="399">
        <v>31.54</v>
      </c>
      <c r="G43" s="399">
        <f>H43/365/F43</f>
        <v>3.1232876712328768</v>
      </c>
      <c r="H43" s="405">
        <v>35955.599999999999</v>
      </c>
      <c r="I43" s="129"/>
      <c r="J43" s="131">
        <f>ROUND(35955.6/4,0)</f>
        <v>8989</v>
      </c>
      <c r="K43" s="133">
        <f>J43</f>
        <v>8989</v>
      </c>
      <c r="L43" s="132">
        <f>K43</f>
        <v>8989</v>
      </c>
      <c r="M43" s="133">
        <f>L43</f>
        <v>8989</v>
      </c>
      <c r="N43" s="133">
        <f>ROUND(M43*(1+取值表!$D$2)*取值表!$H$2,0)</f>
        <v>8929</v>
      </c>
      <c r="O43" s="133">
        <f>N43</f>
        <v>8929</v>
      </c>
      <c r="P43" s="133">
        <f t="shared" ref="P43:Q43" si="398">O43</f>
        <v>8929</v>
      </c>
      <c r="Q43" s="133">
        <f t="shared" si="398"/>
        <v>8929</v>
      </c>
      <c r="R43" s="133">
        <f>ROUND(Q43*(1+取值表!$D$2)*取值表!$H$2,0)</f>
        <v>8869</v>
      </c>
      <c r="S43" s="133">
        <f t="shared" ref="S43:U43" si="399">R43</f>
        <v>8869</v>
      </c>
      <c r="T43" s="133">
        <f t="shared" si="399"/>
        <v>8869</v>
      </c>
      <c r="U43" s="133">
        <f t="shared" si="399"/>
        <v>8869</v>
      </c>
      <c r="V43" s="133">
        <f>ROUND(U43*(1+取值表!$D$2)*取值表!$H$2,0)</f>
        <v>8810</v>
      </c>
      <c r="W43" s="133">
        <f t="shared" ref="W43:Y43" si="400">V43</f>
        <v>8810</v>
      </c>
      <c r="X43" s="133">
        <f t="shared" si="400"/>
        <v>8810</v>
      </c>
      <c r="Y43" s="133">
        <f t="shared" si="400"/>
        <v>8810</v>
      </c>
      <c r="Z43" s="133">
        <f>ROUND(Y43*(1+取值表!$D$2)*取值表!$H$2,0)</f>
        <v>8751</v>
      </c>
      <c r="AA43" s="133">
        <f t="shared" ref="AA43:AC43" si="401">Z43</f>
        <v>8751</v>
      </c>
      <c r="AB43" s="133">
        <f t="shared" si="401"/>
        <v>8751</v>
      </c>
      <c r="AC43" s="133">
        <f t="shared" si="401"/>
        <v>8751</v>
      </c>
      <c r="AD43" s="133">
        <f>ROUND(AC43*(1+取值表!$D$2)*取值表!$H$2,0)</f>
        <v>8693</v>
      </c>
      <c r="AE43" s="133">
        <f t="shared" ref="AE43:AG43" si="402">AD43</f>
        <v>8693</v>
      </c>
      <c r="AF43" s="133">
        <f t="shared" si="402"/>
        <v>8693</v>
      </c>
      <c r="AG43" s="133">
        <f t="shared" si="402"/>
        <v>8693</v>
      </c>
      <c r="AH43" s="133">
        <f>ROUND(AG43*(1+取值表!$D$2)*取值表!$H$2,0)</f>
        <v>8635</v>
      </c>
      <c r="AI43" s="133">
        <f t="shared" ref="AI43:AK43" si="403">AH43</f>
        <v>8635</v>
      </c>
      <c r="AJ43" s="133">
        <f t="shared" si="403"/>
        <v>8635</v>
      </c>
      <c r="AK43" s="133">
        <f t="shared" si="403"/>
        <v>8635</v>
      </c>
      <c r="AL43" s="133">
        <f>ROUND(AK43*(1+取值表!$D$2)*取值表!$H$2,0)</f>
        <v>8577</v>
      </c>
      <c r="AM43" s="133">
        <f t="shared" ref="AM43:AO43" si="404">AL43</f>
        <v>8577</v>
      </c>
      <c r="AN43" s="133">
        <f t="shared" si="404"/>
        <v>8577</v>
      </c>
      <c r="AO43" s="133">
        <f t="shared" si="404"/>
        <v>8577</v>
      </c>
      <c r="AP43" s="133">
        <f>ROUND(AO43*(1+取值表!$D$2)*取值表!$H$2,0)</f>
        <v>8520</v>
      </c>
      <c r="AQ43" s="133">
        <f t="shared" ref="AQ43:AS43" si="405">AP43</f>
        <v>8520</v>
      </c>
      <c r="AR43" s="133">
        <f t="shared" si="405"/>
        <v>8520</v>
      </c>
      <c r="AS43" s="133">
        <f t="shared" si="405"/>
        <v>8520</v>
      </c>
      <c r="AT43" s="133">
        <f>ROUND(AS43*(1+取值表!$D$2)*取值表!$H$2,0)</f>
        <v>8463</v>
      </c>
      <c r="AU43" s="133">
        <f t="shared" ref="AU43:AW43" si="406">AT43</f>
        <v>8463</v>
      </c>
      <c r="AV43" s="133">
        <f t="shared" si="406"/>
        <v>8463</v>
      </c>
      <c r="AW43" s="133">
        <f t="shared" si="406"/>
        <v>8463</v>
      </c>
      <c r="AX43" s="133">
        <f>ROUND(AW43*(1+取值表!$D$2)*取值表!$H$2,0)</f>
        <v>8407</v>
      </c>
      <c r="AY43" s="133">
        <f t="shared" ref="AY43:BA43" si="407">AX43</f>
        <v>8407</v>
      </c>
      <c r="AZ43" s="133">
        <f t="shared" si="407"/>
        <v>8407</v>
      </c>
      <c r="BA43" s="133">
        <f t="shared" si="407"/>
        <v>8407</v>
      </c>
      <c r="BB43" s="133">
        <f>ROUND(BA43*(1+取值表!$D$2)*取值表!$H$2,0)</f>
        <v>8351</v>
      </c>
      <c r="BC43" s="133">
        <f t="shared" ref="BC43:BE43" si="408">BB43</f>
        <v>8351</v>
      </c>
      <c r="BD43" s="133">
        <f t="shared" si="408"/>
        <v>8351</v>
      </c>
      <c r="BE43" s="133">
        <f t="shared" si="408"/>
        <v>8351</v>
      </c>
      <c r="BF43" s="133">
        <f>ROUND(BE43*(1+取值表!$D$2)*取值表!$H$2,0)</f>
        <v>8295</v>
      </c>
      <c r="BG43" s="133">
        <f t="shared" ref="BG43:BI43" si="409">BF43</f>
        <v>8295</v>
      </c>
      <c r="BH43" s="133">
        <f t="shared" si="409"/>
        <v>8295</v>
      </c>
      <c r="BI43" s="133">
        <f t="shared" si="409"/>
        <v>8295</v>
      </c>
      <c r="BJ43" s="133">
        <f>ROUND(BI43*(1+取值表!$D$2)*取值表!$H$2,0)</f>
        <v>8240</v>
      </c>
      <c r="BK43" s="133">
        <f t="shared" ref="BK43:BM43" si="410">BJ43</f>
        <v>8240</v>
      </c>
      <c r="BL43" s="133">
        <f t="shared" si="410"/>
        <v>8240</v>
      </c>
      <c r="BM43" s="133">
        <f t="shared" si="410"/>
        <v>8240</v>
      </c>
      <c r="BN43" s="133">
        <f>ROUND(BM43*(1+取值表!$D$2)*取值表!$H$2,0)</f>
        <v>8185</v>
      </c>
      <c r="BO43" s="133">
        <f t="shared" ref="BO43:BQ43" si="411">BN43</f>
        <v>8185</v>
      </c>
      <c r="BP43" s="133">
        <f t="shared" si="411"/>
        <v>8185</v>
      </c>
      <c r="BQ43" s="133">
        <f t="shared" si="411"/>
        <v>8185</v>
      </c>
      <c r="BR43" s="133">
        <f>ROUND(BQ43*(1+取值表!$D$2)*取值表!$H$2,0)</f>
        <v>8130</v>
      </c>
      <c r="BS43" s="133">
        <f t="shared" ref="BS43:BU43" si="412">BR43</f>
        <v>8130</v>
      </c>
      <c r="BT43" s="133">
        <f t="shared" si="412"/>
        <v>8130</v>
      </c>
      <c r="BU43" s="133">
        <f t="shared" si="412"/>
        <v>8130</v>
      </c>
      <c r="BV43" s="133">
        <f>ROUND(BU43*(1+取值表!$D$2)*取值表!$H$2,0)</f>
        <v>8076</v>
      </c>
      <c r="BW43" s="133">
        <f t="shared" ref="BW43:BY43" si="413">BV43</f>
        <v>8076</v>
      </c>
      <c r="BX43" s="133">
        <f t="shared" si="413"/>
        <v>8076</v>
      </c>
      <c r="BY43" s="133">
        <f t="shared" si="413"/>
        <v>8076</v>
      </c>
      <c r="BZ43" s="133">
        <f>ROUND(BY43*(1+取值表!$D$2)*取值表!$H$2,0)</f>
        <v>8022</v>
      </c>
      <c r="CA43" s="133">
        <f t="shared" ref="CA43:CC43" si="414">BZ43</f>
        <v>8022</v>
      </c>
      <c r="CB43" s="133">
        <f t="shared" si="414"/>
        <v>8022</v>
      </c>
      <c r="CC43" s="133">
        <f t="shared" si="414"/>
        <v>8022</v>
      </c>
      <c r="CD43" s="133">
        <f>ROUND(CC43*(1+取值表!$D$2)*取值表!$H$2,0)</f>
        <v>7969</v>
      </c>
      <c r="CE43" s="133">
        <f t="shared" ref="CE43:CG43" si="415">CD43</f>
        <v>7969</v>
      </c>
      <c r="CF43" s="133">
        <f t="shared" si="415"/>
        <v>7969</v>
      </c>
      <c r="CG43" s="133">
        <f t="shared" si="415"/>
        <v>7969</v>
      </c>
      <c r="CH43" s="133">
        <f>ROUND(CG43*(1+取值表!$D$2)*取值表!$H$2,0)</f>
        <v>7916</v>
      </c>
      <c r="CI43" s="133">
        <f t="shared" ref="CI43:CK43" si="416">CH43</f>
        <v>7916</v>
      </c>
      <c r="CJ43" s="133">
        <f t="shared" si="416"/>
        <v>7916</v>
      </c>
      <c r="CK43" s="133">
        <f t="shared" si="416"/>
        <v>7916</v>
      </c>
      <c r="CL43" s="133">
        <f>ROUND(CK43*(1+取值表!$D$2)*取值表!$H$2,0)</f>
        <v>7863</v>
      </c>
      <c r="CM43" s="133">
        <f t="shared" ref="CM43:CO43" si="417">CL43</f>
        <v>7863</v>
      </c>
      <c r="CN43" s="133">
        <f t="shared" si="417"/>
        <v>7863</v>
      </c>
      <c r="CO43" s="133">
        <f t="shared" si="417"/>
        <v>7863</v>
      </c>
      <c r="CP43" s="134">
        <f t="shared" si="317"/>
        <v>706760</v>
      </c>
    </row>
    <row r="44" spans="1:94" s="72" customFormat="1" ht="12.75">
      <c r="A44" s="402"/>
      <c r="B44" s="414"/>
      <c r="C44" s="400"/>
      <c r="D44" s="401"/>
      <c r="E44" s="398"/>
      <c r="F44" s="399"/>
      <c r="G44" s="399"/>
      <c r="H44" s="405"/>
      <c r="I44" s="129"/>
      <c r="J44" s="131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4">
        <f t="shared" si="317"/>
        <v>0</v>
      </c>
    </row>
    <row r="45" spans="1:94" s="72" customFormat="1" ht="12.75">
      <c r="A45" s="402">
        <v>22</v>
      </c>
      <c r="B45" s="406" t="s">
        <v>931</v>
      </c>
      <c r="C45" s="400" t="s">
        <v>932</v>
      </c>
      <c r="D45" s="401" t="s">
        <v>417</v>
      </c>
      <c r="E45" s="398" t="s">
        <v>400</v>
      </c>
      <c r="F45" s="399">
        <v>13.65</v>
      </c>
      <c r="G45" s="399">
        <f>H45/365/F45</f>
        <v>3.1232876712328768</v>
      </c>
      <c r="H45" s="405">
        <v>15561</v>
      </c>
      <c r="I45" s="129"/>
      <c r="J45" s="131">
        <f>ROUND(15561/4,0)</f>
        <v>3890</v>
      </c>
      <c r="K45" s="133">
        <f>J45</f>
        <v>3890</v>
      </c>
      <c r="L45" s="132">
        <f>K45</f>
        <v>3890</v>
      </c>
      <c r="M45" s="133">
        <f>L45</f>
        <v>3890</v>
      </c>
      <c r="N45" s="133">
        <f>ROUND(M45*(1+取值表!$D$2)*取值表!$H$2,0)</f>
        <v>3864</v>
      </c>
      <c r="O45" s="133">
        <f>N45</f>
        <v>3864</v>
      </c>
      <c r="P45" s="133">
        <f t="shared" ref="P45:Q45" si="418">O45</f>
        <v>3864</v>
      </c>
      <c r="Q45" s="133">
        <f t="shared" si="418"/>
        <v>3864</v>
      </c>
      <c r="R45" s="133">
        <f>ROUND(Q45*(1+取值表!$D$2)*取值表!$H$2,0)</f>
        <v>3838</v>
      </c>
      <c r="S45" s="133">
        <f t="shared" ref="S45:U45" si="419">R45</f>
        <v>3838</v>
      </c>
      <c r="T45" s="133">
        <f t="shared" si="419"/>
        <v>3838</v>
      </c>
      <c r="U45" s="133">
        <f t="shared" si="419"/>
        <v>3838</v>
      </c>
      <c r="V45" s="133">
        <f>ROUND(U45*(1+取值表!$D$2)*取值表!$H$2,0)</f>
        <v>3812</v>
      </c>
      <c r="W45" s="133">
        <f t="shared" ref="W45:Y45" si="420">V45</f>
        <v>3812</v>
      </c>
      <c r="X45" s="133">
        <f t="shared" si="420"/>
        <v>3812</v>
      </c>
      <c r="Y45" s="133">
        <f t="shared" si="420"/>
        <v>3812</v>
      </c>
      <c r="Z45" s="133">
        <f>ROUND(Y45*(1+取值表!$D$2)*取值表!$H$2,0)</f>
        <v>3787</v>
      </c>
      <c r="AA45" s="133">
        <f t="shared" ref="AA45:AC45" si="421">Z45</f>
        <v>3787</v>
      </c>
      <c r="AB45" s="133">
        <f t="shared" si="421"/>
        <v>3787</v>
      </c>
      <c r="AC45" s="133">
        <f t="shared" si="421"/>
        <v>3787</v>
      </c>
      <c r="AD45" s="133">
        <f>ROUND(AC45*(1+取值表!$D$2)*取值表!$H$2,0)</f>
        <v>3762</v>
      </c>
      <c r="AE45" s="133">
        <f t="shared" ref="AE45:AG45" si="422">AD45</f>
        <v>3762</v>
      </c>
      <c r="AF45" s="133">
        <f t="shared" si="422"/>
        <v>3762</v>
      </c>
      <c r="AG45" s="133">
        <f t="shared" si="422"/>
        <v>3762</v>
      </c>
      <c r="AH45" s="133">
        <f>ROUND(AG45*(1+取值表!$D$2)*取值表!$H$2,0)</f>
        <v>3737</v>
      </c>
      <c r="AI45" s="133">
        <f t="shared" ref="AI45:AK45" si="423">AH45</f>
        <v>3737</v>
      </c>
      <c r="AJ45" s="133">
        <f t="shared" si="423"/>
        <v>3737</v>
      </c>
      <c r="AK45" s="133">
        <f t="shared" si="423"/>
        <v>3737</v>
      </c>
      <c r="AL45" s="133">
        <f>ROUND(AK45*(1+取值表!$D$2)*取值表!$H$2,0)</f>
        <v>3712</v>
      </c>
      <c r="AM45" s="133">
        <f t="shared" ref="AM45:AO45" si="424">AL45</f>
        <v>3712</v>
      </c>
      <c r="AN45" s="133">
        <f t="shared" si="424"/>
        <v>3712</v>
      </c>
      <c r="AO45" s="133">
        <f t="shared" si="424"/>
        <v>3712</v>
      </c>
      <c r="AP45" s="133">
        <f>ROUND(AO45*(1+取值表!$D$2)*取值表!$H$2,0)</f>
        <v>3687</v>
      </c>
      <c r="AQ45" s="133">
        <f t="shared" ref="AQ45:AS45" si="425">AP45</f>
        <v>3687</v>
      </c>
      <c r="AR45" s="133">
        <f t="shared" si="425"/>
        <v>3687</v>
      </c>
      <c r="AS45" s="133">
        <f t="shared" si="425"/>
        <v>3687</v>
      </c>
      <c r="AT45" s="133">
        <f>ROUND(AS45*(1+取值表!$D$2)*取值表!$H$2,0)</f>
        <v>3662</v>
      </c>
      <c r="AU45" s="133">
        <f t="shared" ref="AU45:AW45" si="426">AT45</f>
        <v>3662</v>
      </c>
      <c r="AV45" s="133">
        <f t="shared" si="426"/>
        <v>3662</v>
      </c>
      <c r="AW45" s="133">
        <f t="shared" si="426"/>
        <v>3662</v>
      </c>
      <c r="AX45" s="133">
        <f>ROUND(AW45*(1+取值表!$D$2)*取值表!$H$2,0)</f>
        <v>3638</v>
      </c>
      <c r="AY45" s="133">
        <f t="shared" ref="AY45:BA45" si="427">AX45</f>
        <v>3638</v>
      </c>
      <c r="AZ45" s="133">
        <f t="shared" si="427"/>
        <v>3638</v>
      </c>
      <c r="BA45" s="133">
        <f t="shared" si="427"/>
        <v>3638</v>
      </c>
      <c r="BB45" s="133">
        <f>ROUND(BA45*(1+取值表!$D$2)*取值表!$H$2,0)</f>
        <v>3614</v>
      </c>
      <c r="BC45" s="133">
        <f t="shared" ref="BC45:BE45" si="428">BB45</f>
        <v>3614</v>
      </c>
      <c r="BD45" s="133">
        <f t="shared" si="428"/>
        <v>3614</v>
      </c>
      <c r="BE45" s="133">
        <f t="shared" si="428"/>
        <v>3614</v>
      </c>
      <c r="BF45" s="133">
        <f>ROUND(BE45*(1+取值表!$D$2)*取值表!$H$2,0)</f>
        <v>3590</v>
      </c>
      <c r="BG45" s="133">
        <f t="shared" ref="BG45:BI45" si="429">BF45</f>
        <v>3590</v>
      </c>
      <c r="BH45" s="133">
        <f t="shared" si="429"/>
        <v>3590</v>
      </c>
      <c r="BI45" s="133">
        <f t="shared" si="429"/>
        <v>3590</v>
      </c>
      <c r="BJ45" s="133">
        <f>ROUND(BI45*(1+取值表!$D$2)*取值表!$H$2,0)</f>
        <v>3566</v>
      </c>
      <c r="BK45" s="133">
        <f t="shared" ref="BK45:BM45" si="430">BJ45</f>
        <v>3566</v>
      </c>
      <c r="BL45" s="133">
        <f t="shared" si="430"/>
        <v>3566</v>
      </c>
      <c r="BM45" s="133">
        <f t="shared" si="430"/>
        <v>3566</v>
      </c>
      <c r="BN45" s="133">
        <f>ROUND(BM45*(1+取值表!$D$2)*取值表!$H$2,0)</f>
        <v>3542</v>
      </c>
      <c r="BO45" s="133">
        <f t="shared" ref="BO45:BQ45" si="431">BN45</f>
        <v>3542</v>
      </c>
      <c r="BP45" s="133">
        <f t="shared" si="431"/>
        <v>3542</v>
      </c>
      <c r="BQ45" s="133">
        <f t="shared" si="431"/>
        <v>3542</v>
      </c>
      <c r="BR45" s="133">
        <f>ROUND(BQ45*(1+取值表!$D$2)*取值表!$H$2,0)</f>
        <v>3518</v>
      </c>
      <c r="BS45" s="133">
        <f t="shared" ref="BS45:BU45" si="432">BR45</f>
        <v>3518</v>
      </c>
      <c r="BT45" s="133">
        <f t="shared" si="432"/>
        <v>3518</v>
      </c>
      <c r="BU45" s="133">
        <f t="shared" si="432"/>
        <v>3518</v>
      </c>
      <c r="BV45" s="133">
        <f>ROUND(BU45*(1+取值表!$D$2)*取值表!$H$2,0)</f>
        <v>3495</v>
      </c>
      <c r="BW45" s="133">
        <f t="shared" ref="BW45:BY45" si="433">BV45</f>
        <v>3495</v>
      </c>
      <c r="BX45" s="133">
        <f t="shared" si="433"/>
        <v>3495</v>
      </c>
      <c r="BY45" s="133">
        <f t="shared" si="433"/>
        <v>3495</v>
      </c>
      <c r="BZ45" s="133">
        <f>ROUND(BY45*(1+取值表!$D$2)*取值表!$H$2,0)</f>
        <v>3472</v>
      </c>
      <c r="CA45" s="133">
        <f t="shared" ref="CA45:CC45" si="434">BZ45</f>
        <v>3472</v>
      </c>
      <c r="CB45" s="133">
        <f t="shared" si="434"/>
        <v>3472</v>
      </c>
      <c r="CC45" s="133">
        <f t="shared" si="434"/>
        <v>3472</v>
      </c>
      <c r="CD45" s="133">
        <f>ROUND(CC45*(1+取值表!$D$2)*取值表!$H$2,0)</f>
        <v>3449</v>
      </c>
      <c r="CE45" s="133">
        <f t="shared" ref="CE45:CG45" si="435">CD45</f>
        <v>3449</v>
      </c>
      <c r="CF45" s="133">
        <f t="shared" si="435"/>
        <v>3449</v>
      </c>
      <c r="CG45" s="133">
        <f t="shared" si="435"/>
        <v>3449</v>
      </c>
      <c r="CH45" s="133">
        <f>ROUND(CG45*(1+取值表!$D$2)*取值表!$H$2,0)</f>
        <v>3426</v>
      </c>
      <c r="CI45" s="133">
        <f t="shared" ref="CI45:CK45" si="436">CH45</f>
        <v>3426</v>
      </c>
      <c r="CJ45" s="133">
        <f t="shared" si="436"/>
        <v>3426</v>
      </c>
      <c r="CK45" s="133">
        <f t="shared" si="436"/>
        <v>3426</v>
      </c>
      <c r="CL45" s="133">
        <f>ROUND(CK45*(1+取值表!$D$2)*取值表!$H$2,0)</f>
        <v>3403</v>
      </c>
      <c r="CM45" s="133">
        <f t="shared" ref="CM45:CO45" si="437">CL45</f>
        <v>3403</v>
      </c>
      <c r="CN45" s="133">
        <f t="shared" si="437"/>
        <v>3403</v>
      </c>
      <c r="CO45" s="133">
        <f t="shared" si="437"/>
        <v>3403</v>
      </c>
      <c r="CP45" s="134">
        <f t="shared" si="317"/>
        <v>305856</v>
      </c>
    </row>
    <row r="46" spans="1:94" s="72" customFormat="1" ht="12.75">
      <c r="A46" s="402"/>
      <c r="B46" s="406"/>
      <c r="C46" s="400"/>
      <c r="D46" s="401"/>
      <c r="E46" s="398"/>
      <c r="F46" s="399"/>
      <c r="G46" s="399"/>
      <c r="H46" s="405"/>
      <c r="I46" s="129"/>
      <c r="J46" s="131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4">
        <f t="shared" si="317"/>
        <v>0</v>
      </c>
    </row>
    <row r="47" spans="1:94" s="72" customFormat="1" ht="12" customHeight="1">
      <c r="A47" s="402">
        <v>23</v>
      </c>
      <c r="B47" s="406" t="s">
        <v>933</v>
      </c>
      <c r="C47" s="400" t="s">
        <v>934</v>
      </c>
      <c r="D47" s="401" t="s">
        <v>418</v>
      </c>
      <c r="E47" s="398" t="s">
        <v>400</v>
      </c>
      <c r="F47" s="399">
        <v>11.89</v>
      </c>
      <c r="G47" s="399">
        <f>H47/365/F47</f>
        <v>3.1232876712328768</v>
      </c>
      <c r="H47" s="405">
        <v>13554.6</v>
      </c>
      <c r="I47" s="129"/>
      <c r="J47" s="131">
        <f>ROUND(13554.6/4,0)</f>
        <v>3389</v>
      </c>
      <c r="K47" s="133">
        <f>J47</f>
        <v>3389</v>
      </c>
      <c r="L47" s="132">
        <f>K47</f>
        <v>3389</v>
      </c>
      <c r="M47" s="133">
        <f>L47</f>
        <v>3389</v>
      </c>
      <c r="N47" s="133">
        <f>ROUND(M47*(1+取值表!$D$2)*取值表!$H$2,0)</f>
        <v>3366</v>
      </c>
      <c r="O47" s="133">
        <f>N47</f>
        <v>3366</v>
      </c>
      <c r="P47" s="133">
        <f t="shared" ref="P47:Q47" si="438">O47</f>
        <v>3366</v>
      </c>
      <c r="Q47" s="133">
        <f t="shared" si="438"/>
        <v>3366</v>
      </c>
      <c r="R47" s="133">
        <f>ROUND(Q47*(1+取值表!$D$2)*取值表!$H$2,0)</f>
        <v>3344</v>
      </c>
      <c r="S47" s="133">
        <f t="shared" ref="S47:U47" si="439">R47</f>
        <v>3344</v>
      </c>
      <c r="T47" s="133">
        <f t="shared" si="439"/>
        <v>3344</v>
      </c>
      <c r="U47" s="133">
        <f t="shared" si="439"/>
        <v>3344</v>
      </c>
      <c r="V47" s="133">
        <f>ROUND(U47*(1+取值表!$D$2)*取值表!$H$2,0)</f>
        <v>3322</v>
      </c>
      <c r="W47" s="133">
        <f t="shared" ref="W47:Y47" si="440">V47</f>
        <v>3322</v>
      </c>
      <c r="X47" s="133">
        <f t="shared" si="440"/>
        <v>3322</v>
      </c>
      <c r="Y47" s="133">
        <f t="shared" si="440"/>
        <v>3322</v>
      </c>
      <c r="Z47" s="133">
        <f>ROUND(Y47*(1+取值表!$D$2)*取值表!$H$2,0)</f>
        <v>3300</v>
      </c>
      <c r="AA47" s="133">
        <f t="shared" ref="AA47:AC47" si="441">Z47</f>
        <v>3300</v>
      </c>
      <c r="AB47" s="133">
        <f t="shared" si="441"/>
        <v>3300</v>
      </c>
      <c r="AC47" s="133">
        <f t="shared" si="441"/>
        <v>3300</v>
      </c>
      <c r="AD47" s="133">
        <f>ROUND(AC47*(1+取值表!$D$2)*取值表!$H$2,0)</f>
        <v>3278</v>
      </c>
      <c r="AE47" s="133">
        <f t="shared" ref="AE47:AG47" si="442">AD47</f>
        <v>3278</v>
      </c>
      <c r="AF47" s="133">
        <f t="shared" si="442"/>
        <v>3278</v>
      </c>
      <c r="AG47" s="133">
        <f t="shared" si="442"/>
        <v>3278</v>
      </c>
      <c r="AH47" s="133">
        <f>ROUND(AG47*(1+取值表!$D$2)*取值表!$H$2,0)</f>
        <v>3256</v>
      </c>
      <c r="AI47" s="133">
        <f t="shared" ref="AI47:AK47" si="443">AH47</f>
        <v>3256</v>
      </c>
      <c r="AJ47" s="133">
        <f t="shared" si="443"/>
        <v>3256</v>
      </c>
      <c r="AK47" s="133">
        <f t="shared" si="443"/>
        <v>3256</v>
      </c>
      <c r="AL47" s="133">
        <f>ROUND(AK47*(1+取值表!$D$2)*取值表!$H$2,0)</f>
        <v>3234</v>
      </c>
      <c r="AM47" s="133">
        <f t="shared" ref="AM47:AO47" si="444">AL47</f>
        <v>3234</v>
      </c>
      <c r="AN47" s="133">
        <f t="shared" si="444"/>
        <v>3234</v>
      </c>
      <c r="AO47" s="133">
        <f t="shared" si="444"/>
        <v>3234</v>
      </c>
      <c r="AP47" s="133">
        <f>ROUND(AO47*(1+取值表!$D$2)*取值表!$H$2,0)</f>
        <v>3212</v>
      </c>
      <c r="AQ47" s="133">
        <f t="shared" ref="AQ47:AS47" si="445">AP47</f>
        <v>3212</v>
      </c>
      <c r="AR47" s="133">
        <f t="shared" si="445"/>
        <v>3212</v>
      </c>
      <c r="AS47" s="133">
        <f t="shared" si="445"/>
        <v>3212</v>
      </c>
      <c r="AT47" s="133">
        <f>ROUND(AS47*(1+取值表!$D$2)*取值表!$H$2,0)</f>
        <v>3191</v>
      </c>
      <c r="AU47" s="133">
        <f t="shared" ref="AU47:AW47" si="446">AT47</f>
        <v>3191</v>
      </c>
      <c r="AV47" s="133">
        <f t="shared" si="446"/>
        <v>3191</v>
      </c>
      <c r="AW47" s="133">
        <f t="shared" si="446"/>
        <v>3191</v>
      </c>
      <c r="AX47" s="133">
        <f>ROUND(AW47*(1+取值表!$D$2)*取值表!$H$2,0)</f>
        <v>3170</v>
      </c>
      <c r="AY47" s="133">
        <f t="shared" ref="AY47:BA47" si="447">AX47</f>
        <v>3170</v>
      </c>
      <c r="AZ47" s="133">
        <f t="shared" si="447"/>
        <v>3170</v>
      </c>
      <c r="BA47" s="133">
        <f t="shared" si="447"/>
        <v>3170</v>
      </c>
      <c r="BB47" s="133">
        <f>ROUND(BA47*(1+取值表!$D$2)*取值表!$H$2,0)</f>
        <v>3149</v>
      </c>
      <c r="BC47" s="133">
        <f t="shared" ref="BC47:BE47" si="448">BB47</f>
        <v>3149</v>
      </c>
      <c r="BD47" s="133">
        <f t="shared" si="448"/>
        <v>3149</v>
      </c>
      <c r="BE47" s="133">
        <f t="shared" si="448"/>
        <v>3149</v>
      </c>
      <c r="BF47" s="133">
        <f>ROUND(BE47*(1+取值表!$D$2)*取值表!$H$2,0)</f>
        <v>3128</v>
      </c>
      <c r="BG47" s="133">
        <f t="shared" ref="BG47:BI47" si="449">BF47</f>
        <v>3128</v>
      </c>
      <c r="BH47" s="133">
        <f t="shared" si="449"/>
        <v>3128</v>
      </c>
      <c r="BI47" s="133">
        <f t="shared" si="449"/>
        <v>3128</v>
      </c>
      <c r="BJ47" s="133">
        <f>ROUND(BI47*(1+取值表!$D$2)*取值表!$H$2,0)</f>
        <v>3107</v>
      </c>
      <c r="BK47" s="133">
        <f t="shared" ref="BK47:BM47" si="450">BJ47</f>
        <v>3107</v>
      </c>
      <c r="BL47" s="133">
        <f t="shared" si="450"/>
        <v>3107</v>
      </c>
      <c r="BM47" s="133">
        <f t="shared" si="450"/>
        <v>3107</v>
      </c>
      <c r="BN47" s="133">
        <f>ROUND(BM47*(1+取值表!$D$2)*取值表!$H$2,0)</f>
        <v>3086</v>
      </c>
      <c r="BO47" s="133">
        <f t="shared" ref="BO47:BQ47" si="451">BN47</f>
        <v>3086</v>
      </c>
      <c r="BP47" s="133">
        <f t="shared" si="451"/>
        <v>3086</v>
      </c>
      <c r="BQ47" s="133">
        <f t="shared" si="451"/>
        <v>3086</v>
      </c>
      <c r="BR47" s="133">
        <f>ROUND(BQ47*(1+取值表!$D$2)*取值表!$H$2,0)</f>
        <v>3065</v>
      </c>
      <c r="BS47" s="133">
        <f t="shared" ref="BS47:BU47" si="452">BR47</f>
        <v>3065</v>
      </c>
      <c r="BT47" s="133">
        <f t="shared" si="452"/>
        <v>3065</v>
      </c>
      <c r="BU47" s="133">
        <f t="shared" si="452"/>
        <v>3065</v>
      </c>
      <c r="BV47" s="133">
        <f>ROUND(BU47*(1+取值表!$D$2)*取值表!$H$2,0)</f>
        <v>3045</v>
      </c>
      <c r="BW47" s="133">
        <f t="shared" ref="BW47:BY47" si="453">BV47</f>
        <v>3045</v>
      </c>
      <c r="BX47" s="133">
        <f t="shared" si="453"/>
        <v>3045</v>
      </c>
      <c r="BY47" s="133">
        <f t="shared" si="453"/>
        <v>3045</v>
      </c>
      <c r="BZ47" s="133">
        <f>ROUND(BY47*(1+取值表!$D$2)*取值表!$H$2,0)</f>
        <v>3025</v>
      </c>
      <c r="CA47" s="133">
        <f t="shared" ref="CA47:CC47" si="454">BZ47</f>
        <v>3025</v>
      </c>
      <c r="CB47" s="133">
        <f t="shared" si="454"/>
        <v>3025</v>
      </c>
      <c r="CC47" s="133">
        <f t="shared" si="454"/>
        <v>3025</v>
      </c>
      <c r="CD47" s="133">
        <f>ROUND(CC47*(1+取值表!$D$2)*取值表!$H$2,0)</f>
        <v>3005</v>
      </c>
      <c r="CE47" s="133">
        <f t="shared" ref="CE47:CG47" si="455">CD47</f>
        <v>3005</v>
      </c>
      <c r="CF47" s="133">
        <f t="shared" si="455"/>
        <v>3005</v>
      </c>
      <c r="CG47" s="133">
        <f t="shared" si="455"/>
        <v>3005</v>
      </c>
      <c r="CH47" s="133">
        <f>ROUND(CG47*(1+取值表!$D$2)*取值表!$H$2,0)</f>
        <v>2985</v>
      </c>
      <c r="CI47" s="133">
        <f t="shared" ref="CI47:CK47" si="456">CH47</f>
        <v>2985</v>
      </c>
      <c r="CJ47" s="133">
        <f t="shared" si="456"/>
        <v>2985</v>
      </c>
      <c r="CK47" s="133">
        <f t="shared" si="456"/>
        <v>2985</v>
      </c>
      <c r="CL47" s="133">
        <f>ROUND(CK47*(1+取值表!$D$2)*取值表!$H$2,0)</f>
        <v>2965</v>
      </c>
      <c r="CM47" s="133">
        <f t="shared" ref="CM47:CO47" si="457">CL47</f>
        <v>2965</v>
      </c>
      <c r="CN47" s="133">
        <f t="shared" si="457"/>
        <v>2965</v>
      </c>
      <c r="CO47" s="133">
        <f t="shared" si="457"/>
        <v>2965</v>
      </c>
      <c r="CP47" s="134">
        <f t="shared" si="317"/>
        <v>266488</v>
      </c>
    </row>
    <row r="48" spans="1:94" s="72" customFormat="1" ht="12" customHeight="1">
      <c r="A48" s="402"/>
      <c r="B48" s="406"/>
      <c r="C48" s="400"/>
      <c r="D48" s="401"/>
      <c r="E48" s="398"/>
      <c r="F48" s="399"/>
      <c r="G48" s="399"/>
      <c r="H48" s="405"/>
      <c r="I48" s="129"/>
      <c r="J48" s="131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4">
        <f t="shared" si="317"/>
        <v>0</v>
      </c>
    </row>
    <row r="49" spans="1:211" s="72" customFormat="1" ht="12" customHeight="1">
      <c r="A49" s="402">
        <v>24</v>
      </c>
      <c r="B49" s="406" t="s">
        <v>935</v>
      </c>
      <c r="C49" s="400" t="s">
        <v>907</v>
      </c>
      <c r="D49" s="401" t="s">
        <v>419</v>
      </c>
      <c r="E49" s="398" t="s">
        <v>400</v>
      </c>
      <c r="F49" s="399">
        <v>16.13</v>
      </c>
      <c r="G49" s="399">
        <f>H49/365/F49</f>
        <v>3.1232876712328768</v>
      </c>
      <c r="H49" s="405">
        <v>18388.2</v>
      </c>
      <c r="I49" s="129"/>
      <c r="J49" s="131">
        <f>ROUND(18388.2/4,0)</f>
        <v>4597</v>
      </c>
      <c r="K49" s="132">
        <f>J49</f>
        <v>4597</v>
      </c>
      <c r="L49" s="133">
        <f>K49</f>
        <v>4597</v>
      </c>
      <c r="M49" s="133">
        <f>L49</f>
        <v>4597</v>
      </c>
      <c r="N49" s="133">
        <f>ROUND(M49*(1+取值表!$D$2)*取值表!$H$2,0)</f>
        <v>4566</v>
      </c>
      <c r="O49" s="133">
        <f>N49</f>
        <v>4566</v>
      </c>
      <c r="P49" s="133">
        <f t="shared" ref="P49:Q49" si="458">O49</f>
        <v>4566</v>
      </c>
      <c r="Q49" s="133">
        <f t="shared" si="458"/>
        <v>4566</v>
      </c>
      <c r="R49" s="133">
        <f>ROUND(Q49*(1+取值表!$D$2)*取值表!$H$2,0)</f>
        <v>4536</v>
      </c>
      <c r="S49" s="133">
        <f t="shared" ref="S49:U49" si="459">R49</f>
        <v>4536</v>
      </c>
      <c r="T49" s="133">
        <f t="shared" si="459"/>
        <v>4536</v>
      </c>
      <c r="U49" s="133">
        <f t="shared" si="459"/>
        <v>4536</v>
      </c>
      <c r="V49" s="133">
        <f>ROUND(U49*(1+取值表!$D$2)*取值表!$H$2,0)</f>
        <v>4506</v>
      </c>
      <c r="W49" s="133">
        <f t="shared" ref="W49:Y49" si="460">V49</f>
        <v>4506</v>
      </c>
      <c r="X49" s="133">
        <f t="shared" si="460"/>
        <v>4506</v>
      </c>
      <c r="Y49" s="133">
        <f t="shared" si="460"/>
        <v>4506</v>
      </c>
      <c r="Z49" s="133">
        <f>ROUND(Y49*(1+取值表!$D$2)*取值表!$H$2,0)</f>
        <v>4476</v>
      </c>
      <c r="AA49" s="133">
        <f t="shared" ref="AA49:AC49" si="461">Z49</f>
        <v>4476</v>
      </c>
      <c r="AB49" s="133">
        <f t="shared" si="461"/>
        <v>4476</v>
      </c>
      <c r="AC49" s="133">
        <f t="shared" si="461"/>
        <v>4476</v>
      </c>
      <c r="AD49" s="133">
        <f>ROUND(AC49*(1+取值表!$D$2)*取值表!$H$2,0)</f>
        <v>4446</v>
      </c>
      <c r="AE49" s="133">
        <f t="shared" ref="AE49:AG49" si="462">AD49</f>
        <v>4446</v>
      </c>
      <c r="AF49" s="133">
        <f t="shared" si="462"/>
        <v>4446</v>
      </c>
      <c r="AG49" s="133">
        <f t="shared" si="462"/>
        <v>4446</v>
      </c>
      <c r="AH49" s="133">
        <f>ROUND(AG49*(1+取值表!$D$2)*取值表!$H$2,0)</f>
        <v>4416</v>
      </c>
      <c r="AI49" s="133">
        <f t="shared" ref="AI49:AK49" si="463">AH49</f>
        <v>4416</v>
      </c>
      <c r="AJ49" s="133">
        <f t="shared" si="463"/>
        <v>4416</v>
      </c>
      <c r="AK49" s="133">
        <f t="shared" si="463"/>
        <v>4416</v>
      </c>
      <c r="AL49" s="133">
        <f>ROUND(AK49*(1+取值表!$D$2)*取值表!$H$2,0)</f>
        <v>4387</v>
      </c>
      <c r="AM49" s="133">
        <f t="shared" ref="AM49:AO49" si="464">AL49</f>
        <v>4387</v>
      </c>
      <c r="AN49" s="133">
        <f t="shared" si="464"/>
        <v>4387</v>
      </c>
      <c r="AO49" s="133">
        <f t="shared" si="464"/>
        <v>4387</v>
      </c>
      <c r="AP49" s="133">
        <f>ROUND(AO49*(1+取值表!$D$2)*取值表!$H$2,0)</f>
        <v>4358</v>
      </c>
      <c r="AQ49" s="133">
        <f t="shared" ref="AQ49:AS49" si="465">AP49</f>
        <v>4358</v>
      </c>
      <c r="AR49" s="133">
        <f t="shared" si="465"/>
        <v>4358</v>
      </c>
      <c r="AS49" s="133">
        <f t="shared" si="465"/>
        <v>4358</v>
      </c>
      <c r="AT49" s="133">
        <f>ROUND(AS49*(1+取值表!$D$2)*取值表!$H$2,0)</f>
        <v>4329</v>
      </c>
      <c r="AU49" s="133">
        <f t="shared" ref="AU49:AW49" si="466">AT49</f>
        <v>4329</v>
      </c>
      <c r="AV49" s="133">
        <f t="shared" si="466"/>
        <v>4329</v>
      </c>
      <c r="AW49" s="133">
        <f t="shared" si="466"/>
        <v>4329</v>
      </c>
      <c r="AX49" s="133">
        <f>ROUND(AW49*(1+取值表!$D$2)*取值表!$H$2,0)</f>
        <v>4300</v>
      </c>
      <c r="AY49" s="133">
        <f t="shared" ref="AY49:BA49" si="467">AX49</f>
        <v>4300</v>
      </c>
      <c r="AZ49" s="133">
        <f t="shared" si="467"/>
        <v>4300</v>
      </c>
      <c r="BA49" s="133">
        <f t="shared" si="467"/>
        <v>4300</v>
      </c>
      <c r="BB49" s="133">
        <f>ROUND(BA49*(1+取值表!$D$2)*取值表!$H$2,0)</f>
        <v>4271</v>
      </c>
      <c r="BC49" s="133">
        <f t="shared" ref="BC49:BE49" si="468">BB49</f>
        <v>4271</v>
      </c>
      <c r="BD49" s="133">
        <f t="shared" si="468"/>
        <v>4271</v>
      </c>
      <c r="BE49" s="133">
        <f t="shared" si="468"/>
        <v>4271</v>
      </c>
      <c r="BF49" s="133">
        <f>ROUND(BE49*(1+取值表!$D$2)*取值表!$H$2,0)</f>
        <v>4243</v>
      </c>
      <c r="BG49" s="133">
        <f t="shared" ref="BG49:BI49" si="469">BF49</f>
        <v>4243</v>
      </c>
      <c r="BH49" s="133">
        <f t="shared" si="469"/>
        <v>4243</v>
      </c>
      <c r="BI49" s="133">
        <f t="shared" si="469"/>
        <v>4243</v>
      </c>
      <c r="BJ49" s="133">
        <f>ROUND(BI49*(1+取值表!$D$2)*取值表!$H$2,0)</f>
        <v>4215</v>
      </c>
      <c r="BK49" s="133">
        <f t="shared" ref="BK49:BM49" si="470">BJ49</f>
        <v>4215</v>
      </c>
      <c r="BL49" s="133">
        <f t="shared" si="470"/>
        <v>4215</v>
      </c>
      <c r="BM49" s="133">
        <f t="shared" si="470"/>
        <v>4215</v>
      </c>
      <c r="BN49" s="133">
        <f>ROUND(BM49*(1+取值表!$D$2)*取值表!$H$2,0)</f>
        <v>4187</v>
      </c>
      <c r="BO49" s="133">
        <f t="shared" ref="BO49:BQ49" si="471">BN49</f>
        <v>4187</v>
      </c>
      <c r="BP49" s="133">
        <f t="shared" si="471"/>
        <v>4187</v>
      </c>
      <c r="BQ49" s="133">
        <f t="shared" si="471"/>
        <v>4187</v>
      </c>
      <c r="BR49" s="133">
        <f>ROUND(BQ49*(1+取值表!$D$2)*取值表!$H$2,0)</f>
        <v>4159</v>
      </c>
      <c r="BS49" s="133">
        <f t="shared" ref="BS49:BU49" si="472">BR49</f>
        <v>4159</v>
      </c>
      <c r="BT49" s="133">
        <f t="shared" si="472"/>
        <v>4159</v>
      </c>
      <c r="BU49" s="133">
        <f t="shared" si="472"/>
        <v>4159</v>
      </c>
      <c r="BV49" s="133">
        <f>ROUND(BU49*(1+取值表!$D$2)*取值表!$H$2,0)</f>
        <v>4131</v>
      </c>
      <c r="BW49" s="133">
        <f t="shared" ref="BW49:BY49" si="473">BV49</f>
        <v>4131</v>
      </c>
      <c r="BX49" s="133">
        <f t="shared" si="473"/>
        <v>4131</v>
      </c>
      <c r="BY49" s="133">
        <f t="shared" si="473"/>
        <v>4131</v>
      </c>
      <c r="BZ49" s="133">
        <f>ROUND(BY49*(1+取值表!$D$2)*取值表!$H$2,0)</f>
        <v>4103</v>
      </c>
      <c r="CA49" s="133">
        <f t="shared" ref="CA49:CC49" si="474">BZ49</f>
        <v>4103</v>
      </c>
      <c r="CB49" s="133">
        <f t="shared" si="474"/>
        <v>4103</v>
      </c>
      <c r="CC49" s="133">
        <f t="shared" si="474"/>
        <v>4103</v>
      </c>
      <c r="CD49" s="133">
        <f>ROUND(CC49*(1+取值表!$D$2)*取值表!$H$2,0)</f>
        <v>4076</v>
      </c>
      <c r="CE49" s="133">
        <f t="shared" ref="CE49:CG49" si="475">CD49</f>
        <v>4076</v>
      </c>
      <c r="CF49" s="133">
        <f t="shared" si="475"/>
        <v>4076</v>
      </c>
      <c r="CG49" s="133">
        <f t="shared" si="475"/>
        <v>4076</v>
      </c>
      <c r="CH49" s="133">
        <f>ROUND(CG49*(1+取值表!$D$2)*取值表!$H$2,0)</f>
        <v>4049</v>
      </c>
      <c r="CI49" s="133">
        <f t="shared" ref="CI49:CK49" si="476">CH49</f>
        <v>4049</v>
      </c>
      <c r="CJ49" s="133">
        <f t="shared" si="476"/>
        <v>4049</v>
      </c>
      <c r="CK49" s="133">
        <f t="shared" si="476"/>
        <v>4049</v>
      </c>
      <c r="CL49" s="133">
        <f>ROUND(CK49*(1+取值表!$D$2)*取值表!$H$2,0)</f>
        <v>4022</v>
      </c>
      <c r="CM49" s="133">
        <f t="shared" ref="CM49:CO49" si="477">CL49</f>
        <v>4022</v>
      </c>
      <c r="CN49" s="133">
        <f t="shared" si="477"/>
        <v>4022</v>
      </c>
      <c r="CO49" s="133">
        <f t="shared" si="477"/>
        <v>4022</v>
      </c>
      <c r="CP49" s="134">
        <f t="shared" si="317"/>
        <v>361492</v>
      </c>
    </row>
    <row r="50" spans="1:211" s="72" customFormat="1" ht="12.75" customHeight="1">
      <c r="A50" s="402"/>
      <c r="B50" s="406"/>
      <c r="C50" s="400"/>
      <c r="D50" s="401"/>
      <c r="E50" s="398"/>
      <c r="F50" s="399"/>
      <c r="G50" s="399"/>
      <c r="H50" s="405"/>
      <c r="I50" s="129"/>
      <c r="J50" s="131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4">
        <f t="shared" si="317"/>
        <v>0</v>
      </c>
    </row>
    <row r="51" spans="1:211" s="72" customFormat="1" ht="12" customHeight="1">
      <c r="A51" s="402">
        <v>25</v>
      </c>
      <c r="B51" s="406" t="s">
        <v>936</v>
      </c>
      <c r="C51" s="400" t="s">
        <v>937</v>
      </c>
      <c r="D51" s="401" t="s">
        <v>20</v>
      </c>
      <c r="E51" s="398" t="s">
        <v>400</v>
      </c>
      <c r="F51" s="399">
        <v>17.63</v>
      </c>
      <c r="G51" s="399">
        <f>H51/365/F51</f>
        <v>3.1232876712328772</v>
      </c>
      <c r="H51" s="405">
        <v>20098.2</v>
      </c>
      <c r="I51" s="129"/>
      <c r="J51" s="132">
        <f>ROUND(20098.2/4,0)</f>
        <v>5025</v>
      </c>
      <c r="K51" s="133">
        <f>J51</f>
        <v>5025</v>
      </c>
      <c r="L51" s="133">
        <f>K51</f>
        <v>5025</v>
      </c>
      <c r="M51" s="133">
        <f>L51</f>
        <v>5025</v>
      </c>
      <c r="N51" s="133">
        <f>ROUND(M51*(1+取值表!$D$2)*取值表!$H$2,0)</f>
        <v>4992</v>
      </c>
      <c r="O51" s="133">
        <f>N51</f>
        <v>4992</v>
      </c>
      <c r="P51" s="133">
        <f t="shared" ref="P51:Q51" si="478">O51</f>
        <v>4992</v>
      </c>
      <c r="Q51" s="133">
        <f t="shared" si="478"/>
        <v>4992</v>
      </c>
      <c r="R51" s="133">
        <f>ROUND(Q51*(1+取值表!$D$2)*取值表!$H$2,0)</f>
        <v>4959</v>
      </c>
      <c r="S51" s="133">
        <f t="shared" ref="S51:U51" si="479">R51</f>
        <v>4959</v>
      </c>
      <c r="T51" s="133">
        <f t="shared" si="479"/>
        <v>4959</v>
      </c>
      <c r="U51" s="133">
        <f t="shared" si="479"/>
        <v>4959</v>
      </c>
      <c r="V51" s="133">
        <f>ROUND(U51*(1+取值表!$D$2)*取值表!$H$2,0)</f>
        <v>4926</v>
      </c>
      <c r="W51" s="133">
        <f t="shared" ref="W51:Y51" si="480">V51</f>
        <v>4926</v>
      </c>
      <c r="X51" s="133">
        <f t="shared" si="480"/>
        <v>4926</v>
      </c>
      <c r="Y51" s="133">
        <f t="shared" si="480"/>
        <v>4926</v>
      </c>
      <c r="Z51" s="133">
        <f>ROUND(Y51*(1+取值表!$D$2)*取值表!$H$2,0)</f>
        <v>4893</v>
      </c>
      <c r="AA51" s="133">
        <f t="shared" ref="AA51:AC51" si="481">Z51</f>
        <v>4893</v>
      </c>
      <c r="AB51" s="133">
        <f t="shared" si="481"/>
        <v>4893</v>
      </c>
      <c r="AC51" s="133">
        <f t="shared" si="481"/>
        <v>4893</v>
      </c>
      <c r="AD51" s="133">
        <f>ROUND(AC51*(1+取值表!$D$2)*取值表!$H$2,0)</f>
        <v>4860</v>
      </c>
      <c r="AE51" s="133">
        <f t="shared" ref="AE51:AG51" si="482">AD51</f>
        <v>4860</v>
      </c>
      <c r="AF51" s="133">
        <f t="shared" si="482"/>
        <v>4860</v>
      </c>
      <c r="AG51" s="133">
        <f t="shared" si="482"/>
        <v>4860</v>
      </c>
      <c r="AH51" s="133">
        <f>ROUND(AG51*(1+取值表!$D$2)*取值表!$H$2,0)</f>
        <v>4828</v>
      </c>
      <c r="AI51" s="133">
        <f t="shared" ref="AI51:AK51" si="483">AH51</f>
        <v>4828</v>
      </c>
      <c r="AJ51" s="133">
        <f t="shared" si="483"/>
        <v>4828</v>
      </c>
      <c r="AK51" s="133">
        <f t="shared" si="483"/>
        <v>4828</v>
      </c>
      <c r="AL51" s="133">
        <f>ROUND(AK51*(1+取值表!$D$2)*取值表!$H$2,0)</f>
        <v>4796</v>
      </c>
      <c r="AM51" s="133">
        <f t="shared" ref="AM51:AO51" si="484">AL51</f>
        <v>4796</v>
      </c>
      <c r="AN51" s="133">
        <f t="shared" si="484"/>
        <v>4796</v>
      </c>
      <c r="AO51" s="133">
        <f t="shared" si="484"/>
        <v>4796</v>
      </c>
      <c r="AP51" s="133">
        <f>ROUND(AO51*(1+取值表!$D$2)*取值表!$H$2,0)</f>
        <v>4764</v>
      </c>
      <c r="AQ51" s="133">
        <f t="shared" ref="AQ51:AS51" si="485">AP51</f>
        <v>4764</v>
      </c>
      <c r="AR51" s="133">
        <f t="shared" si="485"/>
        <v>4764</v>
      </c>
      <c r="AS51" s="133">
        <f t="shared" si="485"/>
        <v>4764</v>
      </c>
      <c r="AT51" s="133">
        <f>ROUND(AS51*(1+取值表!$D$2)*取值表!$H$2,0)</f>
        <v>4732</v>
      </c>
      <c r="AU51" s="133">
        <f t="shared" ref="AU51:AW51" si="486">AT51</f>
        <v>4732</v>
      </c>
      <c r="AV51" s="133">
        <f t="shared" si="486"/>
        <v>4732</v>
      </c>
      <c r="AW51" s="133">
        <f t="shared" si="486"/>
        <v>4732</v>
      </c>
      <c r="AX51" s="133">
        <f>ROUND(AW51*(1+取值表!$D$2)*取值表!$H$2,0)</f>
        <v>4700</v>
      </c>
      <c r="AY51" s="133">
        <f t="shared" ref="AY51:BA51" si="487">AX51</f>
        <v>4700</v>
      </c>
      <c r="AZ51" s="133">
        <f t="shared" si="487"/>
        <v>4700</v>
      </c>
      <c r="BA51" s="133">
        <f t="shared" si="487"/>
        <v>4700</v>
      </c>
      <c r="BB51" s="133">
        <f>ROUND(BA51*(1+取值表!$D$2)*取值表!$H$2,0)</f>
        <v>4669</v>
      </c>
      <c r="BC51" s="133">
        <f t="shared" ref="BC51:BE51" si="488">BB51</f>
        <v>4669</v>
      </c>
      <c r="BD51" s="133">
        <f t="shared" si="488"/>
        <v>4669</v>
      </c>
      <c r="BE51" s="133">
        <f t="shared" si="488"/>
        <v>4669</v>
      </c>
      <c r="BF51" s="133">
        <f>ROUND(BE51*(1+取值表!$D$2)*取值表!$H$2,0)</f>
        <v>4638</v>
      </c>
      <c r="BG51" s="133">
        <f t="shared" ref="BG51:BI51" si="489">BF51</f>
        <v>4638</v>
      </c>
      <c r="BH51" s="133">
        <f t="shared" si="489"/>
        <v>4638</v>
      </c>
      <c r="BI51" s="133">
        <f t="shared" si="489"/>
        <v>4638</v>
      </c>
      <c r="BJ51" s="133">
        <f>ROUND(BI51*(1+取值表!$D$2)*取值表!$H$2,0)</f>
        <v>4607</v>
      </c>
      <c r="BK51" s="133">
        <f t="shared" ref="BK51:BM51" si="490">BJ51</f>
        <v>4607</v>
      </c>
      <c r="BL51" s="133">
        <f t="shared" si="490"/>
        <v>4607</v>
      </c>
      <c r="BM51" s="133">
        <f t="shared" si="490"/>
        <v>4607</v>
      </c>
      <c r="BN51" s="133">
        <f>ROUND(BM51*(1+取值表!$D$2)*取值表!$H$2,0)</f>
        <v>4576</v>
      </c>
      <c r="BO51" s="133">
        <f t="shared" ref="BO51:BQ51" si="491">BN51</f>
        <v>4576</v>
      </c>
      <c r="BP51" s="133">
        <f t="shared" si="491"/>
        <v>4576</v>
      </c>
      <c r="BQ51" s="133">
        <f t="shared" si="491"/>
        <v>4576</v>
      </c>
      <c r="BR51" s="133">
        <f>ROUND(BQ51*(1+取值表!$D$2)*取值表!$H$2,0)</f>
        <v>4545</v>
      </c>
      <c r="BS51" s="133">
        <f t="shared" ref="BS51:BU51" si="492">BR51</f>
        <v>4545</v>
      </c>
      <c r="BT51" s="133">
        <f t="shared" si="492"/>
        <v>4545</v>
      </c>
      <c r="BU51" s="133">
        <f t="shared" si="492"/>
        <v>4545</v>
      </c>
      <c r="BV51" s="133">
        <f>ROUND(BU51*(1+取值表!$D$2)*取值表!$H$2,0)</f>
        <v>4515</v>
      </c>
      <c r="BW51" s="133">
        <f t="shared" ref="BW51:BY51" si="493">BV51</f>
        <v>4515</v>
      </c>
      <c r="BX51" s="133">
        <f t="shared" si="493"/>
        <v>4515</v>
      </c>
      <c r="BY51" s="133">
        <f t="shared" si="493"/>
        <v>4515</v>
      </c>
      <c r="BZ51" s="133">
        <f>ROUND(BY51*(1+取值表!$D$2)*取值表!$H$2,0)</f>
        <v>4485</v>
      </c>
      <c r="CA51" s="133">
        <f t="shared" ref="CA51:CC51" si="494">BZ51</f>
        <v>4485</v>
      </c>
      <c r="CB51" s="133">
        <f t="shared" si="494"/>
        <v>4485</v>
      </c>
      <c r="CC51" s="133">
        <f t="shared" si="494"/>
        <v>4485</v>
      </c>
      <c r="CD51" s="133">
        <f>ROUND(CC51*(1+取值表!$D$2)*取值表!$H$2,0)</f>
        <v>4455</v>
      </c>
      <c r="CE51" s="133">
        <f t="shared" ref="CE51:CG51" si="495">CD51</f>
        <v>4455</v>
      </c>
      <c r="CF51" s="133">
        <f t="shared" si="495"/>
        <v>4455</v>
      </c>
      <c r="CG51" s="133">
        <f t="shared" si="495"/>
        <v>4455</v>
      </c>
      <c r="CH51" s="133">
        <f>ROUND(CG51*(1+取值表!$D$2)*取值表!$H$2,0)</f>
        <v>4425</v>
      </c>
      <c r="CI51" s="133">
        <f t="shared" ref="CI51:CK51" si="496">CH51</f>
        <v>4425</v>
      </c>
      <c r="CJ51" s="133">
        <f t="shared" si="496"/>
        <v>4425</v>
      </c>
      <c r="CK51" s="133">
        <f t="shared" si="496"/>
        <v>4425</v>
      </c>
      <c r="CL51" s="133">
        <f>ROUND(CK51*(1+取值表!$D$2)*取值表!$H$2,0)</f>
        <v>4396</v>
      </c>
      <c r="CM51" s="133">
        <f t="shared" ref="CM51:CO51" si="497">CL51</f>
        <v>4396</v>
      </c>
      <c r="CN51" s="133">
        <f t="shared" si="497"/>
        <v>4396</v>
      </c>
      <c r="CO51" s="133">
        <f t="shared" si="497"/>
        <v>4396</v>
      </c>
      <c r="CP51" s="134">
        <f t="shared" si="317"/>
        <v>395144</v>
      </c>
    </row>
    <row r="52" spans="1:211" s="72" customFormat="1" ht="12" customHeight="1">
      <c r="A52" s="402"/>
      <c r="B52" s="406"/>
      <c r="C52" s="400"/>
      <c r="D52" s="401"/>
      <c r="E52" s="398"/>
      <c r="F52" s="399"/>
      <c r="G52" s="399"/>
      <c r="H52" s="405"/>
      <c r="I52" s="129"/>
      <c r="J52" s="131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4">
        <f t="shared" si="317"/>
        <v>0</v>
      </c>
    </row>
    <row r="53" spans="1:211" s="72" customFormat="1" ht="12" customHeight="1">
      <c r="A53" s="402">
        <v>26</v>
      </c>
      <c r="B53" s="406" t="s">
        <v>938</v>
      </c>
      <c r="C53" s="400" t="s">
        <v>907</v>
      </c>
      <c r="D53" s="401" t="s">
        <v>420</v>
      </c>
      <c r="E53" s="398" t="s">
        <v>400</v>
      </c>
      <c r="F53" s="399">
        <v>17.63</v>
      </c>
      <c r="G53" s="399">
        <f>H53/365/F53</f>
        <v>3.1232876712328772</v>
      </c>
      <c r="H53" s="405">
        <v>20098.2</v>
      </c>
      <c r="I53" s="129"/>
      <c r="J53" s="131">
        <f>ROUND(20098.2/4,0)</f>
        <v>5025</v>
      </c>
      <c r="K53" s="132">
        <f>J53</f>
        <v>5025</v>
      </c>
      <c r="L53" s="133">
        <f>K53</f>
        <v>5025</v>
      </c>
      <c r="M53" s="133">
        <f>L53</f>
        <v>5025</v>
      </c>
      <c r="N53" s="133">
        <f>ROUND(M53*(1+取值表!$D$2)*取值表!$H$2,0)</f>
        <v>4992</v>
      </c>
      <c r="O53" s="133">
        <f>N53</f>
        <v>4992</v>
      </c>
      <c r="P53" s="133">
        <f t="shared" ref="P53:Q53" si="498">O53</f>
        <v>4992</v>
      </c>
      <c r="Q53" s="133">
        <f t="shared" si="498"/>
        <v>4992</v>
      </c>
      <c r="R53" s="133">
        <f>ROUND(Q53*(1+取值表!$D$2)*取值表!$H$2,0)</f>
        <v>4959</v>
      </c>
      <c r="S53" s="133">
        <f t="shared" ref="S53:U53" si="499">R53</f>
        <v>4959</v>
      </c>
      <c r="T53" s="133">
        <f t="shared" si="499"/>
        <v>4959</v>
      </c>
      <c r="U53" s="133">
        <f t="shared" si="499"/>
        <v>4959</v>
      </c>
      <c r="V53" s="133">
        <f>ROUND(U53*(1+取值表!$D$2)*取值表!$H$2,0)</f>
        <v>4926</v>
      </c>
      <c r="W53" s="133">
        <f t="shared" ref="W53:Y53" si="500">V53</f>
        <v>4926</v>
      </c>
      <c r="X53" s="133">
        <f t="shared" si="500"/>
        <v>4926</v>
      </c>
      <c r="Y53" s="133">
        <f t="shared" si="500"/>
        <v>4926</v>
      </c>
      <c r="Z53" s="133">
        <f>ROUND(Y53*(1+取值表!$D$2)*取值表!$H$2,0)</f>
        <v>4893</v>
      </c>
      <c r="AA53" s="133">
        <f t="shared" ref="AA53:AC53" si="501">Z53</f>
        <v>4893</v>
      </c>
      <c r="AB53" s="133">
        <f t="shared" si="501"/>
        <v>4893</v>
      </c>
      <c r="AC53" s="133">
        <f t="shared" si="501"/>
        <v>4893</v>
      </c>
      <c r="AD53" s="133">
        <f>ROUND(AC53*(1+取值表!$D$2)*取值表!$H$2,0)</f>
        <v>4860</v>
      </c>
      <c r="AE53" s="133">
        <f t="shared" ref="AE53:AG53" si="502">AD53</f>
        <v>4860</v>
      </c>
      <c r="AF53" s="133">
        <f t="shared" si="502"/>
        <v>4860</v>
      </c>
      <c r="AG53" s="133">
        <f t="shared" si="502"/>
        <v>4860</v>
      </c>
      <c r="AH53" s="133">
        <f>ROUND(AG53*(1+取值表!$D$2)*取值表!$H$2,0)</f>
        <v>4828</v>
      </c>
      <c r="AI53" s="133">
        <f t="shared" ref="AI53:AK53" si="503">AH53</f>
        <v>4828</v>
      </c>
      <c r="AJ53" s="133">
        <f t="shared" si="503"/>
        <v>4828</v>
      </c>
      <c r="AK53" s="133">
        <f t="shared" si="503"/>
        <v>4828</v>
      </c>
      <c r="AL53" s="133">
        <f>ROUND(AK53*(1+取值表!$D$2)*取值表!$H$2,0)</f>
        <v>4796</v>
      </c>
      <c r="AM53" s="133">
        <f t="shared" ref="AM53:AO53" si="504">AL53</f>
        <v>4796</v>
      </c>
      <c r="AN53" s="133">
        <f t="shared" si="504"/>
        <v>4796</v>
      </c>
      <c r="AO53" s="133">
        <f t="shared" si="504"/>
        <v>4796</v>
      </c>
      <c r="AP53" s="133">
        <f>ROUND(AO53*(1+取值表!$D$2)*取值表!$H$2,0)</f>
        <v>4764</v>
      </c>
      <c r="AQ53" s="133">
        <f t="shared" ref="AQ53:AS53" si="505">AP53</f>
        <v>4764</v>
      </c>
      <c r="AR53" s="133">
        <f t="shared" si="505"/>
        <v>4764</v>
      </c>
      <c r="AS53" s="133">
        <f t="shared" si="505"/>
        <v>4764</v>
      </c>
      <c r="AT53" s="133">
        <f>ROUND(AS53*(1+取值表!$D$2)*取值表!$H$2,0)</f>
        <v>4732</v>
      </c>
      <c r="AU53" s="133">
        <f t="shared" ref="AU53:AW53" si="506">AT53</f>
        <v>4732</v>
      </c>
      <c r="AV53" s="133">
        <f t="shared" si="506"/>
        <v>4732</v>
      </c>
      <c r="AW53" s="133">
        <f t="shared" si="506"/>
        <v>4732</v>
      </c>
      <c r="AX53" s="133">
        <f>ROUND(AW53*(1+取值表!$D$2)*取值表!$H$2,0)</f>
        <v>4700</v>
      </c>
      <c r="AY53" s="133">
        <f t="shared" ref="AY53:BA53" si="507">AX53</f>
        <v>4700</v>
      </c>
      <c r="AZ53" s="133">
        <f t="shared" si="507"/>
        <v>4700</v>
      </c>
      <c r="BA53" s="133">
        <f t="shared" si="507"/>
        <v>4700</v>
      </c>
      <c r="BB53" s="133">
        <f>ROUND(BA53*(1+取值表!$D$2)*取值表!$H$2,0)</f>
        <v>4669</v>
      </c>
      <c r="BC53" s="133">
        <f t="shared" ref="BC53:BE53" si="508">BB53</f>
        <v>4669</v>
      </c>
      <c r="BD53" s="133">
        <f t="shared" si="508"/>
        <v>4669</v>
      </c>
      <c r="BE53" s="133">
        <f t="shared" si="508"/>
        <v>4669</v>
      </c>
      <c r="BF53" s="133">
        <f>ROUND(BE53*(1+取值表!$D$2)*取值表!$H$2,0)</f>
        <v>4638</v>
      </c>
      <c r="BG53" s="133">
        <f t="shared" ref="BG53:BI53" si="509">BF53</f>
        <v>4638</v>
      </c>
      <c r="BH53" s="133">
        <f t="shared" si="509"/>
        <v>4638</v>
      </c>
      <c r="BI53" s="133">
        <f t="shared" si="509"/>
        <v>4638</v>
      </c>
      <c r="BJ53" s="133">
        <f>ROUND(BI53*(1+取值表!$D$2)*取值表!$H$2,0)</f>
        <v>4607</v>
      </c>
      <c r="BK53" s="133">
        <f t="shared" ref="BK53:BM53" si="510">BJ53</f>
        <v>4607</v>
      </c>
      <c r="BL53" s="133">
        <f t="shared" si="510"/>
        <v>4607</v>
      </c>
      <c r="BM53" s="133">
        <f t="shared" si="510"/>
        <v>4607</v>
      </c>
      <c r="BN53" s="133">
        <f>ROUND(BM53*(1+取值表!$D$2)*取值表!$H$2,0)</f>
        <v>4576</v>
      </c>
      <c r="BO53" s="133">
        <f t="shared" ref="BO53:BQ53" si="511">BN53</f>
        <v>4576</v>
      </c>
      <c r="BP53" s="133">
        <f t="shared" si="511"/>
        <v>4576</v>
      </c>
      <c r="BQ53" s="133">
        <f t="shared" si="511"/>
        <v>4576</v>
      </c>
      <c r="BR53" s="133">
        <f>ROUND(BQ53*(1+取值表!$D$2)*取值表!$H$2,0)</f>
        <v>4545</v>
      </c>
      <c r="BS53" s="133">
        <f t="shared" ref="BS53:BU53" si="512">BR53</f>
        <v>4545</v>
      </c>
      <c r="BT53" s="133">
        <f t="shared" si="512"/>
        <v>4545</v>
      </c>
      <c r="BU53" s="133">
        <f t="shared" si="512"/>
        <v>4545</v>
      </c>
      <c r="BV53" s="133">
        <f>ROUND(BU53*(1+取值表!$D$2)*取值表!$H$2,0)</f>
        <v>4515</v>
      </c>
      <c r="BW53" s="133">
        <f t="shared" ref="BW53:BY53" si="513">BV53</f>
        <v>4515</v>
      </c>
      <c r="BX53" s="133">
        <f t="shared" si="513"/>
        <v>4515</v>
      </c>
      <c r="BY53" s="133">
        <f t="shared" si="513"/>
        <v>4515</v>
      </c>
      <c r="BZ53" s="133">
        <f>ROUND(BY53*(1+取值表!$D$2)*取值表!$H$2,0)</f>
        <v>4485</v>
      </c>
      <c r="CA53" s="133">
        <f t="shared" ref="CA53:CC53" si="514">BZ53</f>
        <v>4485</v>
      </c>
      <c r="CB53" s="133">
        <f t="shared" si="514"/>
        <v>4485</v>
      </c>
      <c r="CC53" s="133">
        <f t="shared" si="514"/>
        <v>4485</v>
      </c>
      <c r="CD53" s="133">
        <f>ROUND(CC53*(1+取值表!$D$2)*取值表!$H$2,0)</f>
        <v>4455</v>
      </c>
      <c r="CE53" s="133">
        <f t="shared" ref="CE53:CG53" si="515">CD53</f>
        <v>4455</v>
      </c>
      <c r="CF53" s="133">
        <f t="shared" si="515"/>
        <v>4455</v>
      </c>
      <c r="CG53" s="133">
        <f t="shared" si="515"/>
        <v>4455</v>
      </c>
      <c r="CH53" s="133">
        <f>ROUND(CG53*(1+取值表!$D$2)*取值表!$H$2,0)</f>
        <v>4425</v>
      </c>
      <c r="CI53" s="133">
        <f t="shared" ref="CI53:CK53" si="516">CH53</f>
        <v>4425</v>
      </c>
      <c r="CJ53" s="133">
        <f t="shared" si="516"/>
        <v>4425</v>
      </c>
      <c r="CK53" s="133">
        <f t="shared" si="516"/>
        <v>4425</v>
      </c>
      <c r="CL53" s="133">
        <f>ROUND(CK53*(1+取值表!$D$2)*取值表!$H$2,0)</f>
        <v>4396</v>
      </c>
      <c r="CM53" s="133">
        <f t="shared" ref="CM53:CO53" si="517">CL53</f>
        <v>4396</v>
      </c>
      <c r="CN53" s="133">
        <f t="shared" si="517"/>
        <v>4396</v>
      </c>
      <c r="CO53" s="133">
        <f t="shared" si="517"/>
        <v>4396</v>
      </c>
      <c r="CP53" s="134">
        <f t="shared" si="317"/>
        <v>395144</v>
      </c>
    </row>
    <row r="54" spans="1:211" s="72" customFormat="1" ht="12.75">
      <c r="A54" s="402"/>
      <c r="B54" s="406"/>
      <c r="C54" s="400"/>
      <c r="D54" s="401"/>
      <c r="E54" s="398"/>
      <c r="F54" s="399"/>
      <c r="G54" s="399"/>
      <c r="H54" s="405"/>
      <c r="I54" s="129"/>
      <c r="J54" s="131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4">
        <f t="shared" si="317"/>
        <v>0</v>
      </c>
    </row>
    <row r="55" spans="1:211" s="72" customFormat="1" ht="12" customHeight="1">
      <c r="A55" s="402">
        <v>27</v>
      </c>
      <c r="B55" s="406" t="s">
        <v>939</v>
      </c>
      <c r="C55" s="400" t="s">
        <v>907</v>
      </c>
      <c r="D55" s="401" t="s">
        <v>421</v>
      </c>
      <c r="E55" s="398" t="s">
        <v>400</v>
      </c>
      <c r="F55" s="399">
        <v>28.21</v>
      </c>
      <c r="G55" s="399">
        <f>H55/365/F55</f>
        <v>3.1232876712328768</v>
      </c>
      <c r="H55" s="405">
        <v>32159.4</v>
      </c>
      <c r="I55" s="129"/>
      <c r="J55" s="132">
        <f>ROUND(G55*F55*365/4,0)</f>
        <v>8040</v>
      </c>
      <c r="K55" s="133">
        <f>J55</f>
        <v>8040</v>
      </c>
      <c r="L55" s="133">
        <f>K55</f>
        <v>8040</v>
      </c>
      <c r="M55" s="133">
        <f>L55</f>
        <v>8040</v>
      </c>
      <c r="N55" s="133">
        <f>ROUND(M55*(1+取值表!$D$2)*取值表!$H$2,0)</f>
        <v>7986</v>
      </c>
      <c r="O55" s="133">
        <f>N55</f>
        <v>7986</v>
      </c>
      <c r="P55" s="133">
        <f t="shared" ref="P55:Q55" si="518">O55</f>
        <v>7986</v>
      </c>
      <c r="Q55" s="133">
        <f t="shared" si="518"/>
        <v>7986</v>
      </c>
      <c r="R55" s="133">
        <f>ROUND(Q55*(1+取值表!$D$2)*取值表!$H$2,0)</f>
        <v>7933</v>
      </c>
      <c r="S55" s="133">
        <f t="shared" ref="S55:U55" si="519">R55</f>
        <v>7933</v>
      </c>
      <c r="T55" s="133">
        <f t="shared" si="519"/>
        <v>7933</v>
      </c>
      <c r="U55" s="133">
        <f t="shared" si="519"/>
        <v>7933</v>
      </c>
      <c r="V55" s="133">
        <f>ROUND(U55*(1+取值表!$D$2)*取值表!$H$2,0)</f>
        <v>7880</v>
      </c>
      <c r="W55" s="133">
        <f t="shared" ref="W55:Y55" si="520">V55</f>
        <v>7880</v>
      </c>
      <c r="X55" s="133">
        <f t="shared" si="520"/>
        <v>7880</v>
      </c>
      <c r="Y55" s="133">
        <f t="shared" si="520"/>
        <v>7880</v>
      </c>
      <c r="Z55" s="133">
        <f>ROUND(Y55*(1+取值表!$D$2)*取值表!$H$2,0)</f>
        <v>7827</v>
      </c>
      <c r="AA55" s="133">
        <f t="shared" ref="AA55:AC55" si="521">Z55</f>
        <v>7827</v>
      </c>
      <c r="AB55" s="133">
        <f t="shared" si="521"/>
        <v>7827</v>
      </c>
      <c r="AC55" s="133">
        <f t="shared" si="521"/>
        <v>7827</v>
      </c>
      <c r="AD55" s="133">
        <f>ROUND(AC55*(1+取值表!$D$2)*取值表!$H$2,0)</f>
        <v>7775</v>
      </c>
      <c r="AE55" s="133">
        <f t="shared" ref="AE55:AG55" si="522">AD55</f>
        <v>7775</v>
      </c>
      <c r="AF55" s="133">
        <f t="shared" si="522"/>
        <v>7775</v>
      </c>
      <c r="AG55" s="133">
        <f t="shared" si="522"/>
        <v>7775</v>
      </c>
      <c r="AH55" s="133">
        <f>ROUND(AG55*(1+取值表!$D$2)*取值表!$H$2,0)</f>
        <v>7723</v>
      </c>
      <c r="AI55" s="133">
        <f t="shared" ref="AI55:AK55" si="523">AH55</f>
        <v>7723</v>
      </c>
      <c r="AJ55" s="133">
        <f t="shared" si="523"/>
        <v>7723</v>
      </c>
      <c r="AK55" s="133">
        <f t="shared" si="523"/>
        <v>7723</v>
      </c>
      <c r="AL55" s="133">
        <f>ROUND(AK55*(1+取值表!$D$2)*取值表!$H$2,0)</f>
        <v>7672</v>
      </c>
      <c r="AM55" s="133">
        <f t="shared" ref="AM55:AO55" si="524">AL55</f>
        <v>7672</v>
      </c>
      <c r="AN55" s="133">
        <f t="shared" si="524"/>
        <v>7672</v>
      </c>
      <c r="AO55" s="133">
        <f t="shared" si="524"/>
        <v>7672</v>
      </c>
      <c r="AP55" s="133">
        <f>ROUND(AO55*(1+取值表!$D$2)*取值表!$H$2,0)</f>
        <v>7621</v>
      </c>
      <c r="AQ55" s="133">
        <f t="shared" ref="AQ55:AS55" si="525">AP55</f>
        <v>7621</v>
      </c>
      <c r="AR55" s="133">
        <f t="shared" si="525"/>
        <v>7621</v>
      </c>
      <c r="AS55" s="133">
        <f t="shared" si="525"/>
        <v>7621</v>
      </c>
      <c r="AT55" s="133">
        <f>ROUND(AS55*(1+取值表!$D$2)*取值表!$H$2,0)</f>
        <v>7570</v>
      </c>
      <c r="AU55" s="133">
        <f t="shared" ref="AU55:AW55" si="526">AT55</f>
        <v>7570</v>
      </c>
      <c r="AV55" s="133">
        <f t="shared" si="526"/>
        <v>7570</v>
      </c>
      <c r="AW55" s="133">
        <f t="shared" si="526"/>
        <v>7570</v>
      </c>
      <c r="AX55" s="133">
        <f>ROUND(AW55*(1+取值表!$D$2)*取值表!$H$2,0)</f>
        <v>7520</v>
      </c>
      <c r="AY55" s="133">
        <f t="shared" ref="AY55:BA55" si="527">AX55</f>
        <v>7520</v>
      </c>
      <c r="AZ55" s="133">
        <f t="shared" si="527"/>
        <v>7520</v>
      </c>
      <c r="BA55" s="133">
        <f t="shared" si="527"/>
        <v>7520</v>
      </c>
      <c r="BB55" s="133">
        <f>ROUND(BA55*(1+取值表!$D$2)*取值表!$H$2,0)</f>
        <v>7470</v>
      </c>
      <c r="BC55" s="133">
        <f t="shared" ref="BC55:BE55" si="528">BB55</f>
        <v>7470</v>
      </c>
      <c r="BD55" s="133">
        <f t="shared" si="528"/>
        <v>7470</v>
      </c>
      <c r="BE55" s="133">
        <f t="shared" si="528"/>
        <v>7470</v>
      </c>
      <c r="BF55" s="133">
        <f>ROUND(BE55*(1+取值表!$D$2)*取值表!$H$2,0)</f>
        <v>7420</v>
      </c>
      <c r="BG55" s="133">
        <f t="shared" ref="BG55:BI55" si="529">BF55</f>
        <v>7420</v>
      </c>
      <c r="BH55" s="133">
        <f t="shared" si="529"/>
        <v>7420</v>
      </c>
      <c r="BI55" s="133">
        <f t="shared" si="529"/>
        <v>7420</v>
      </c>
      <c r="BJ55" s="133">
        <f>ROUND(BI55*(1+取值表!$D$2)*取值表!$H$2,0)</f>
        <v>7371</v>
      </c>
      <c r="BK55" s="133">
        <f t="shared" ref="BK55:BM55" si="530">BJ55</f>
        <v>7371</v>
      </c>
      <c r="BL55" s="133">
        <f t="shared" si="530"/>
        <v>7371</v>
      </c>
      <c r="BM55" s="133">
        <f t="shared" si="530"/>
        <v>7371</v>
      </c>
      <c r="BN55" s="133">
        <f>ROUND(BM55*(1+取值表!$D$2)*取值表!$H$2,0)</f>
        <v>7322</v>
      </c>
      <c r="BO55" s="133">
        <f t="shared" ref="BO55:BQ55" si="531">BN55</f>
        <v>7322</v>
      </c>
      <c r="BP55" s="133">
        <f t="shared" si="531"/>
        <v>7322</v>
      </c>
      <c r="BQ55" s="133">
        <f t="shared" si="531"/>
        <v>7322</v>
      </c>
      <c r="BR55" s="133">
        <f>ROUND(BQ55*(1+取值表!$D$2)*取值表!$H$2,0)</f>
        <v>7273</v>
      </c>
      <c r="BS55" s="133">
        <f t="shared" ref="BS55:BU55" si="532">BR55</f>
        <v>7273</v>
      </c>
      <c r="BT55" s="133">
        <f t="shared" si="532"/>
        <v>7273</v>
      </c>
      <c r="BU55" s="133">
        <f t="shared" si="532"/>
        <v>7273</v>
      </c>
      <c r="BV55" s="133">
        <f>ROUND(BU55*(1+取值表!$D$2)*取值表!$H$2,0)</f>
        <v>7225</v>
      </c>
      <c r="BW55" s="133">
        <f t="shared" ref="BW55:BY55" si="533">BV55</f>
        <v>7225</v>
      </c>
      <c r="BX55" s="133">
        <f t="shared" si="533"/>
        <v>7225</v>
      </c>
      <c r="BY55" s="133">
        <f t="shared" si="533"/>
        <v>7225</v>
      </c>
      <c r="BZ55" s="133">
        <f>ROUND(BY55*(1+取值表!$D$2)*取值表!$H$2,0)</f>
        <v>7177</v>
      </c>
      <c r="CA55" s="133">
        <f t="shared" ref="CA55:CC55" si="534">BZ55</f>
        <v>7177</v>
      </c>
      <c r="CB55" s="133">
        <f t="shared" si="534"/>
        <v>7177</v>
      </c>
      <c r="CC55" s="133">
        <f t="shared" si="534"/>
        <v>7177</v>
      </c>
      <c r="CD55" s="133">
        <f>ROUND(CC55*(1+取值表!$D$2)*取值表!$H$2,0)</f>
        <v>7129</v>
      </c>
      <c r="CE55" s="133">
        <f t="shared" ref="CE55:CG55" si="535">CD55</f>
        <v>7129</v>
      </c>
      <c r="CF55" s="133">
        <f t="shared" si="535"/>
        <v>7129</v>
      </c>
      <c r="CG55" s="133">
        <f t="shared" si="535"/>
        <v>7129</v>
      </c>
      <c r="CH55" s="133">
        <f>ROUND(CG55*(1+取值表!$D$2)*取值表!$H$2,0)</f>
        <v>7081</v>
      </c>
      <c r="CI55" s="133">
        <f t="shared" ref="CI55:CK55" si="536">CH55</f>
        <v>7081</v>
      </c>
      <c r="CJ55" s="133">
        <f t="shared" si="536"/>
        <v>7081</v>
      </c>
      <c r="CK55" s="133">
        <f t="shared" si="536"/>
        <v>7081</v>
      </c>
      <c r="CL55" s="133">
        <f>ROUND(CK55*(1+取值表!$D$2)*取值表!$H$2,0)</f>
        <v>7034</v>
      </c>
      <c r="CM55" s="133">
        <f t="shared" ref="CM55:CO55" si="537">CL55</f>
        <v>7034</v>
      </c>
      <c r="CN55" s="133">
        <f t="shared" si="537"/>
        <v>7034</v>
      </c>
      <c r="CO55" s="133">
        <f t="shared" si="537"/>
        <v>7034</v>
      </c>
      <c r="CP55" s="134">
        <f t="shared" si="317"/>
        <v>632196</v>
      </c>
    </row>
    <row r="56" spans="1:211" s="72" customFormat="1" ht="12.75">
      <c r="A56" s="402"/>
      <c r="B56" s="406"/>
      <c r="C56" s="400"/>
      <c r="D56" s="401"/>
      <c r="E56" s="398"/>
      <c r="F56" s="399"/>
      <c r="G56" s="399"/>
      <c r="H56" s="405"/>
      <c r="I56" s="129"/>
      <c r="J56" s="131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4">
        <f t="shared" si="317"/>
        <v>0</v>
      </c>
    </row>
    <row r="57" spans="1:211" ht="12.75" customHeight="1">
      <c r="A57" s="402">
        <v>28</v>
      </c>
      <c r="B57" s="400" t="s">
        <v>940</v>
      </c>
      <c r="C57" s="400" t="s">
        <v>941</v>
      </c>
      <c r="D57" s="415" t="s">
        <v>344</v>
      </c>
      <c r="E57" s="417" t="s">
        <v>546</v>
      </c>
      <c r="F57" s="419">
        <v>17.63</v>
      </c>
      <c r="G57" s="421">
        <f>95/30</f>
        <v>3.1666666666666665</v>
      </c>
      <c r="H57" s="423">
        <f t="shared" ref="H57:H64" si="538">G57*F57*365</f>
        <v>20377.341666666664</v>
      </c>
      <c r="I57" s="129"/>
      <c r="J57" s="135">
        <f>ROUND(G57*F57*365/4,0)</f>
        <v>5094</v>
      </c>
      <c r="K57" s="136">
        <f t="shared" ref="K57" si="539">J57</f>
        <v>5094</v>
      </c>
      <c r="L57" s="137">
        <f>K57</f>
        <v>5094</v>
      </c>
      <c r="M57" s="137">
        <f>L57</f>
        <v>5094</v>
      </c>
      <c r="N57" s="133">
        <f>ROUND(M57*(1+取值表!$D$2)*取值表!$H$2,0)</f>
        <v>5060</v>
      </c>
      <c r="O57" s="138">
        <f>N57</f>
        <v>5060</v>
      </c>
      <c r="P57" s="138">
        <f>O57</f>
        <v>5060</v>
      </c>
      <c r="Q57" s="138">
        <f>P57</f>
        <v>5060</v>
      </c>
      <c r="R57" s="133">
        <f>ROUND(Q57*(1+取值表!$D$2)*取值表!$H$2,0)</f>
        <v>5026</v>
      </c>
      <c r="S57" s="138">
        <f t="shared" ref="S57:U57" si="540">R57</f>
        <v>5026</v>
      </c>
      <c r="T57" s="138">
        <f t="shared" si="540"/>
        <v>5026</v>
      </c>
      <c r="U57" s="138">
        <f t="shared" si="540"/>
        <v>5026</v>
      </c>
      <c r="V57" s="133">
        <f>ROUND(U57*(1+取值表!$D$2)*取值表!$H$2,0)</f>
        <v>4992</v>
      </c>
      <c r="W57" s="138">
        <f t="shared" ref="W57:Y57" si="541">V57</f>
        <v>4992</v>
      </c>
      <c r="X57" s="138">
        <f t="shared" si="541"/>
        <v>4992</v>
      </c>
      <c r="Y57" s="138">
        <f t="shared" si="541"/>
        <v>4992</v>
      </c>
      <c r="Z57" s="133">
        <f>ROUND(Y57*(1+取值表!$D$2)*取值表!$H$2,0)</f>
        <v>4959</v>
      </c>
      <c r="AA57" s="138">
        <f t="shared" ref="AA57:AC57" si="542">Z57</f>
        <v>4959</v>
      </c>
      <c r="AB57" s="138">
        <f t="shared" si="542"/>
        <v>4959</v>
      </c>
      <c r="AC57" s="138">
        <f t="shared" si="542"/>
        <v>4959</v>
      </c>
      <c r="AD57" s="133">
        <f>ROUND(AC57*(1+取值表!$D$2)*取值表!$H$2,0)</f>
        <v>4926</v>
      </c>
      <c r="AE57" s="138">
        <f t="shared" ref="AE57:AG57" si="543">AD57</f>
        <v>4926</v>
      </c>
      <c r="AF57" s="138">
        <f t="shared" si="543"/>
        <v>4926</v>
      </c>
      <c r="AG57" s="138">
        <f t="shared" si="543"/>
        <v>4926</v>
      </c>
      <c r="AH57" s="133">
        <f>ROUND(AG57*(1+取值表!$D$2)*取值表!$H$2,0)</f>
        <v>4893</v>
      </c>
      <c r="AI57" s="138">
        <f t="shared" ref="AI57:AK57" si="544">AH57</f>
        <v>4893</v>
      </c>
      <c r="AJ57" s="138">
        <f t="shared" si="544"/>
        <v>4893</v>
      </c>
      <c r="AK57" s="138">
        <f t="shared" si="544"/>
        <v>4893</v>
      </c>
      <c r="AL57" s="133">
        <f>ROUND(AK57*(1+取值表!$D$2)*取值表!$H$2,0)</f>
        <v>4860</v>
      </c>
      <c r="AM57" s="138">
        <f t="shared" ref="AM57:AO57" si="545">AL57</f>
        <v>4860</v>
      </c>
      <c r="AN57" s="138">
        <f t="shared" si="545"/>
        <v>4860</v>
      </c>
      <c r="AO57" s="138">
        <f t="shared" si="545"/>
        <v>4860</v>
      </c>
      <c r="AP57" s="133">
        <f>ROUND(AO57*(1+取值表!$D$2)*取值表!$H$2,0)</f>
        <v>4828</v>
      </c>
      <c r="AQ57" s="138">
        <f t="shared" ref="AQ57:AS57" si="546">AP57</f>
        <v>4828</v>
      </c>
      <c r="AR57" s="138">
        <f t="shared" si="546"/>
        <v>4828</v>
      </c>
      <c r="AS57" s="138">
        <f t="shared" si="546"/>
        <v>4828</v>
      </c>
      <c r="AT57" s="133">
        <f>ROUND(AS57*(1+取值表!$D$2)*取值表!$H$2,0)</f>
        <v>4796</v>
      </c>
      <c r="AU57" s="138">
        <f t="shared" ref="AU57:AW57" si="547">AT57</f>
        <v>4796</v>
      </c>
      <c r="AV57" s="138">
        <f t="shared" si="547"/>
        <v>4796</v>
      </c>
      <c r="AW57" s="138">
        <f t="shared" si="547"/>
        <v>4796</v>
      </c>
      <c r="AX57" s="133">
        <f>ROUND(AW57*(1+取值表!$D$2)*取值表!$H$2,0)</f>
        <v>4764</v>
      </c>
      <c r="AY57" s="138">
        <f t="shared" ref="AY57:BA57" si="548">AX57</f>
        <v>4764</v>
      </c>
      <c r="AZ57" s="138">
        <f t="shared" si="548"/>
        <v>4764</v>
      </c>
      <c r="BA57" s="138">
        <f t="shared" si="548"/>
        <v>4764</v>
      </c>
      <c r="BB57" s="133">
        <f>ROUND(BA57*(1+取值表!$D$2)*取值表!$H$2,0)</f>
        <v>4732</v>
      </c>
      <c r="BC57" s="138">
        <f t="shared" ref="BC57:BE57" si="549">BB57</f>
        <v>4732</v>
      </c>
      <c r="BD57" s="138">
        <f t="shared" si="549"/>
        <v>4732</v>
      </c>
      <c r="BE57" s="138">
        <f t="shared" si="549"/>
        <v>4732</v>
      </c>
      <c r="BF57" s="133">
        <f>ROUND(BE57*(1+取值表!$D$2)*取值表!$H$2,0)</f>
        <v>4700</v>
      </c>
      <c r="BG57" s="138">
        <f t="shared" ref="BG57:BI57" si="550">BF57</f>
        <v>4700</v>
      </c>
      <c r="BH57" s="138">
        <f t="shared" si="550"/>
        <v>4700</v>
      </c>
      <c r="BI57" s="138">
        <f t="shared" si="550"/>
        <v>4700</v>
      </c>
      <c r="BJ57" s="133">
        <f>ROUND(BI57*(1+取值表!$D$2)*取值表!$H$2,0)</f>
        <v>4669</v>
      </c>
      <c r="BK57" s="138">
        <f t="shared" ref="BK57:BM57" si="551">BJ57</f>
        <v>4669</v>
      </c>
      <c r="BL57" s="138">
        <f t="shared" si="551"/>
        <v>4669</v>
      </c>
      <c r="BM57" s="138">
        <f t="shared" si="551"/>
        <v>4669</v>
      </c>
      <c r="BN57" s="133">
        <f>ROUND(BM57*(1+取值表!$D$2)*取值表!$H$2,0)</f>
        <v>4638</v>
      </c>
      <c r="BO57" s="138">
        <f t="shared" ref="BO57:BQ57" si="552">BN57</f>
        <v>4638</v>
      </c>
      <c r="BP57" s="138">
        <f t="shared" si="552"/>
        <v>4638</v>
      </c>
      <c r="BQ57" s="138">
        <f t="shared" si="552"/>
        <v>4638</v>
      </c>
      <c r="BR57" s="133">
        <f>ROUND(BQ57*(1+取值表!$D$2)*取值表!$H$2,0)</f>
        <v>4607</v>
      </c>
      <c r="BS57" s="138">
        <f t="shared" ref="BS57:BU57" si="553">BR57</f>
        <v>4607</v>
      </c>
      <c r="BT57" s="138">
        <f t="shared" si="553"/>
        <v>4607</v>
      </c>
      <c r="BU57" s="138">
        <f t="shared" si="553"/>
        <v>4607</v>
      </c>
      <c r="BV57" s="133">
        <f>ROUND(BU57*(1+取值表!$D$2)*取值表!$H$2,0)</f>
        <v>4576</v>
      </c>
      <c r="BW57" s="138">
        <f t="shared" ref="BW57:BY57" si="554">BV57</f>
        <v>4576</v>
      </c>
      <c r="BX57" s="138">
        <f t="shared" si="554"/>
        <v>4576</v>
      </c>
      <c r="BY57" s="138">
        <f t="shared" si="554"/>
        <v>4576</v>
      </c>
      <c r="BZ57" s="133">
        <f>ROUND(BY57*(1+取值表!$D$2)*取值表!$H$2,0)</f>
        <v>4545</v>
      </c>
      <c r="CA57" s="138">
        <f t="shared" ref="CA57:CC57" si="555">BZ57</f>
        <v>4545</v>
      </c>
      <c r="CB57" s="138">
        <f t="shared" si="555"/>
        <v>4545</v>
      </c>
      <c r="CC57" s="138">
        <f t="shared" si="555"/>
        <v>4545</v>
      </c>
      <c r="CD57" s="133">
        <f>ROUND(CC57*(1+取值表!$D$2)*取值表!$H$2,0)</f>
        <v>4515</v>
      </c>
      <c r="CE57" s="138">
        <f t="shared" ref="CE57:CG57" si="556">CD57</f>
        <v>4515</v>
      </c>
      <c r="CF57" s="138">
        <f t="shared" si="556"/>
        <v>4515</v>
      </c>
      <c r="CG57" s="138">
        <f t="shared" si="556"/>
        <v>4515</v>
      </c>
      <c r="CH57" s="133">
        <f>ROUND(CG57*(1+取值表!$D$2)*取值表!$H$2,0)</f>
        <v>4485</v>
      </c>
      <c r="CI57" s="138">
        <f t="shared" ref="CI57:CK57" si="557">CH57</f>
        <v>4485</v>
      </c>
      <c r="CJ57" s="138">
        <f t="shared" si="557"/>
        <v>4485</v>
      </c>
      <c r="CK57" s="138">
        <f t="shared" si="557"/>
        <v>4485</v>
      </c>
      <c r="CL57" s="133">
        <f>ROUND(CK57*(1+取值表!$D$2)*取值表!$H$2,0)</f>
        <v>4455</v>
      </c>
      <c r="CM57" s="138">
        <f t="shared" ref="CM57:CN57" si="558">CL57</f>
        <v>4455</v>
      </c>
      <c r="CN57" s="138">
        <f t="shared" si="558"/>
        <v>4455</v>
      </c>
      <c r="CO57" s="138">
        <f>CN57</f>
        <v>4455</v>
      </c>
      <c r="CP57" s="134">
        <f t="shared" ref="CP57:CP72" si="559">SUM(J57:CO57)</f>
        <v>400480</v>
      </c>
    </row>
    <row r="58" spans="1:211" ht="12.75" customHeight="1">
      <c r="A58" s="402"/>
      <c r="B58" s="400" t="s">
        <v>942</v>
      </c>
      <c r="C58" s="400" t="s">
        <v>943</v>
      </c>
      <c r="D58" s="416"/>
      <c r="E58" s="418"/>
      <c r="F58" s="420"/>
      <c r="G58" s="422"/>
      <c r="H58" s="424"/>
      <c r="I58" s="129"/>
      <c r="J58" s="135">
        <f t="shared" ref="J58:J62" si="560">ROUND(G58*F58*365/4,0)</f>
        <v>0</v>
      </c>
      <c r="K58" s="139"/>
      <c r="L58" s="139"/>
      <c r="M58" s="71"/>
      <c r="N58" s="133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71"/>
      <c r="CB58" s="71"/>
      <c r="CC58" s="71"/>
      <c r="CD58" s="71"/>
      <c r="CE58" s="71"/>
      <c r="CF58" s="71"/>
      <c r="CG58" s="71"/>
      <c r="CH58" s="71"/>
      <c r="CI58" s="71"/>
      <c r="CJ58" s="71"/>
      <c r="CK58" s="71"/>
      <c r="CL58" s="71"/>
      <c r="CM58" s="71"/>
      <c r="CN58" s="71"/>
      <c r="CO58" s="71"/>
      <c r="CP58" s="134">
        <f t="shared" si="559"/>
        <v>0</v>
      </c>
    </row>
    <row r="59" spans="1:211" ht="16.5" customHeight="1">
      <c r="A59" s="402">
        <v>29</v>
      </c>
      <c r="B59" s="400" t="s">
        <v>944</v>
      </c>
      <c r="C59" s="400" t="s">
        <v>945</v>
      </c>
      <c r="D59" s="415" t="s">
        <v>355</v>
      </c>
      <c r="E59" s="417" t="s">
        <v>546</v>
      </c>
      <c r="F59" s="419">
        <v>16</v>
      </c>
      <c r="G59" s="421">
        <v>3.17</v>
      </c>
      <c r="H59" s="423">
        <f>G59*F59*365</f>
        <v>18512.8</v>
      </c>
      <c r="I59" s="129"/>
      <c r="J59" s="135">
        <f>ROUND(G59*F59*365/4,0)</f>
        <v>4628</v>
      </c>
      <c r="K59" s="140">
        <f>J59</f>
        <v>4628</v>
      </c>
      <c r="L59" s="137">
        <f>K59</f>
        <v>4628</v>
      </c>
      <c r="M59" s="137">
        <f>L59</f>
        <v>4628</v>
      </c>
      <c r="N59" s="133">
        <f>ROUND(M59*(1+取值表!$D$2)*取值表!$H$2,0)</f>
        <v>4597</v>
      </c>
      <c r="O59" s="138">
        <f>N59</f>
        <v>4597</v>
      </c>
      <c r="P59" s="138">
        <f>O59</f>
        <v>4597</v>
      </c>
      <c r="Q59" s="138">
        <f>P59</f>
        <v>4597</v>
      </c>
      <c r="R59" s="133">
        <f>ROUND(Q59*(1+取值表!$D$2)*取值表!$H$2,0)</f>
        <v>4566</v>
      </c>
      <c r="S59" s="138">
        <f t="shared" ref="S59:U59" si="561">R59</f>
        <v>4566</v>
      </c>
      <c r="T59" s="138">
        <f t="shared" si="561"/>
        <v>4566</v>
      </c>
      <c r="U59" s="138">
        <f t="shared" si="561"/>
        <v>4566</v>
      </c>
      <c r="V59" s="133">
        <f>ROUND(U59*(1+取值表!$D$2)*取值表!$H$2,0)</f>
        <v>4536</v>
      </c>
      <c r="W59" s="138">
        <f t="shared" ref="W59:Y59" si="562">V59</f>
        <v>4536</v>
      </c>
      <c r="X59" s="138">
        <f t="shared" si="562"/>
        <v>4536</v>
      </c>
      <c r="Y59" s="138">
        <f t="shared" si="562"/>
        <v>4536</v>
      </c>
      <c r="Z59" s="133">
        <f>ROUND(Y59*(1+取值表!$D$2)*取值表!$H$2,0)</f>
        <v>4506</v>
      </c>
      <c r="AA59" s="138">
        <f t="shared" ref="AA59:AC59" si="563">Z59</f>
        <v>4506</v>
      </c>
      <c r="AB59" s="138">
        <f t="shared" si="563"/>
        <v>4506</v>
      </c>
      <c r="AC59" s="138">
        <f t="shared" si="563"/>
        <v>4506</v>
      </c>
      <c r="AD59" s="133">
        <f>ROUND(AC59*(1+取值表!$D$2)*取值表!$H$2,0)</f>
        <v>4476</v>
      </c>
      <c r="AE59" s="138">
        <f t="shared" ref="AE59:AG59" si="564">AD59</f>
        <v>4476</v>
      </c>
      <c r="AF59" s="138">
        <f t="shared" si="564"/>
        <v>4476</v>
      </c>
      <c r="AG59" s="138">
        <f t="shared" si="564"/>
        <v>4476</v>
      </c>
      <c r="AH59" s="133">
        <f>ROUND(AG59*(1+取值表!$D$2)*取值表!$H$2,0)</f>
        <v>4446</v>
      </c>
      <c r="AI59" s="138">
        <f t="shared" ref="AI59:AK59" si="565">AH59</f>
        <v>4446</v>
      </c>
      <c r="AJ59" s="138">
        <f t="shared" si="565"/>
        <v>4446</v>
      </c>
      <c r="AK59" s="138">
        <f t="shared" si="565"/>
        <v>4446</v>
      </c>
      <c r="AL59" s="133">
        <f>ROUND(AK59*(1+取值表!$D$2)*取值表!$H$2,0)</f>
        <v>4416</v>
      </c>
      <c r="AM59" s="138">
        <f t="shared" ref="AM59:AO59" si="566">AL59</f>
        <v>4416</v>
      </c>
      <c r="AN59" s="138">
        <f t="shared" si="566"/>
        <v>4416</v>
      </c>
      <c r="AO59" s="138">
        <f t="shared" si="566"/>
        <v>4416</v>
      </c>
      <c r="AP59" s="133">
        <f>ROUND(AO59*(1+取值表!$D$2)*取值表!$H$2,0)</f>
        <v>4387</v>
      </c>
      <c r="AQ59" s="138">
        <f t="shared" ref="AQ59:AS59" si="567">AP59</f>
        <v>4387</v>
      </c>
      <c r="AR59" s="138">
        <f t="shared" si="567"/>
        <v>4387</v>
      </c>
      <c r="AS59" s="138">
        <f t="shared" si="567"/>
        <v>4387</v>
      </c>
      <c r="AT59" s="133">
        <f>ROUND(AS59*(1+取值表!$D$2)*取值表!$H$2,0)</f>
        <v>4358</v>
      </c>
      <c r="AU59" s="138">
        <f t="shared" ref="AU59:AW59" si="568">AT59</f>
        <v>4358</v>
      </c>
      <c r="AV59" s="138">
        <f t="shared" si="568"/>
        <v>4358</v>
      </c>
      <c r="AW59" s="138">
        <f t="shared" si="568"/>
        <v>4358</v>
      </c>
      <c r="AX59" s="133">
        <f>ROUND(AW59*(1+取值表!$D$2)*取值表!$H$2,0)</f>
        <v>4329</v>
      </c>
      <c r="AY59" s="138">
        <f t="shared" ref="AY59:BA59" si="569">AX59</f>
        <v>4329</v>
      </c>
      <c r="AZ59" s="138">
        <f t="shared" si="569"/>
        <v>4329</v>
      </c>
      <c r="BA59" s="138">
        <f t="shared" si="569"/>
        <v>4329</v>
      </c>
      <c r="BB59" s="133">
        <f>ROUND(BA59*(1+取值表!$D$2)*取值表!$H$2,0)</f>
        <v>4300</v>
      </c>
      <c r="BC59" s="138">
        <f t="shared" ref="BC59:BE59" si="570">BB59</f>
        <v>4300</v>
      </c>
      <c r="BD59" s="138">
        <f t="shared" si="570"/>
        <v>4300</v>
      </c>
      <c r="BE59" s="138">
        <f t="shared" si="570"/>
        <v>4300</v>
      </c>
      <c r="BF59" s="133">
        <f>ROUND(BE59*(1+取值表!$D$2)*取值表!$H$2,0)</f>
        <v>4271</v>
      </c>
      <c r="BG59" s="138">
        <f t="shared" ref="BG59:BI59" si="571">BF59</f>
        <v>4271</v>
      </c>
      <c r="BH59" s="138">
        <f t="shared" si="571"/>
        <v>4271</v>
      </c>
      <c r="BI59" s="138">
        <f t="shared" si="571"/>
        <v>4271</v>
      </c>
      <c r="BJ59" s="133">
        <f>ROUND(BI59*(1+取值表!$D$2)*取值表!$H$2,0)</f>
        <v>4243</v>
      </c>
      <c r="BK59" s="138">
        <f t="shared" ref="BK59:BM59" si="572">BJ59</f>
        <v>4243</v>
      </c>
      <c r="BL59" s="138">
        <f t="shared" si="572"/>
        <v>4243</v>
      </c>
      <c r="BM59" s="138">
        <f t="shared" si="572"/>
        <v>4243</v>
      </c>
      <c r="BN59" s="133">
        <f>ROUND(BM59*(1+取值表!$D$2)*取值表!$H$2,0)</f>
        <v>4215</v>
      </c>
      <c r="BO59" s="138">
        <f t="shared" ref="BO59:BQ59" si="573">BN59</f>
        <v>4215</v>
      </c>
      <c r="BP59" s="138">
        <f t="shared" si="573"/>
        <v>4215</v>
      </c>
      <c r="BQ59" s="138">
        <f t="shared" si="573"/>
        <v>4215</v>
      </c>
      <c r="BR59" s="133">
        <f>ROUND(BQ59*(1+取值表!$D$2)*取值表!$H$2,0)</f>
        <v>4187</v>
      </c>
      <c r="BS59" s="138">
        <f t="shared" ref="BS59:BU59" si="574">BR59</f>
        <v>4187</v>
      </c>
      <c r="BT59" s="138">
        <f t="shared" si="574"/>
        <v>4187</v>
      </c>
      <c r="BU59" s="138">
        <f t="shared" si="574"/>
        <v>4187</v>
      </c>
      <c r="BV59" s="133">
        <f>ROUND(BU59*(1+取值表!$D$2)*取值表!$H$2,0)</f>
        <v>4159</v>
      </c>
      <c r="BW59" s="138">
        <f t="shared" ref="BW59:BY59" si="575">BV59</f>
        <v>4159</v>
      </c>
      <c r="BX59" s="138">
        <f t="shared" si="575"/>
        <v>4159</v>
      </c>
      <c r="BY59" s="138">
        <f t="shared" si="575"/>
        <v>4159</v>
      </c>
      <c r="BZ59" s="133">
        <f>ROUND(BY59*(1+取值表!$D$2)*取值表!$H$2,0)</f>
        <v>4131</v>
      </c>
      <c r="CA59" s="138">
        <f t="shared" ref="CA59:CC59" si="576">BZ59</f>
        <v>4131</v>
      </c>
      <c r="CB59" s="138">
        <f t="shared" si="576"/>
        <v>4131</v>
      </c>
      <c r="CC59" s="138">
        <f t="shared" si="576"/>
        <v>4131</v>
      </c>
      <c r="CD59" s="133">
        <f>ROUND(CC59*(1+取值表!$D$2)*取值表!$H$2,0)</f>
        <v>4103</v>
      </c>
      <c r="CE59" s="138">
        <f t="shared" ref="CE59:CG59" si="577">CD59</f>
        <v>4103</v>
      </c>
      <c r="CF59" s="138">
        <f t="shared" si="577"/>
        <v>4103</v>
      </c>
      <c r="CG59" s="138">
        <f t="shared" si="577"/>
        <v>4103</v>
      </c>
      <c r="CH59" s="133">
        <f>ROUND(CG59*(1+取值表!$D$2)*取值表!$H$2,0)</f>
        <v>4076</v>
      </c>
      <c r="CI59" s="138">
        <f t="shared" ref="CI59:CK59" si="578">CH59</f>
        <v>4076</v>
      </c>
      <c r="CJ59" s="138">
        <f t="shared" si="578"/>
        <v>4076</v>
      </c>
      <c r="CK59" s="138">
        <f t="shared" si="578"/>
        <v>4076</v>
      </c>
      <c r="CL59" s="133">
        <f>ROUND(CK59*(1+取值表!$D$2)*取值表!$H$2,0)</f>
        <v>4049</v>
      </c>
      <c r="CM59" s="138">
        <f t="shared" ref="CM59:CN59" si="579">CL59</f>
        <v>4049</v>
      </c>
      <c r="CN59" s="138">
        <f t="shared" si="579"/>
        <v>4049</v>
      </c>
      <c r="CO59" s="138">
        <f>CN59</f>
        <v>4049</v>
      </c>
      <c r="CP59" s="134">
        <f t="shared" si="559"/>
        <v>363916</v>
      </c>
    </row>
    <row r="60" spans="1:211" ht="13.5" customHeight="1">
      <c r="A60" s="402"/>
      <c r="B60" s="400" t="s">
        <v>946</v>
      </c>
      <c r="C60" s="400" t="s">
        <v>947</v>
      </c>
      <c r="D60" s="416"/>
      <c r="E60" s="418"/>
      <c r="F60" s="420"/>
      <c r="G60" s="422"/>
      <c r="H60" s="424"/>
      <c r="I60" s="129"/>
      <c r="J60" s="135">
        <f t="shared" si="560"/>
        <v>0</v>
      </c>
      <c r="K60" s="137"/>
      <c r="L60" s="139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71"/>
      <c r="CB60" s="71"/>
      <c r="CC60" s="71"/>
      <c r="CD60" s="71"/>
      <c r="CE60" s="71"/>
      <c r="CF60" s="71"/>
      <c r="CG60" s="71"/>
      <c r="CH60" s="71"/>
      <c r="CI60" s="71"/>
      <c r="CJ60" s="71"/>
      <c r="CK60" s="71"/>
      <c r="CL60" s="71"/>
      <c r="CM60" s="71"/>
      <c r="CN60" s="71"/>
      <c r="CO60" s="71"/>
      <c r="CP60" s="134">
        <f t="shared" si="559"/>
        <v>0</v>
      </c>
    </row>
    <row r="61" spans="1:211" ht="13.5" customHeight="1">
      <c r="A61" s="71">
        <v>30</v>
      </c>
      <c r="B61" s="16" t="s">
        <v>948</v>
      </c>
      <c r="C61" s="16" t="s">
        <v>949</v>
      </c>
      <c r="D61" s="141" t="s">
        <v>360</v>
      </c>
      <c r="E61" s="142" t="s">
        <v>790</v>
      </c>
      <c r="F61" s="129">
        <v>16.52</v>
      </c>
      <c r="G61" s="130">
        <v>3.12</v>
      </c>
      <c r="H61" s="143">
        <f>G61*F61*365</f>
        <v>18812.975999999999</v>
      </c>
      <c r="I61" s="129"/>
      <c r="J61" s="135">
        <f t="shared" si="560"/>
        <v>4703</v>
      </c>
      <c r="K61" s="137">
        <f t="shared" ref="K61:M62" si="580">J61</f>
        <v>4703</v>
      </c>
      <c r="L61" s="136">
        <f t="shared" si="580"/>
        <v>4703</v>
      </c>
      <c r="M61" s="137">
        <f t="shared" si="580"/>
        <v>4703</v>
      </c>
      <c r="N61" s="133">
        <f>ROUND(M61*(1+取值表!$D$2)*取值表!$H$2,0)</f>
        <v>4672</v>
      </c>
      <c r="O61" s="138">
        <f t="shared" ref="O61:Q62" si="581">N61</f>
        <v>4672</v>
      </c>
      <c r="P61" s="138">
        <f t="shared" si="581"/>
        <v>4672</v>
      </c>
      <c r="Q61" s="138">
        <f t="shared" si="581"/>
        <v>4672</v>
      </c>
      <c r="R61" s="133">
        <f>ROUND(Q61*(1+取值表!$D$2)*取值表!$H$2,0)</f>
        <v>4641</v>
      </c>
      <c r="S61" s="138">
        <f t="shared" ref="S61:U61" si="582">R61</f>
        <v>4641</v>
      </c>
      <c r="T61" s="138">
        <f t="shared" si="582"/>
        <v>4641</v>
      </c>
      <c r="U61" s="138">
        <f t="shared" si="582"/>
        <v>4641</v>
      </c>
      <c r="V61" s="133">
        <f>ROUND(U61*(1+取值表!$D$2)*取值表!$H$2,0)</f>
        <v>4610</v>
      </c>
      <c r="W61" s="138">
        <f t="shared" ref="W61:Y61" si="583">V61</f>
        <v>4610</v>
      </c>
      <c r="X61" s="138">
        <f t="shared" si="583"/>
        <v>4610</v>
      </c>
      <c r="Y61" s="138">
        <f t="shared" si="583"/>
        <v>4610</v>
      </c>
      <c r="Z61" s="133">
        <f>ROUND(Y61*(1+取值表!$D$2)*取值表!$H$2,0)</f>
        <v>4579</v>
      </c>
      <c r="AA61" s="138">
        <f t="shared" ref="AA61:AC61" si="584">Z61</f>
        <v>4579</v>
      </c>
      <c r="AB61" s="138">
        <f t="shared" si="584"/>
        <v>4579</v>
      </c>
      <c r="AC61" s="138">
        <f t="shared" si="584"/>
        <v>4579</v>
      </c>
      <c r="AD61" s="133">
        <f>ROUND(AC61*(1+取值表!$D$2)*取值表!$H$2,0)</f>
        <v>4548</v>
      </c>
      <c r="AE61" s="138">
        <f t="shared" ref="AE61:AG61" si="585">AD61</f>
        <v>4548</v>
      </c>
      <c r="AF61" s="138">
        <f t="shared" si="585"/>
        <v>4548</v>
      </c>
      <c r="AG61" s="138">
        <f t="shared" si="585"/>
        <v>4548</v>
      </c>
      <c r="AH61" s="133">
        <f>ROUND(AG61*(1+取值表!$D$2)*取值表!$H$2,0)</f>
        <v>4518</v>
      </c>
      <c r="AI61" s="138">
        <f t="shared" ref="AI61:AK61" si="586">AH61</f>
        <v>4518</v>
      </c>
      <c r="AJ61" s="138">
        <f t="shared" si="586"/>
        <v>4518</v>
      </c>
      <c r="AK61" s="138">
        <f t="shared" si="586"/>
        <v>4518</v>
      </c>
      <c r="AL61" s="133">
        <f>ROUND(AK61*(1+取值表!$D$2)*取值表!$H$2,0)</f>
        <v>4488</v>
      </c>
      <c r="AM61" s="138">
        <f t="shared" ref="AM61:AO61" si="587">AL61</f>
        <v>4488</v>
      </c>
      <c r="AN61" s="138">
        <f t="shared" si="587"/>
        <v>4488</v>
      </c>
      <c r="AO61" s="138">
        <f t="shared" si="587"/>
        <v>4488</v>
      </c>
      <c r="AP61" s="133">
        <f>ROUND(AO61*(1+取值表!$D$2)*取值表!$H$2,0)</f>
        <v>4458</v>
      </c>
      <c r="AQ61" s="138">
        <f t="shared" ref="AQ61:AS61" si="588">AP61</f>
        <v>4458</v>
      </c>
      <c r="AR61" s="138">
        <f t="shared" si="588"/>
        <v>4458</v>
      </c>
      <c r="AS61" s="138">
        <f t="shared" si="588"/>
        <v>4458</v>
      </c>
      <c r="AT61" s="133">
        <f>ROUND(AS61*(1+取值表!$D$2)*取值表!$H$2,0)</f>
        <v>4428</v>
      </c>
      <c r="AU61" s="138">
        <f t="shared" ref="AU61:AW61" si="589">AT61</f>
        <v>4428</v>
      </c>
      <c r="AV61" s="138">
        <f t="shared" si="589"/>
        <v>4428</v>
      </c>
      <c r="AW61" s="138">
        <f t="shared" si="589"/>
        <v>4428</v>
      </c>
      <c r="AX61" s="133">
        <f>ROUND(AW61*(1+取值表!$D$2)*取值表!$H$2,0)</f>
        <v>4398</v>
      </c>
      <c r="AY61" s="138">
        <f t="shared" ref="AY61:BA61" si="590">AX61</f>
        <v>4398</v>
      </c>
      <c r="AZ61" s="138">
        <f t="shared" si="590"/>
        <v>4398</v>
      </c>
      <c r="BA61" s="138">
        <f t="shared" si="590"/>
        <v>4398</v>
      </c>
      <c r="BB61" s="133">
        <f>ROUND(BA61*(1+取值表!$D$2)*取值表!$H$2,0)</f>
        <v>4369</v>
      </c>
      <c r="BC61" s="138">
        <f t="shared" ref="BC61:BE61" si="591">BB61</f>
        <v>4369</v>
      </c>
      <c r="BD61" s="138">
        <f t="shared" si="591"/>
        <v>4369</v>
      </c>
      <c r="BE61" s="138">
        <f t="shared" si="591"/>
        <v>4369</v>
      </c>
      <c r="BF61" s="133">
        <f>ROUND(BE61*(1+取值表!$D$2)*取值表!$H$2,0)</f>
        <v>4340</v>
      </c>
      <c r="BG61" s="138">
        <f t="shared" ref="BG61:BI61" si="592">BF61</f>
        <v>4340</v>
      </c>
      <c r="BH61" s="138">
        <f t="shared" si="592"/>
        <v>4340</v>
      </c>
      <c r="BI61" s="138">
        <f t="shared" si="592"/>
        <v>4340</v>
      </c>
      <c r="BJ61" s="133">
        <f>ROUND(BI61*(1+取值表!$D$2)*取值表!$H$2,0)</f>
        <v>4311</v>
      </c>
      <c r="BK61" s="138">
        <f t="shared" ref="BK61:BM61" si="593">BJ61</f>
        <v>4311</v>
      </c>
      <c r="BL61" s="138">
        <f t="shared" si="593"/>
        <v>4311</v>
      </c>
      <c r="BM61" s="138">
        <f t="shared" si="593"/>
        <v>4311</v>
      </c>
      <c r="BN61" s="133">
        <f>ROUND(BM61*(1+取值表!$D$2)*取值表!$H$2,0)</f>
        <v>4282</v>
      </c>
      <c r="BO61" s="138">
        <f t="shared" ref="BO61:BQ61" si="594">BN61</f>
        <v>4282</v>
      </c>
      <c r="BP61" s="138">
        <f t="shared" si="594"/>
        <v>4282</v>
      </c>
      <c r="BQ61" s="138">
        <f t="shared" si="594"/>
        <v>4282</v>
      </c>
      <c r="BR61" s="133">
        <f>ROUND(BQ61*(1+取值表!$D$2)*取值表!$H$2,0)</f>
        <v>4253</v>
      </c>
      <c r="BS61" s="138">
        <f t="shared" ref="BS61:BU61" si="595">BR61</f>
        <v>4253</v>
      </c>
      <c r="BT61" s="138">
        <f t="shared" si="595"/>
        <v>4253</v>
      </c>
      <c r="BU61" s="138">
        <f t="shared" si="595"/>
        <v>4253</v>
      </c>
      <c r="BV61" s="133">
        <f>ROUND(BU61*(1+取值表!$D$2)*取值表!$H$2,0)</f>
        <v>4225</v>
      </c>
      <c r="BW61" s="138">
        <f t="shared" ref="BW61:BY61" si="596">BV61</f>
        <v>4225</v>
      </c>
      <c r="BX61" s="138">
        <f t="shared" si="596"/>
        <v>4225</v>
      </c>
      <c r="BY61" s="138">
        <f t="shared" si="596"/>
        <v>4225</v>
      </c>
      <c r="BZ61" s="133">
        <f>ROUND(BY61*(1+取值表!$D$2)*取值表!$H$2,0)</f>
        <v>4197</v>
      </c>
      <c r="CA61" s="138">
        <f t="shared" ref="CA61:CC61" si="597">BZ61</f>
        <v>4197</v>
      </c>
      <c r="CB61" s="138">
        <f t="shared" si="597"/>
        <v>4197</v>
      </c>
      <c r="CC61" s="138">
        <f t="shared" si="597"/>
        <v>4197</v>
      </c>
      <c r="CD61" s="133">
        <f>ROUND(CC61*(1+取值表!$D$2)*取值表!$H$2,0)</f>
        <v>4169</v>
      </c>
      <c r="CE61" s="138">
        <f t="shared" ref="CE61:CG61" si="598">CD61</f>
        <v>4169</v>
      </c>
      <c r="CF61" s="138">
        <f t="shared" si="598"/>
        <v>4169</v>
      </c>
      <c r="CG61" s="138">
        <f t="shared" si="598"/>
        <v>4169</v>
      </c>
      <c r="CH61" s="133">
        <f>ROUND(CG61*(1+取值表!$D$2)*取值表!$H$2,0)</f>
        <v>4141</v>
      </c>
      <c r="CI61" s="138">
        <f t="shared" ref="CI61:CK61" si="599">CH61</f>
        <v>4141</v>
      </c>
      <c r="CJ61" s="138">
        <f t="shared" si="599"/>
        <v>4141</v>
      </c>
      <c r="CK61" s="138">
        <f t="shared" si="599"/>
        <v>4141</v>
      </c>
      <c r="CL61" s="133">
        <f>ROUND(CK61*(1+取值表!$D$2)*取值表!$H$2,0)</f>
        <v>4113</v>
      </c>
      <c r="CM61" s="138">
        <f t="shared" ref="CM61:CN61" si="600">CL61</f>
        <v>4113</v>
      </c>
      <c r="CN61" s="138">
        <f t="shared" si="600"/>
        <v>4113</v>
      </c>
      <c r="CO61" s="138">
        <f>CN61</f>
        <v>4113</v>
      </c>
      <c r="CP61" s="134">
        <f t="shared" si="559"/>
        <v>369772</v>
      </c>
    </row>
    <row r="62" spans="1:211" s="86" customFormat="1" ht="12" customHeight="1">
      <c r="A62" s="426">
        <v>31</v>
      </c>
      <c r="B62" s="414" t="s">
        <v>950</v>
      </c>
      <c r="C62" s="427" t="s">
        <v>951</v>
      </c>
      <c r="D62" s="428" t="s">
        <v>633</v>
      </c>
      <c r="E62" s="431">
        <v>-3</v>
      </c>
      <c r="F62" s="430">
        <v>16.809999999999999</v>
      </c>
      <c r="G62" s="430">
        <v>3.12</v>
      </c>
      <c r="H62" s="423">
        <f>G62*F62*365</f>
        <v>19143.227999999999</v>
      </c>
      <c r="I62" s="143"/>
      <c r="J62" s="132">
        <f t="shared" si="560"/>
        <v>4786</v>
      </c>
      <c r="K62" s="131">
        <f t="shared" si="580"/>
        <v>4786</v>
      </c>
      <c r="L62" s="131">
        <f t="shared" si="580"/>
        <v>4786</v>
      </c>
      <c r="M62" s="131">
        <f t="shared" si="580"/>
        <v>4786</v>
      </c>
      <c r="N62" s="133">
        <f>ROUND(M62*(1+取值表!$D$2)*取值表!$H$2,0)</f>
        <v>4754</v>
      </c>
      <c r="O62" s="131">
        <f t="shared" si="581"/>
        <v>4754</v>
      </c>
      <c r="P62" s="131">
        <f t="shared" si="581"/>
        <v>4754</v>
      </c>
      <c r="Q62" s="131">
        <f t="shared" si="581"/>
        <v>4754</v>
      </c>
      <c r="R62" s="133">
        <f>ROUND(Q62*(1+取值表!$D$2)*取值表!$H$2,0)</f>
        <v>4722</v>
      </c>
      <c r="S62" s="131">
        <f t="shared" ref="S62:U62" si="601">R62</f>
        <v>4722</v>
      </c>
      <c r="T62" s="131">
        <f t="shared" si="601"/>
        <v>4722</v>
      </c>
      <c r="U62" s="131">
        <f t="shared" si="601"/>
        <v>4722</v>
      </c>
      <c r="V62" s="133">
        <f>ROUND(U62*(1+取值表!$D$2)*取值表!$H$2,0)</f>
        <v>4691</v>
      </c>
      <c r="W62" s="131">
        <f t="shared" ref="W62:Y62" si="602">V62</f>
        <v>4691</v>
      </c>
      <c r="X62" s="131">
        <f t="shared" si="602"/>
        <v>4691</v>
      </c>
      <c r="Y62" s="131">
        <f t="shared" si="602"/>
        <v>4691</v>
      </c>
      <c r="Z62" s="133">
        <f>ROUND(Y62*(1+取值表!$D$2)*取值表!$H$2,0)</f>
        <v>4660</v>
      </c>
      <c r="AA62" s="131">
        <f t="shared" ref="AA62:AC62" si="603">Z62</f>
        <v>4660</v>
      </c>
      <c r="AB62" s="131">
        <f t="shared" si="603"/>
        <v>4660</v>
      </c>
      <c r="AC62" s="131">
        <f t="shared" si="603"/>
        <v>4660</v>
      </c>
      <c r="AD62" s="133">
        <f>ROUND(AC62*(1+取值表!$D$2)*取值表!$H$2,0)</f>
        <v>4629</v>
      </c>
      <c r="AE62" s="131">
        <f t="shared" ref="AE62:AG62" si="604">AD62</f>
        <v>4629</v>
      </c>
      <c r="AF62" s="131">
        <f t="shared" si="604"/>
        <v>4629</v>
      </c>
      <c r="AG62" s="131">
        <f t="shared" si="604"/>
        <v>4629</v>
      </c>
      <c r="AH62" s="133">
        <f>ROUND(AG62*(1+取值表!$D$2)*取值表!$H$2,0)</f>
        <v>4598</v>
      </c>
      <c r="AI62" s="131">
        <f t="shared" ref="AI62:AK62" si="605">AH62</f>
        <v>4598</v>
      </c>
      <c r="AJ62" s="131">
        <f t="shared" si="605"/>
        <v>4598</v>
      </c>
      <c r="AK62" s="131">
        <f t="shared" si="605"/>
        <v>4598</v>
      </c>
      <c r="AL62" s="133">
        <f>ROUND(AK62*(1+取值表!$D$2)*取值表!$H$2,0)</f>
        <v>4567</v>
      </c>
      <c r="AM62" s="131">
        <f t="shared" ref="AM62:AO62" si="606">AL62</f>
        <v>4567</v>
      </c>
      <c r="AN62" s="131">
        <f t="shared" si="606"/>
        <v>4567</v>
      </c>
      <c r="AO62" s="131">
        <f t="shared" si="606"/>
        <v>4567</v>
      </c>
      <c r="AP62" s="133">
        <f>ROUND(AO62*(1+取值表!$D$2)*取值表!$H$2,0)</f>
        <v>4537</v>
      </c>
      <c r="AQ62" s="131">
        <f t="shared" ref="AQ62:AS62" si="607">AP62</f>
        <v>4537</v>
      </c>
      <c r="AR62" s="131">
        <f t="shared" si="607"/>
        <v>4537</v>
      </c>
      <c r="AS62" s="131">
        <f t="shared" si="607"/>
        <v>4537</v>
      </c>
      <c r="AT62" s="133">
        <f>ROUND(AS62*(1+取值表!$D$2)*取值表!$H$2,0)</f>
        <v>4507</v>
      </c>
      <c r="AU62" s="131">
        <f t="shared" ref="AU62:AW62" si="608">AT62</f>
        <v>4507</v>
      </c>
      <c r="AV62" s="131">
        <f t="shared" si="608"/>
        <v>4507</v>
      </c>
      <c r="AW62" s="131">
        <f t="shared" si="608"/>
        <v>4507</v>
      </c>
      <c r="AX62" s="133">
        <f>ROUND(AW62*(1+取值表!$D$2)*取值表!$H$2,0)</f>
        <v>4477</v>
      </c>
      <c r="AY62" s="131">
        <f t="shared" ref="AY62:BA62" si="609">AX62</f>
        <v>4477</v>
      </c>
      <c r="AZ62" s="131">
        <f t="shared" si="609"/>
        <v>4477</v>
      </c>
      <c r="BA62" s="131">
        <f t="shared" si="609"/>
        <v>4477</v>
      </c>
      <c r="BB62" s="133">
        <f>ROUND(BA62*(1+取值表!$D$2)*取值表!$H$2,0)</f>
        <v>4447</v>
      </c>
      <c r="BC62" s="131">
        <f t="shared" ref="BC62:BE62" si="610">BB62</f>
        <v>4447</v>
      </c>
      <c r="BD62" s="131">
        <f t="shared" si="610"/>
        <v>4447</v>
      </c>
      <c r="BE62" s="131">
        <f t="shared" si="610"/>
        <v>4447</v>
      </c>
      <c r="BF62" s="133">
        <f>ROUND(BE62*(1+取值表!$D$2)*取值表!$H$2,0)</f>
        <v>4417</v>
      </c>
      <c r="BG62" s="131">
        <f t="shared" ref="BG62:BI62" si="611">BF62</f>
        <v>4417</v>
      </c>
      <c r="BH62" s="131">
        <f t="shared" si="611"/>
        <v>4417</v>
      </c>
      <c r="BI62" s="131">
        <f t="shared" si="611"/>
        <v>4417</v>
      </c>
      <c r="BJ62" s="133">
        <f>ROUND(BI62*(1+取值表!$D$2)*取值表!$H$2,0)</f>
        <v>4388</v>
      </c>
      <c r="BK62" s="131">
        <f t="shared" ref="BK62:BM62" si="612">BJ62</f>
        <v>4388</v>
      </c>
      <c r="BL62" s="131">
        <f t="shared" si="612"/>
        <v>4388</v>
      </c>
      <c r="BM62" s="131">
        <f t="shared" si="612"/>
        <v>4388</v>
      </c>
      <c r="BN62" s="133">
        <f>ROUND(BM62*(1+取值表!$D$2)*取值表!$H$2,0)</f>
        <v>4359</v>
      </c>
      <c r="BO62" s="131">
        <f t="shared" ref="BO62:BQ62" si="613">BN62</f>
        <v>4359</v>
      </c>
      <c r="BP62" s="131">
        <f t="shared" si="613"/>
        <v>4359</v>
      </c>
      <c r="BQ62" s="131">
        <f t="shared" si="613"/>
        <v>4359</v>
      </c>
      <c r="BR62" s="133">
        <f>ROUND(BQ62*(1+取值表!$D$2)*取值表!$H$2,0)</f>
        <v>4330</v>
      </c>
      <c r="BS62" s="131">
        <f t="shared" ref="BS62:BU62" si="614">BR62</f>
        <v>4330</v>
      </c>
      <c r="BT62" s="131">
        <f t="shared" si="614"/>
        <v>4330</v>
      </c>
      <c r="BU62" s="131">
        <f t="shared" si="614"/>
        <v>4330</v>
      </c>
      <c r="BV62" s="133">
        <f>ROUND(BU62*(1+取值表!$D$2)*取值表!$H$2,0)</f>
        <v>4301</v>
      </c>
      <c r="BW62" s="131">
        <f t="shared" ref="BW62:BY62" si="615">BV62</f>
        <v>4301</v>
      </c>
      <c r="BX62" s="131">
        <f t="shared" si="615"/>
        <v>4301</v>
      </c>
      <c r="BY62" s="131">
        <f t="shared" si="615"/>
        <v>4301</v>
      </c>
      <c r="BZ62" s="133">
        <f>ROUND(BY62*(1+取值表!$D$2)*取值表!$H$2,0)</f>
        <v>4272</v>
      </c>
      <c r="CA62" s="131">
        <f t="shared" ref="CA62:CC62" si="616">BZ62</f>
        <v>4272</v>
      </c>
      <c r="CB62" s="131">
        <f t="shared" si="616"/>
        <v>4272</v>
      </c>
      <c r="CC62" s="131">
        <f t="shared" si="616"/>
        <v>4272</v>
      </c>
      <c r="CD62" s="133">
        <f>ROUND(CC62*(1+取值表!$D$2)*取值表!$H$2,0)</f>
        <v>4244</v>
      </c>
      <c r="CE62" s="131">
        <f t="shared" ref="CE62:CG62" si="617">CD62</f>
        <v>4244</v>
      </c>
      <c r="CF62" s="131">
        <f t="shared" si="617"/>
        <v>4244</v>
      </c>
      <c r="CG62" s="131">
        <f t="shared" si="617"/>
        <v>4244</v>
      </c>
      <c r="CH62" s="133">
        <f>ROUND(CG62*(1+取值表!$D$2)*取值表!$H$2,0)</f>
        <v>4216</v>
      </c>
      <c r="CI62" s="131">
        <f t="shared" ref="CI62:CK62" si="618">CH62</f>
        <v>4216</v>
      </c>
      <c r="CJ62" s="131">
        <f t="shared" si="618"/>
        <v>4216</v>
      </c>
      <c r="CK62" s="131">
        <f t="shared" si="618"/>
        <v>4216</v>
      </c>
      <c r="CL62" s="133">
        <f>ROUND(CK62*(1+取值表!$D$2)*取值表!$H$2,0)</f>
        <v>4188</v>
      </c>
      <c r="CM62" s="131">
        <f t="shared" ref="CM62:CO62" si="619">CL62</f>
        <v>4188</v>
      </c>
      <c r="CN62" s="131">
        <f t="shared" si="619"/>
        <v>4188</v>
      </c>
      <c r="CO62" s="131">
        <f t="shared" si="619"/>
        <v>4188</v>
      </c>
      <c r="CP62" s="134">
        <f t="shared" si="559"/>
        <v>376360</v>
      </c>
      <c r="CQ62" s="144"/>
      <c r="CR62" s="144"/>
      <c r="CS62" s="144"/>
      <c r="CT62" s="144"/>
      <c r="CU62" s="144"/>
      <c r="CV62" s="144"/>
      <c r="CW62" s="144"/>
      <c r="CX62" s="144"/>
      <c r="CY62" s="144"/>
      <c r="CZ62" s="144"/>
      <c r="DA62" s="144"/>
      <c r="DB62" s="144"/>
      <c r="DC62" s="144"/>
      <c r="DD62" s="144"/>
      <c r="DE62" s="144"/>
      <c r="DF62" s="144"/>
      <c r="DG62" s="144"/>
      <c r="DH62" s="144"/>
      <c r="DI62" s="144"/>
      <c r="DJ62" s="144"/>
      <c r="DK62" s="144"/>
      <c r="DL62" s="144"/>
      <c r="DM62" s="144"/>
      <c r="DN62" s="144"/>
      <c r="DO62" s="144"/>
      <c r="DP62" s="144"/>
      <c r="DQ62" s="144"/>
      <c r="DR62" s="144"/>
      <c r="DS62" s="144"/>
      <c r="DT62" s="144"/>
      <c r="DU62" s="144"/>
      <c r="DV62" s="144"/>
      <c r="DW62" s="144"/>
      <c r="DX62" s="144"/>
      <c r="DY62" s="144"/>
      <c r="DZ62" s="144"/>
      <c r="EA62" s="144"/>
      <c r="EB62" s="144"/>
      <c r="EC62" s="144"/>
      <c r="ED62" s="144"/>
      <c r="EE62" s="144"/>
      <c r="EF62" s="144"/>
      <c r="EG62" s="144"/>
      <c r="EH62" s="144"/>
      <c r="EI62" s="144"/>
      <c r="EJ62" s="144"/>
      <c r="EK62" s="144"/>
      <c r="EL62" s="144"/>
      <c r="EM62" s="144"/>
      <c r="EN62" s="144"/>
      <c r="EO62" s="144"/>
      <c r="EP62" s="144"/>
      <c r="EQ62" s="144"/>
      <c r="ER62" s="144"/>
      <c r="ES62" s="144"/>
      <c r="ET62" s="144"/>
      <c r="EU62" s="144"/>
      <c r="EV62" s="144"/>
      <c r="EW62" s="144"/>
      <c r="EX62" s="144"/>
      <c r="EY62" s="144"/>
      <c r="EZ62" s="144"/>
      <c r="FA62" s="144"/>
      <c r="FB62" s="144"/>
      <c r="FC62" s="144"/>
      <c r="FD62" s="144"/>
      <c r="FE62" s="144"/>
      <c r="FF62" s="144"/>
      <c r="FG62" s="144"/>
      <c r="FH62" s="144"/>
      <c r="FI62" s="144"/>
      <c r="FJ62" s="144"/>
      <c r="FK62" s="144"/>
      <c r="FL62" s="144"/>
      <c r="FM62" s="144"/>
      <c r="FN62" s="144"/>
      <c r="FO62" s="144"/>
      <c r="FP62" s="144"/>
      <c r="FQ62" s="144"/>
      <c r="FR62" s="144"/>
      <c r="FS62" s="144"/>
      <c r="FT62" s="144"/>
      <c r="FU62" s="144"/>
      <c r="FV62" s="144"/>
      <c r="FW62" s="144"/>
      <c r="FX62" s="144"/>
      <c r="FY62" s="144"/>
      <c r="FZ62" s="144"/>
      <c r="GA62" s="144"/>
      <c r="GB62" s="144"/>
      <c r="GC62" s="144"/>
      <c r="GD62" s="144"/>
      <c r="GE62" s="144"/>
      <c r="GF62" s="144"/>
      <c r="GG62" s="144"/>
      <c r="GH62" s="144"/>
      <c r="GI62" s="144"/>
      <c r="GJ62" s="144"/>
      <c r="GK62" s="144"/>
      <c r="GL62" s="144"/>
      <c r="GM62" s="144"/>
      <c r="GN62" s="144"/>
      <c r="GO62" s="144"/>
      <c r="GP62" s="144"/>
      <c r="GQ62" s="144"/>
      <c r="GR62" s="144"/>
      <c r="GS62" s="144"/>
      <c r="GT62" s="144"/>
      <c r="GU62" s="144"/>
      <c r="GV62" s="144"/>
      <c r="GW62" s="144"/>
      <c r="GX62" s="144"/>
      <c r="GY62" s="144"/>
      <c r="GZ62" s="145">
        <f t="shared" ref="GZ62:GZ71" si="620">SUM(J62:GY62)</f>
        <v>752720</v>
      </c>
      <c r="HA62" s="146"/>
      <c r="HB62" s="147"/>
      <c r="HC62" s="148">
        <v>16924.8</v>
      </c>
    </row>
    <row r="63" spans="1:211" s="86" customFormat="1" ht="12.75">
      <c r="A63" s="426"/>
      <c r="B63" s="414"/>
      <c r="C63" s="427"/>
      <c r="D63" s="428"/>
      <c r="E63" s="432"/>
      <c r="F63" s="430"/>
      <c r="G63" s="430"/>
      <c r="H63" s="424"/>
      <c r="I63" s="143"/>
      <c r="J63" s="131"/>
      <c r="K63" s="131"/>
      <c r="L63" s="131"/>
      <c r="M63" s="131"/>
      <c r="N63" s="131"/>
      <c r="O63" s="131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  <c r="AE63" s="131"/>
      <c r="AF63" s="131"/>
      <c r="AG63" s="131"/>
      <c r="AH63" s="131"/>
      <c r="AI63" s="131"/>
      <c r="AJ63" s="131"/>
      <c r="AK63" s="131"/>
      <c r="AL63" s="131"/>
      <c r="AM63" s="131"/>
      <c r="AN63" s="131"/>
      <c r="AO63" s="131"/>
      <c r="AP63" s="131"/>
      <c r="AQ63" s="131"/>
      <c r="AR63" s="131"/>
      <c r="AS63" s="131"/>
      <c r="AT63" s="131"/>
      <c r="AU63" s="131"/>
      <c r="AV63" s="131"/>
      <c r="AW63" s="131"/>
      <c r="AX63" s="131"/>
      <c r="AY63" s="131"/>
      <c r="AZ63" s="131"/>
      <c r="BA63" s="131"/>
      <c r="BB63" s="131"/>
      <c r="BC63" s="131"/>
      <c r="BD63" s="131"/>
      <c r="BE63" s="131"/>
      <c r="BF63" s="131"/>
      <c r="BG63" s="131"/>
      <c r="BH63" s="131"/>
      <c r="BI63" s="131"/>
      <c r="BJ63" s="131"/>
      <c r="BK63" s="131"/>
      <c r="BL63" s="131"/>
      <c r="BM63" s="131"/>
      <c r="BN63" s="131"/>
      <c r="BO63" s="131"/>
      <c r="BP63" s="131"/>
      <c r="BQ63" s="131"/>
      <c r="BR63" s="131"/>
      <c r="BS63" s="131"/>
      <c r="BT63" s="131"/>
      <c r="BU63" s="131"/>
      <c r="BV63" s="131"/>
      <c r="BW63" s="131"/>
      <c r="BX63" s="131"/>
      <c r="BY63" s="131"/>
      <c r="BZ63" s="131"/>
      <c r="CA63" s="131"/>
      <c r="CB63" s="131"/>
      <c r="CC63" s="131"/>
      <c r="CD63" s="131"/>
      <c r="CE63" s="131"/>
      <c r="CF63" s="131"/>
      <c r="CG63" s="131"/>
      <c r="CH63" s="131"/>
      <c r="CI63" s="131"/>
      <c r="CJ63" s="131"/>
      <c r="CK63" s="131"/>
      <c r="CL63" s="131"/>
      <c r="CM63" s="131"/>
      <c r="CN63" s="131"/>
      <c r="CO63" s="131"/>
      <c r="CP63" s="134">
        <f t="shared" si="559"/>
        <v>0</v>
      </c>
      <c r="CQ63" s="144"/>
      <c r="CR63" s="144"/>
      <c r="CS63" s="144"/>
      <c r="CT63" s="144"/>
      <c r="CU63" s="144"/>
      <c r="CV63" s="144"/>
      <c r="CW63" s="144"/>
      <c r="CX63" s="144"/>
      <c r="CY63" s="144"/>
      <c r="CZ63" s="144"/>
      <c r="DA63" s="144"/>
      <c r="DB63" s="144"/>
      <c r="DC63" s="144"/>
      <c r="DD63" s="144"/>
      <c r="DE63" s="144"/>
      <c r="DF63" s="144"/>
      <c r="DG63" s="144"/>
      <c r="DH63" s="144"/>
      <c r="DI63" s="144"/>
      <c r="DJ63" s="144"/>
      <c r="DK63" s="144"/>
      <c r="DL63" s="144"/>
      <c r="DM63" s="144"/>
      <c r="DN63" s="144"/>
      <c r="DO63" s="144"/>
      <c r="DP63" s="144"/>
      <c r="DQ63" s="144"/>
      <c r="DR63" s="144"/>
      <c r="DS63" s="144"/>
      <c r="DT63" s="144"/>
      <c r="DU63" s="144"/>
      <c r="DV63" s="144"/>
      <c r="DW63" s="144"/>
      <c r="DX63" s="144"/>
      <c r="DY63" s="144"/>
      <c r="DZ63" s="144"/>
      <c r="EA63" s="144"/>
      <c r="EB63" s="144"/>
      <c r="EC63" s="144"/>
      <c r="ED63" s="144"/>
      <c r="EE63" s="144"/>
      <c r="EF63" s="144"/>
      <c r="EG63" s="144"/>
      <c r="EH63" s="144"/>
      <c r="EI63" s="144"/>
      <c r="EJ63" s="144"/>
      <c r="EK63" s="144"/>
      <c r="EL63" s="144"/>
      <c r="EM63" s="144"/>
      <c r="EN63" s="144"/>
      <c r="EO63" s="144"/>
      <c r="EP63" s="144"/>
      <c r="EQ63" s="144"/>
      <c r="ER63" s="144"/>
      <c r="ES63" s="144"/>
      <c r="ET63" s="144"/>
      <c r="EU63" s="144"/>
      <c r="EV63" s="144"/>
      <c r="EW63" s="144"/>
      <c r="EX63" s="144"/>
      <c r="EY63" s="144"/>
      <c r="EZ63" s="144"/>
      <c r="FA63" s="144"/>
      <c r="FB63" s="144"/>
      <c r="FC63" s="144"/>
      <c r="FD63" s="144"/>
      <c r="FE63" s="144"/>
      <c r="FF63" s="144"/>
      <c r="FG63" s="144"/>
      <c r="FH63" s="144"/>
      <c r="FI63" s="144"/>
      <c r="FJ63" s="144"/>
      <c r="FK63" s="144"/>
      <c r="FL63" s="144"/>
      <c r="FM63" s="144"/>
      <c r="FN63" s="144"/>
      <c r="FO63" s="144"/>
      <c r="FP63" s="144"/>
      <c r="FQ63" s="144"/>
      <c r="FR63" s="144"/>
      <c r="FS63" s="144"/>
      <c r="FT63" s="144"/>
      <c r="FU63" s="144"/>
      <c r="FV63" s="144"/>
      <c r="FW63" s="144"/>
      <c r="FX63" s="144"/>
      <c r="FY63" s="144"/>
      <c r="FZ63" s="144"/>
      <c r="GA63" s="144"/>
      <c r="GB63" s="144"/>
      <c r="GC63" s="144"/>
      <c r="GD63" s="144"/>
      <c r="GE63" s="144"/>
      <c r="GF63" s="144"/>
      <c r="GG63" s="144"/>
      <c r="GH63" s="144"/>
      <c r="GI63" s="144"/>
      <c r="GJ63" s="144"/>
      <c r="GK63" s="144"/>
      <c r="GL63" s="144"/>
      <c r="GM63" s="144"/>
      <c r="GN63" s="144"/>
      <c r="GO63" s="144"/>
      <c r="GP63" s="144"/>
      <c r="GQ63" s="144"/>
      <c r="GR63" s="144"/>
      <c r="GS63" s="144"/>
      <c r="GT63" s="144"/>
      <c r="GU63" s="144"/>
      <c r="GV63" s="144"/>
      <c r="GW63" s="144"/>
      <c r="GX63" s="144"/>
      <c r="GY63" s="144"/>
      <c r="GZ63" s="145">
        <f t="shared" si="620"/>
        <v>0</v>
      </c>
      <c r="HA63" s="146"/>
      <c r="HB63" s="147"/>
      <c r="HC63" s="148">
        <v>8462.4</v>
      </c>
    </row>
    <row r="64" spans="1:211" s="86" customFormat="1" ht="13.5" customHeight="1">
      <c r="A64" s="426">
        <v>32</v>
      </c>
      <c r="B64" s="414" t="s">
        <v>952</v>
      </c>
      <c r="C64" s="427" t="s">
        <v>907</v>
      </c>
      <c r="D64" s="428" t="s">
        <v>634</v>
      </c>
      <c r="E64" s="429" t="s">
        <v>635</v>
      </c>
      <c r="F64" s="430">
        <v>16</v>
      </c>
      <c r="G64" s="430">
        <v>3.12</v>
      </c>
      <c r="H64" s="423">
        <f t="shared" si="538"/>
        <v>18220.8</v>
      </c>
      <c r="I64" s="425"/>
      <c r="J64" s="132">
        <f>ROUND(G64*F64*365/4,0)</f>
        <v>4555</v>
      </c>
      <c r="K64" s="131">
        <f>J64</f>
        <v>4555</v>
      </c>
      <c r="L64" s="131">
        <f>K64</f>
        <v>4555</v>
      </c>
      <c r="M64" s="131">
        <f>L64</f>
        <v>4555</v>
      </c>
      <c r="N64" s="133">
        <f>ROUND(M64*(1+取值表!$D$2)*取值表!$H$2,0)</f>
        <v>4525</v>
      </c>
      <c r="O64" s="131">
        <f>N64</f>
        <v>4525</v>
      </c>
      <c r="P64" s="131">
        <f>O64</f>
        <v>4525</v>
      </c>
      <c r="Q64" s="131">
        <f>P64</f>
        <v>4525</v>
      </c>
      <c r="R64" s="133">
        <f>ROUND(Q64*(1+取值表!$D$2)*取值表!$H$2,0)</f>
        <v>4495</v>
      </c>
      <c r="S64" s="131">
        <f t="shared" ref="S64:U64" si="621">R64</f>
        <v>4495</v>
      </c>
      <c r="T64" s="131">
        <f t="shared" si="621"/>
        <v>4495</v>
      </c>
      <c r="U64" s="131">
        <f t="shared" si="621"/>
        <v>4495</v>
      </c>
      <c r="V64" s="133">
        <f>ROUND(U64*(1+取值表!$D$2)*取值表!$H$2,0)</f>
        <v>4465</v>
      </c>
      <c r="W64" s="131">
        <f t="shared" ref="W64:Y64" si="622">V64</f>
        <v>4465</v>
      </c>
      <c r="X64" s="131">
        <f t="shared" si="622"/>
        <v>4465</v>
      </c>
      <c r="Y64" s="131">
        <f t="shared" si="622"/>
        <v>4465</v>
      </c>
      <c r="Z64" s="133">
        <f>ROUND(Y64*(1+取值表!$D$2)*取值表!$H$2,0)</f>
        <v>4435</v>
      </c>
      <c r="AA64" s="131">
        <f t="shared" ref="AA64:AC64" si="623">Z64</f>
        <v>4435</v>
      </c>
      <c r="AB64" s="131">
        <f t="shared" si="623"/>
        <v>4435</v>
      </c>
      <c r="AC64" s="131">
        <f t="shared" si="623"/>
        <v>4435</v>
      </c>
      <c r="AD64" s="133">
        <f>ROUND(AC64*(1+取值表!$D$2)*取值表!$H$2,0)</f>
        <v>4405</v>
      </c>
      <c r="AE64" s="131">
        <f t="shared" ref="AE64:AG64" si="624">AD64</f>
        <v>4405</v>
      </c>
      <c r="AF64" s="131">
        <f t="shared" si="624"/>
        <v>4405</v>
      </c>
      <c r="AG64" s="131">
        <f t="shared" si="624"/>
        <v>4405</v>
      </c>
      <c r="AH64" s="133">
        <f>ROUND(AG64*(1+取值表!$D$2)*取值表!$H$2,0)</f>
        <v>4376</v>
      </c>
      <c r="AI64" s="131">
        <f t="shared" ref="AI64:AK64" si="625">AH64</f>
        <v>4376</v>
      </c>
      <c r="AJ64" s="131">
        <f t="shared" si="625"/>
        <v>4376</v>
      </c>
      <c r="AK64" s="131">
        <f t="shared" si="625"/>
        <v>4376</v>
      </c>
      <c r="AL64" s="133">
        <f>ROUND(AK64*(1+取值表!$D$2)*取值表!$H$2,0)</f>
        <v>4347</v>
      </c>
      <c r="AM64" s="131">
        <f t="shared" ref="AM64:AO64" si="626">AL64</f>
        <v>4347</v>
      </c>
      <c r="AN64" s="131">
        <f t="shared" si="626"/>
        <v>4347</v>
      </c>
      <c r="AO64" s="131">
        <f t="shared" si="626"/>
        <v>4347</v>
      </c>
      <c r="AP64" s="133">
        <f>ROUND(AO64*(1+取值表!$D$2)*取值表!$H$2,0)</f>
        <v>4318</v>
      </c>
      <c r="AQ64" s="131">
        <f t="shared" ref="AQ64:AS64" si="627">AP64</f>
        <v>4318</v>
      </c>
      <c r="AR64" s="131">
        <f t="shared" si="627"/>
        <v>4318</v>
      </c>
      <c r="AS64" s="131">
        <f t="shared" si="627"/>
        <v>4318</v>
      </c>
      <c r="AT64" s="133">
        <f>ROUND(AS64*(1+取值表!$D$2)*取值表!$H$2,0)</f>
        <v>4289</v>
      </c>
      <c r="AU64" s="131">
        <f t="shared" ref="AU64:AW64" si="628">AT64</f>
        <v>4289</v>
      </c>
      <c r="AV64" s="131">
        <f t="shared" si="628"/>
        <v>4289</v>
      </c>
      <c r="AW64" s="131">
        <f t="shared" si="628"/>
        <v>4289</v>
      </c>
      <c r="AX64" s="133">
        <f>ROUND(AW64*(1+取值表!$D$2)*取值表!$H$2,0)</f>
        <v>4260</v>
      </c>
      <c r="AY64" s="131">
        <f t="shared" ref="AY64:BA64" si="629">AX64</f>
        <v>4260</v>
      </c>
      <c r="AZ64" s="131">
        <f t="shared" si="629"/>
        <v>4260</v>
      </c>
      <c r="BA64" s="131">
        <f t="shared" si="629"/>
        <v>4260</v>
      </c>
      <c r="BB64" s="133">
        <f>ROUND(BA64*(1+取值表!$D$2)*取值表!$H$2,0)</f>
        <v>4232</v>
      </c>
      <c r="BC64" s="131">
        <f t="shared" ref="BC64:BE64" si="630">BB64</f>
        <v>4232</v>
      </c>
      <c r="BD64" s="131">
        <f t="shared" si="630"/>
        <v>4232</v>
      </c>
      <c r="BE64" s="131">
        <f t="shared" si="630"/>
        <v>4232</v>
      </c>
      <c r="BF64" s="133">
        <f>ROUND(BE64*(1+取值表!$D$2)*取值表!$H$2,0)</f>
        <v>4204</v>
      </c>
      <c r="BG64" s="131">
        <f t="shared" ref="BG64:BI64" si="631">BF64</f>
        <v>4204</v>
      </c>
      <c r="BH64" s="131">
        <f t="shared" si="631"/>
        <v>4204</v>
      </c>
      <c r="BI64" s="131">
        <f t="shared" si="631"/>
        <v>4204</v>
      </c>
      <c r="BJ64" s="133">
        <f>ROUND(BI64*(1+取值表!$D$2)*取值表!$H$2,0)</f>
        <v>4176</v>
      </c>
      <c r="BK64" s="131">
        <f t="shared" ref="BK64:BM64" si="632">BJ64</f>
        <v>4176</v>
      </c>
      <c r="BL64" s="131">
        <f t="shared" si="632"/>
        <v>4176</v>
      </c>
      <c r="BM64" s="131">
        <f t="shared" si="632"/>
        <v>4176</v>
      </c>
      <c r="BN64" s="133">
        <f>ROUND(BM64*(1+取值表!$D$2)*取值表!$H$2,0)</f>
        <v>4148</v>
      </c>
      <c r="BO64" s="131">
        <f t="shared" ref="BO64:BQ64" si="633">BN64</f>
        <v>4148</v>
      </c>
      <c r="BP64" s="131">
        <f t="shared" si="633"/>
        <v>4148</v>
      </c>
      <c r="BQ64" s="131">
        <f t="shared" si="633"/>
        <v>4148</v>
      </c>
      <c r="BR64" s="133">
        <f>ROUND(BQ64*(1+取值表!$D$2)*取值表!$H$2,0)</f>
        <v>4120</v>
      </c>
      <c r="BS64" s="131">
        <f t="shared" ref="BS64:BU64" si="634">BR64</f>
        <v>4120</v>
      </c>
      <c r="BT64" s="131">
        <f t="shared" si="634"/>
        <v>4120</v>
      </c>
      <c r="BU64" s="131">
        <f t="shared" si="634"/>
        <v>4120</v>
      </c>
      <c r="BV64" s="133">
        <f>ROUND(BU64*(1+取值表!$D$2)*取值表!$H$2,0)</f>
        <v>4093</v>
      </c>
      <c r="BW64" s="131">
        <f t="shared" ref="BW64:BY64" si="635">BV64</f>
        <v>4093</v>
      </c>
      <c r="BX64" s="131">
        <f t="shared" si="635"/>
        <v>4093</v>
      </c>
      <c r="BY64" s="131">
        <f t="shared" si="635"/>
        <v>4093</v>
      </c>
      <c r="BZ64" s="133">
        <f>ROUND(BY64*(1+取值表!$D$2)*取值表!$H$2,0)</f>
        <v>4066</v>
      </c>
      <c r="CA64" s="131">
        <f t="shared" ref="CA64:CC64" si="636">BZ64</f>
        <v>4066</v>
      </c>
      <c r="CB64" s="131">
        <f t="shared" si="636"/>
        <v>4066</v>
      </c>
      <c r="CC64" s="131">
        <f t="shared" si="636"/>
        <v>4066</v>
      </c>
      <c r="CD64" s="133">
        <f>ROUND(CC64*(1+取值表!$D$2)*取值表!$H$2,0)</f>
        <v>4039</v>
      </c>
      <c r="CE64" s="131">
        <f t="shared" ref="CE64:CG64" si="637">CD64</f>
        <v>4039</v>
      </c>
      <c r="CF64" s="131">
        <f t="shared" si="637"/>
        <v>4039</v>
      </c>
      <c r="CG64" s="131">
        <f t="shared" si="637"/>
        <v>4039</v>
      </c>
      <c r="CH64" s="133">
        <f>ROUND(CG64*(1+取值表!$D$2)*取值表!$H$2,0)</f>
        <v>4012</v>
      </c>
      <c r="CI64" s="131">
        <f t="shared" ref="CI64:CK64" si="638">CH64</f>
        <v>4012</v>
      </c>
      <c r="CJ64" s="131">
        <f t="shared" si="638"/>
        <v>4012</v>
      </c>
      <c r="CK64" s="131">
        <f t="shared" si="638"/>
        <v>4012</v>
      </c>
      <c r="CL64" s="133">
        <f>ROUND(CK64*(1+取值表!$D$2)*取值表!$H$2,0)</f>
        <v>3985</v>
      </c>
      <c r="CM64" s="131">
        <f t="shared" ref="CM64:CO64" si="639">CL64</f>
        <v>3985</v>
      </c>
      <c r="CN64" s="131">
        <f t="shared" si="639"/>
        <v>3985</v>
      </c>
      <c r="CO64" s="131">
        <f t="shared" si="639"/>
        <v>3985</v>
      </c>
      <c r="CP64" s="134">
        <f t="shared" si="559"/>
        <v>358180</v>
      </c>
      <c r="CQ64" s="149"/>
      <c r="CR64" s="149"/>
      <c r="CS64" s="149"/>
      <c r="CT64" s="149"/>
      <c r="CU64" s="149"/>
      <c r="CV64" s="149"/>
      <c r="CW64" s="149"/>
      <c r="CX64" s="149"/>
      <c r="CY64" s="149"/>
      <c r="CZ64" s="149"/>
      <c r="DA64" s="149"/>
      <c r="DB64" s="149"/>
      <c r="DC64" s="149"/>
      <c r="DD64" s="149"/>
      <c r="DE64" s="149"/>
      <c r="DF64" s="149"/>
      <c r="DG64" s="149"/>
      <c r="DH64" s="149"/>
      <c r="DI64" s="149"/>
      <c r="DJ64" s="149"/>
      <c r="DK64" s="149"/>
      <c r="DL64" s="149"/>
      <c r="DM64" s="149"/>
      <c r="DN64" s="149"/>
      <c r="DO64" s="149"/>
      <c r="DP64" s="149"/>
      <c r="DQ64" s="149"/>
      <c r="DR64" s="149"/>
      <c r="DS64" s="149"/>
      <c r="DT64" s="149"/>
      <c r="DU64" s="149"/>
      <c r="DV64" s="149"/>
      <c r="DW64" s="149"/>
      <c r="DX64" s="149"/>
      <c r="DY64" s="149"/>
      <c r="DZ64" s="149"/>
      <c r="EA64" s="149"/>
      <c r="EB64" s="149"/>
      <c r="EC64" s="149"/>
      <c r="ED64" s="149"/>
      <c r="EE64" s="149"/>
      <c r="EF64" s="149"/>
      <c r="EG64" s="149"/>
      <c r="EH64" s="149"/>
      <c r="EI64" s="149"/>
      <c r="EJ64" s="149"/>
      <c r="EK64" s="149"/>
      <c r="EL64" s="149"/>
      <c r="EM64" s="149"/>
      <c r="EN64" s="149"/>
      <c r="EO64" s="149"/>
      <c r="EP64" s="149"/>
      <c r="EQ64" s="149"/>
      <c r="ER64" s="149"/>
      <c r="ES64" s="149"/>
      <c r="ET64" s="149"/>
      <c r="EU64" s="149"/>
      <c r="EV64" s="149"/>
      <c r="EW64" s="149"/>
      <c r="EX64" s="149"/>
      <c r="EY64" s="149"/>
      <c r="EZ64" s="149"/>
      <c r="FA64" s="149"/>
      <c r="FB64" s="149"/>
      <c r="FC64" s="149"/>
      <c r="FD64" s="149"/>
      <c r="FE64" s="149"/>
      <c r="FF64" s="149"/>
      <c r="FG64" s="149"/>
      <c r="FH64" s="149"/>
      <c r="FI64" s="149"/>
      <c r="FJ64" s="149"/>
      <c r="FK64" s="149"/>
      <c r="FL64" s="149"/>
      <c r="FM64" s="149"/>
      <c r="FN64" s="149"/>
      <c r="FO64" s="149"/>
      <c r="FP64" s="149"/>
      <c r="FQ64" s="149"/>
      <c r="FR64" s="149"/>
      <c r="FS64" s="149"/>
      <c r="FT64" s="149"/>
      <c r="FU64" s="149"/>
      <c r="FV64" s="149"/>
      <c r="FW64" s="149"/>
      <c r="FX64" s="149"/>
      <c r="FY64" s="149"/>
      <c r="FZ64" s="149"/>
      <c r="GA64" s="149"/>
      <c r="GB64" s="149"/>
      <c r="GC64" s="149"/>
      <c r="GD64" s="149"/>
      <c r="GE64" s="149"/>
      <c r="GF64" s="149"/>
      <c r="GG64" s="149"/>
      <c r="GH64" s="149"/>
      <c r="GI64" s="149"/>
      <c r="GJ64" s="149"/>
      <c r="GK64" s="149"/>
      <c r="GL64" s="149"/>
      <c r="GM64" s="149"/>
      <c r="GN64" s="149"/>
      <c r="GO64" s="149"/>
      <c r="GP64" s="149"/>
      <c r="GQ64" s="149"/>
      <c r="GR64" s="149"/>
      <c r="GS64" s="149"/>
      <c r="GT64" s="149"/>
      <c r="GU64" s="149"/>
      <c r="GV64" s="149"/>
      <c r="GW64" s="149"/>
      <c r="GX64" s="149"/>
      <c r="GY64" s="149"/>
      <c r="GZ64" s="150">
        <f t="shared" si="620"/>
        <v>716360</v>
      </c>
      <c r="HA64" s="151">
        <f>HB64*2</f>
        <v>14467.04</v>
      </c>
      <c r="HB64" s="152">
        <v>7233.52</v>
      </c>
      <c r="HC64" s="148">
        <v>58880</v>
      </c>
    </row>
    <row r="65" spans="1:211" s="86" customFormat="1" ht="12.75">
      <c r="A65" s="426"/>
      <c r="B65" s="414"/>
      <c r="C65" s="427"/>
      <c r="D65" s="428"/>
      <c r="E65" s="429"/>
      <c r="F65" s="430"/>
      <c r="G65" s="430"/>
      <c r="H65" s="424"/>
      <c r="I65" s="425"/>
      <c r="J65" s="131"/>
      <c r="K65" s="131"/>
      <c r="L65" s="131"/>
      <c r="M65" s="131"/>
      <c r="N65" s="131"/>
      <c r="O65" s="131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  <c r="AE65" s="131"/>
      <c r="AF65" s="131"/>
      <c r="AG65" s="131"/>
      <c r="AH65" s="131"/>
      <c r="AI65" s="131"/>
      <c r="AJ65" s="131"/>
      <c r="AK65" s="131"/>
      <c r="AL65" s="131"/>
      <c r="AM65" s="131"/>
      <c r="AN65" s="131"/>
      <c r="AO65" s="131"/>
      <c r="AP65" s="131"/>
      <c r="AQ65" s="131"/>
      <c r="AR65" s="131"/>
      <c r="AS65" s="131"/>
      <c r="AT65" s="131"/>
      <c r="AU65" s="131"/>
      <c r="AV65" s="131"/>
      <c r="AW65" s="131"/>
      <c r="AX65" s="131"/>
      <c r="AY65" s="131"/>
      <c r="AZ65" s="131"/>
      <c r="BA65" s="131"/>
      <c r="BB65" s="131"/>
      <c r="BC65" s="131"/>
      <c r="BD65" s="131"/>
      <c r="BE65" s="131"/>
      <c r="BF65" s="131"/>
      <c r="BG65" s="131"/>
      <c r="BH65" s="131"/>
      <c r="BI65" s="131"/>
      <c r="BJ65" s="131"/>
      <c r="BK65" s="131"/>
      <c r="BL65" s="131"/>
      <c r="BM65" s="131"/>
      <c r="BN65" s="131"/>
      <c r="BO65" s="131"/>
      <c r="BP65" s="131"/>
      <c r="BQ65" s="131"/>
      <c r="BR65" s="131"/>
      <c r="BS65" s="131"/>
      <c r="BT65" s="131"/>
      <c r="BU65" s="131"/>
      <c r="BV65" s="131"/>
      <c r="BW65" s="131"/>
      <c r="BX65" s="131"/>
      <c r="BY65" s="131"/>
      <c r="BZ65" s="131"/>
      <c r="CA65" s="131"/>
      <c r="CB65" s="131"/>
      <c r="CC65" s="131"/>
      <c r="CD65" s="131"/>
      <c r="CE65" s="131"/>
      <c r="CF65" s="131"/>
      <c r="CG65" s="131"/>
      <c r="CH65" s="131"/>
      <c r="CI65" s="131"/>
      <c r="CJ65" s="131"/>
      <c r="CK65" s="131"/>
      <c r="CL65" s="131"/>
      <c r="CM65" s="131"/>
      <c r="CN65" s="131"/>
      <c r="CO65" s="131"/>
      <c r="CP65" s="134">
        <f t="shared" si="559"/>
        <v>0</v>
      </c>
      <c r="CQ65" s="144"/>
      <c r="CR65" s="144"/>
      <c r="CS65" s="144"/>
      <c r="CT65" s="144"/>
      <c r="CU65" s="144"/>
      <c r="CV65" s="144"/>
      <c r="CW65" s="144"/>
      <c r="CX65" s="144"/>
      <c r="CY65" s="144"/>
      <c r="CZ65" s="144"/>
      <c r="DA65" s="144"/>
      <c r="DB65" s="144"/>
      <c r="DC65" s="144"/>
      <c r="DD65" s="144"/>
      <c r="DE65" s="144"/>
      <c r="DF65" s="144"/>
      <c r="DG65" s="144"/>
      <c r="DH65" s="144"/>
      <c r="DI65" s="144"/>
      <c r="DJ65" s="144"/>
      <c r="DK65" s="144"/>
      <c r="DL65" s="144"/>
      <c r="DM65" s="144"/>
      <c r="DN65" s="144"/>
      <c r="DO65" s="144"/>
      <c r="DP65" s="144"/>
      <c r="DQ65" s="144"/>
      <c r="DR65" s="144"/>
      <c r="DS65" s="144"/>
      <c r="DT65" s="144"/>
      <c r="DU65" s="144"/>
      <c r="DV65" s="144"/>
      <c r="DW65" s="144"/>
      <c r="DX65" s="144"/>
      <c r="DY65" s="144"/>
      <c r="DZ65" s="144"/>
      <c r="EA65" s="144"/>
      <c r="EB65" s="144"/>
      <c r="EC65" s="144"/>
      <c r="ED65" s="144"/>
      <c r="EE65" s="144"/>
      <c r="EF65" s="144"/>
      <c r="EG65" s="144"/>
      <c r="EH65" s="144"/>
      <c r="EI65" s="144"/>
      <c r="EJ65" s="144"/>
      <c r="EK65" s="144"/>
      <c r="EL65" s="144"/>
      <c r="EM65" s="144"/>
      <c r="EN65" s="144"/>
      <c r="EO65" s="144"/>
      <c r="EP65" s="144"/>
      <c r="EQ65" s="144"/>
      <c r="ER65" s="144"/>
      <c r="ES65" s="144"/>
      <c r="ET65" s="144"/>
      <c r="EU65" s="144"/>
      <c r="EV65" s="144"/>
      <c r="EW65" s="144"/>
      <c r="EX65" s="144"/>
      <c r="EY65" s="144"/>
      <c r="EZ65" s="144"/>
      <c r="FA65" s="144"/>
      <c r="FB65" s="144"/>
      <c r="FC65" s="144"/>
      <c r="FD65" s="144"/>
      <c r="FE65" s="144"/>
      <c r="FF65" s="144"/>
      <c r="FG65" s="144"/>
      <c r="FH65" s="144"/>
      <c r="FI65" s="144"/>
      <c r="FJ65" s="144"/>
      <c r="FK65" s="144"/>
      <c r="FL65" s="144"/>
      <c r="FM65" s="144"/>
      <c r="FN65" s="144"/>
      <c r="FO65" s="144"/>
      <c r="FP65" s="144"/>
      <c r="FQ65" s="144"/>
      <c r="FR65" s="144"/>
      <c r="FS65" s="144"/>
      <c r="FT65" s="144"/>
      <c r="FU65" s="144"/>
      <c r="FV65" s="144"/>
      <c r="FW65" s="144"/>
      <c r="FX65" s="144"/>
      <c r="FY65" s="144"/>
      <c r="FZ65" s="144"/>
      <c r="GA65" s="144"/>
      <c r="GB65" s="144"/>
      <c r="GC65" s="144"/>
      <c r="GD65" s="144"/>
      <c r="GE65" s="144"/>
      <c r="GF65" s="144"/>
      <c r="GG65" s="144"/>
      <c r="GH65" s="144"/>
      <c r="GI65" s="144"/>
      <c r="GJ65" s="144"/>
      <c r="GK65" s="144"/>
      <c r="GL65" s="144"/>
      <c r="GM65" s="144"/>
      <c r="GN65" s="144"/>
      <c r="GO65" s="144"/>
      <c r="GP65" s="144"/>
      <c r="GQ65" s="144"/>
      <c r="GR65" s="144"/>
      <c r="GS65" s="144"/>
      <c r="GT65" s="144"/>
      <c r="GU65" s="144"/>
      <c r="GV65" s="144"/>
      <c r="GW65" s="144"/>
      <c r="GX65" s="144"/>
      <c r="GY65" s="144"/>
      <c r="GZ65" s="145">
        <f t="shared" si="620"/>
        <v>0</v>
      </c>
      <c r="HA65" s="146">
        <v>14467.04</v>
      </c>
      <c r="HB65" s="147">
        <v>7233.52</v>
      </c>
      <c r="HC65" s="148">
        <v>47360</v>
      </c>
    </row>
    <row r="66" spans="1:211" s="86" customFormat="1" ht="12" customHeight="1">
      <c r="A66" s="426">
        <v>33</v>
      </c>
      <c r="B66" s="414" t="s">
        <v>953</v>
      </c>
      <c r="C66" s="427" t="s">
        <v>932</v>
      </c>
      <c r="D66" s="428" t="s">
        <v>549</v>
      </c>
      <c r="E66" s="429" t="s">
        <v>635</v>
      </c>
      <c r="F66" s="430">
        <v>17.63</v>
      </c>
      <c r="G66" s="430">
        <v>3.12</v>
      </c>
      <c r="H66" s="423">
        <f>G66*F66*365</f>
        <v>20077.044000000002</v>
      </c>
      <c r="I66" s="425"/>
      <c r="J66" s="132">
        <f>ROUND(G66*F66*365/4,0)</f>
        <v>5019</v>
      </c>
      <c r="K66" s="131">
        <f>J66</f>
        <v>5019</v>
      </c>
      <c r="L66" s="131">
        <f>K66</f>
        <v>5019</v>
      </c>
      <c r="M66" s="131">
        <f>L66</f>
        <v>5019</v>
      </c>
      <c r="N66" s="133">
        <f>ROUND(M66*(1+取值表!$D$2)*取值表!$H$2,0)</f>
        <v>4986</v>
      </c>
      <c r="O66" s="131">
        <f>N66</f>
        <v>4986</v>
      </c>
      <c r="P66" s="131">
        <f>O66</f>
        <v>4986</v>
      </c>
      <c r="Q66" s="131">
        <f>P66</f>
        <v>4986</v>
      </c>
      <c r="R66" s="133">
        <f>ROUND(Q66*(1+取值表!$D$2)*取值表!$H$2,0)</f>
        <v>4953</v>
      </c>
      <c r="S66" s="131">
        <f t="shared" ref="S66:U66" si="640">R66</f>
        <v>4953</v>
      </c>
      <c r="T66" s="131">
        <f t="shared" si="640"/>
        <v>4953</v>
      </c>
      <c r="U66" s="131">
        <f t="shared" si="640"/>
        <v>4953</v>
      </c>
      <c r="V66" s="133">
        <f>ROUND(U66*(1+取值表!$D$2)*取值表!$H$2,0)</f>
        <v>4920</v>
      </c>
      <c r="W66" s="131">
        <f t="shared" ref="W66:Y66" si="641">V66</f>
        <v>4920</v>
      </c>
      <c r="X66" s="131">
        <f t="shared" si="641"/>
        <v>4920</v>
      </c>
      <c r="Y66" s="131">
        <f t="shared" si="641"/>
        <v>4920</v>
      </c>
      <c r="Z66" s="133">
        <f>ROUND(Y66*(1+取值表!$D$2)*取值表!$H$2,0)</f>
        <v>4887</v>
      </c>
      <c r="AA66" s="131">
        <f t="shared" ref="AA66:AC66" si="642">Z66</f>
        <v>4887</v>
      </c>
      <c r="AB66" s="131">
        <f t="shared" si="642"/>
        <v>4887</v>
      </c>
      <c r="AC66" s="131">
        <f t="shared" si="642"/>
        <v>4887</v>
      </c>
      <c r="AD66" s="133">
        <f>ROUND(AC66*(1+取值表!$D$2)*取值表!$H$2,0)</f>
        <v>4854</v>
      </c>
      <c r="AE66" s="131">
        <f t="shared" ref="AE66:AG66" si="643">AD66</f>
        <v>4854</v>
      </c>
      <c r="AF66" s="131">
        <f t="shared" si="643"/>
        <v>4854</v>
      </c>
      <c r="AG66" s="131">
        <f t="shared" si="643"/>
        <v>4854</v>
      </c>
      <c r="AH66" s="133">
        <f>ROUND(AG66*(1+取值表!$D$2)*取值表!$H$2,0)</f>
        <v>4822</v>
      </c>
      <c r="AI66" s="131">
        <f t="shared" ref="AI66:AK66" si="644">AH66</f>
        <v>4822</v>
      </c>
      <c r="AJ66" s="131">
        <f t="shared" si="644"/>
        <v>4822</v>
      </c>
      <c r="AK66" s="131">
        <f t="shared" si="644"/>
        <v>4822</v>
      </c>
      <c r="AL66" s="133">
        <f>ROUND(AK66*(1+取值表!$D$2)*取值表!$H$2,0)</f>
        <v>4790</v>
      </c>
      <c r="AM66" s="131">
        <f t="shared" ref="AM66:AO66" si="645">AL66</f>
        <v>4790</v>
      </c>
      <c r="AN66" s="131">
        <f t="shared" si="645"/>
        <v>4790</v>
      </c>
      <c r="AO66" s="131">
        <f t="shared" si="645"/>
        <v>4790</v>
      </c>
      <c r="AP66" s="133">
        <f>ROUND(AO66*(1+取值表!$D$2)*取值表!$H$2,0)</f>
        <v>4758</v>
      </c>
      <c r="AQ66" s="131">
        <f t="shared" ref="AQ66:AS66" si="646">AP66</f>
        <v>4758</v>
      </c>
      <c r="AR66" s="131">
        <f t="shared" si="646"/>
        <v>4758</v>
      </c>
      <c r="AS66" s="131">
        <f t="shared" si="646"/>
        <v>4758</v>
      </c>
      <c r="AT66" s="133">
        <f>ROUND(AS66*(1+取值表!$D$2)*取值表!$H$2,0)</f>
        <v>4726</v>
      </c>
      <c r="AU66" s="131">
        <f t="shared" ref="AU66:AW66" si="647">AT66</f>
        <v>4726</v>
      </c>
      <c r="AV66" s="131">
        <f t="shared" si="647"/>
        <v>4726</v>
      </c>
      <c r="AW66" s="131">
        <f t="shared" si="647"/>
        <v>4726</v>
      </c>
      <c r="AX66" s="133">
        <f>ROUND(AW66*(1+取值表!$D$2)*取值表!$H$2,0)</f>
        <v>4694</v>
      </c>
      <c r="AY66" s="131">
        <f t="shared" ref="AY66:BA66" si="648">AX66</f>
        <v>4694</v>
      </c>
      <c r="AZ66" s="131">
        <f t="shared" si="648"/>
        <v>4694</v>
      </c>
      <c r="BA66" s="131">
        <f t="shared" si="648"/>
        <v>4694</v>
      </c>
      <c r="BB66" s="133">
        <f>ROUND(BA66*(1+取值表!$D$2)*取值表!$H$2,0)</f>
        <v>4663</v>
      </c>
      <c r="BC66" s="131">
        <f t="shared" ref="BC66:BE66" si="649">BB66</f>
        <v>4663</v>
      </c>
      <c r="BD66" s="131">
        <f t="shared" si="649"/>
        <v>4663</v>
      </c>
      <c r="BE66" s="131">
        <f t="shared" si="649"/>
        <v>4663</v>
      </c>
      <c r="BF66" s="133">
        <f>ROUND(BE66*(1+取值表!$D$2)*取值表!$H$2,0)</f>
        <v>4632</v>
      </c>
      <c r="BG66" s="131">
        <f t="shared" ref="BG66:BI66" si="650">BF66</f>
        <v>4632</v>
      </c>
      <c r="BH66" s="131">
        <f t="shared" si="650"/>
        <v>4632</v>
      </c>
      <c r="BI66" s="131">
        <f t="shared" si="650"/>
        <v>4632</v>
      </c>
      <c r="BJ66" s="133">
        <f>ROUND(BI66*(1+取值表!$D$2)*取值表!$H$2,0)</f>
        <v>4601</v>
      </c>
      <c r="BK66" s="131">
        <f t="shared" ref="BK66:BM66" si="651">BJ66</f>
        <v>4601</v>
      </c>
      <c r="BL66" s="131">
        <f t="shared" si="651"/>
        <v>4601</v>
      </c>
      <c r="BM66" s="131">
        <f t="shared" si="651"/>
        <v>4601</v>
      </c>
      <c r="BN66" s="133">
        <f>ROUND(BM66*(1+取值表!$D$2)*取值表!$H$2,0)</f>
        <v>4570</v>
      </c>
      <c r="BO66" s="131">
        <f t="shared" ref="BO66:BQ66" si="652">BN66</f>
        <v>4570</v>
      </c>
      <c r="BP66" s="131">
        <f t="shared" si="652"/>
        <v>4570</v>
      </c>
      <c r="BQ66" s="131">
        <f t="shared" si="652"/>
        <v>4570</v>
      </c>
      <c r="BR66" s="133">
        <f>ROUND(BQ66*(1+取值表!$D$2)*取值表!$H$2,0)</f>
        <v>4540</v>
      </c>
      <c r="BS66" s="131">
        <f t="shared" ref="BS66:BU66" si="653">BR66</f>
        <v>4540</v>
      </c>
      <c r="BT66" s="131">
        <f t="shared" si="653"/>
        <v>4540</v>
      </c>
      <c r="BU66" s="131">
        <f t="shared" si="653"/>
        <v>4540</v>
      </c>
      <c r="BV66" s="133">
        <f>ROUND(BU66*(1+取值表!$D$2)*取值表!$H$2,0)</f>
        <v>4510</v>
      </c>
      <c r="BW66" s="131">
        <f t="shared" ref="BW66:BY66" si="654">BV66</f>
        <v>4510</v>
      </c>
      <c r="BX66" s="131">
        <f t="shared" si="654"/>
        <v>4510</v>
      </c>
      <c r="BY66" s="131">
        <f t="shared" si="654"/>
        <v>4510</v>
      </c>
      <c r="BZ66" s="133">
        <f>ROUND(BY66*(1+取值表!$D$2)*取值表!$H$2,0)</f>
        <v>4480</v>
      </c>
      <c r="CA66" s="131">
        <f t="shared" ref="CA66:CC66" si="655">BZ66</f>
        <v>4480</v>
      </c>
      <c r="CB66" s="131">
        <f t="shared" si="655"/>
        <v>4480</v>
      </c>
      <c r="CC66" s="131">
        <f t="shared" si="655"/>
        <v>4480</v>
      </c>
      <c r="CD66" s="133">
        <f>ROUND(CC66*(1+取值表!$D$2)*取值表!$H$2,0)</f>
        <v>4450</v>
      </c>
      <c r="CE66" s="131">
        <f t="shared" ref="CE66:CG66" si="656">CD66</f>
        <v>4450</v>
      </c>
      <c r="CF66" s="131">
        <f t="shared" si="656"/>
        <v>4450</v>
      </c>
      <c r="CG66" s="131">
        <f t="shared" si="656"/>
        <v>4450</v>
      </c>
      <c r="CH66" s="133">
        <f>ROUND(CG66*(1+取值表!$D$2)*取值表!$H$2,0)</f>
        <v>4420</v>
      </c>
      <c r="CI66" s="131">
        <f t="shared" ref="CI66:CK66" si="657">CH66</f>
        <v>4420</v>
      </c>
      <c r="CJ66" s="131">
        <f t="shared" si="657"/>
        <v>4420</v>
      </c>
      <c r="CK66" s="131">
        <f t="shared" si="657"/>
        <v>4420</v>
      </c>
      <c r="CL66" s="133">
        <f>ROUND(CK66*(1+取值表!$D$2)*取值表!$H$2,0)</f>
        <v>4391</v>
      </c>
      <c r="CM66" s="131">
        <f t="shared" ref="CM66:CO66" si="658">CL66</f>
        <v>4391</v>
      </c>
      <c r="CN66" s="131">
        <f t="shared" si="658"/>
        <v>4391</v>
      </c>
      <c r="CO66" s="131">
        <f t="shared" si="658"/>
        <v>4391</v>
      </c>
      <c r="CP66" s="134">
        <f t="shared" si="559"/>
        <v>394664</v>
      </c>
      <c r="CQ66" s="149"/>
      <c r="CR66" s="149"/>
      <c r="CS66" s="149"/>
      <c r="CT66" s="149"/>
      <c r="CU66" s="149"/>
      <c r="CV66" s="149"/>
      <c r="CW66" s="149"/>
      <c r="CX66" s="149"/>
      <c r="CY66" s="149"/>
      <c r="CZ66" s="149"/>
      <c r="DA66" s="149"/>
      <c r="DB66" s="149"/>
      <c r="DC66" s="149"/>
      <c r="DD66" s="149"/>
      <c r="DE66" s="149"/>
      <c r="DF66" s="149"/>
      <c r="DG66" s="149"/>
      <c r="DH66" s="149"/>
      <c r="DI66" s="149"/>
      <c r="DJ66" s="149"/>
      <c r="DK66" s="149"/>
      <c r="DL66" s="149"/>
      <c r="DM66" s="149"/>
      <c r="DN66" s="149"/>
      <c r="DO66" s="149"/>
      <c r="DP66" s="149"/>
      <c r="DQ66" s="149"/>
      <c r="DR66" s="149"/>
      <c r="DS66" s="149"/>
      <c r="DT66" s="149"/>
      <c r="DU66" s="149"/>
      <c r="DV66" s="149"/>
      <c r="DW66" s="149"/>
      <c r="DX66" s="149"/>
      <c r="DY66" s="149"/>
      <c r="DZ66" s="149"/>
      <c r="EA66" s="149"/>
      <c r="EB66" s="149"/>
      <c r="EC66" s="149"/>
      <c r="ED66" s="149"/>
      <c r="EE66" s="149"/>
      <c r="EF66" s="149"/>
      <c r="EG66" s="149"/>
      <c r="EH66" s="149"/>
      <c r="EI66" s="149"/>
      <c r="EJ66" s="149"/>
      <c r="EK66" s="149"/>
      <c r="EL66" s="149"/>
      <c r="EM66" s="149"/>
      <c r="EN66" s="149"/>
      <c r="EO66" s="149"/>
      <c r="EP66" s="149"/>
      <c r="EQ66" s="149"/>
      <c r="ER66" s="149"/>
      <c r="ES66" s="149"/>
      <c r="ET66" s="149"/>
      <c r="EU66" s="149"/>
      <c r="EV66" s="149"/>
      <c r="EW66" s="149"/>
      <c r="EX66" s="149"/>
      <c r="EY66" s="149"/>
      <c r="EZ66" s="149"/>
      <c r="FA66" s="149"/>
      <c r="FB66" s="149"/>
      <c r="FC66" s="149"/>
      <c r="FD66" s="149"/>
      <c r="FE66" s="149"/>
      <c r="FF66" s="149"/>
      <c r="FG66" s="149"/>
      <c r="FH66" s="149"/>
      <c r="FI66" s="149"/>
      <c r="FJ66" s="149"/>
      <c r="FK66" s="149"/>
      <c r="FL66" s="149"/>
      <c r="FM66" s="149"/>
      <c r="FN66" s="149"/>
      <c r="FO66" s="149"/>
      <c r="FP66" s="149"/>
      <c r="FQ66" s="149"/>
      <c r="FR66" s="149"/>
      <c r="FS66" s="149"/>
      <c r="FT66" s="149"/>
      <c r="FU66" s="149"/>
      <c r="FV66" s="149"/>
      <c r="FW66" s="149"/>
      <c r="FX66" s="149"/>
      <c r="FY66" s="149"/>
      <c r="FZ66" s="149"/>
      <c r="GA66" s="149"/>
      <c r="GB66" s="149"/>
      <c r="GC66" s="149"/>
      <c r="GD66" s="149"/>
      <c r="GE66" s="149"/>
      <c r="GF66" s="149"/>
      <c r="GG66" s="149"/>
      <c r="GH66" s="149"/>
      <c r="GI66" s="149"/>
      <c r="GJ66" s="149"/>
      <c r="GK66" s="149"/>
      <c r="GL66" s="149"/>
      <c r="GM66" s="149"/>
      <c r="GN66" s="149"/>
      <c r="GO66" s="149"/>
      <c r="GP66" s="149"/>
      <c r="GQ66" s="149"/>
      <c r="GR66" s="149"/>
      <c r="GS66" s="149"/>
      <c r="GT66" s="149"/>
      <c r="GU66" s="149"/>
      <c r="GV66" s="149"/>
      <c r="GW66" s="149"/>
      <c r="GX66" s="149"/>
      <c r="GY66" s="149"/>
      <c r="GZ66" s="150">
        <f t="shared" si="620"/>
        <v>789328</v>
      </c>
      <c r="HA66" s="151">
        <f>HB66*2</f>
        <v>14467.04</v>
      </c>
      <c r="HB66" s="152">
        <v>7233.52</v>
      </c>
      <c r="HC66" s="148">
        <v>114242.4</v>
      </c>
    </row>
    <row r="67" spans="1:211" s="86" customFormat="1" ht="12" customHeight="1">
      <c r="A67" s="426"/>
      <c r="B67" s="414"/>
      <c r="C67" s="427"/>
      <c r="D67" s="428"/>
      <c r="E67" s="429"/>
      <c r="F67" s="430"/>
      <c r="G67" s="430"/>
      <c r="H67" s="424"/>
      <c r="I67" s="425"/>
      <c r="J67" s="131"/>
      <c r="K67" s="131"/>
      <c r="L67" s="131"/>
      <c r="M67" s="131"/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  <c r="AM67" s="131"/>
      <c r="AN67" s="131"/>
      <c r="AO67" s="131"/>
      <c r="AP67" s="131"/>
      <c r="AQ67" s="131"/>
      <c r="AR67" s="131"/>
      <c r="AS67" s="131"/>
      <c r="AT67" s="131"/>
      <c r="AU67" s="131"/>
      <c r="AV67" s="131"/>
      <c r="AW67" s="131"/>
      <c r="AX67" s="131"/>
      <c r="AY67" s="131"/>
      <c r="AZ67" s="131"/>
      <c r="BA67" s="131"/>
      <c r="BB67" s="131"/>
      <c r="BC67" s="131"/>
      <c r="BD67" s="131"/>
      <c r="BE67" s="131"/>
      <c r="BF67" s="131"/>
      <c r="BG67" s="131"/>
      <c r="BH67" s="131"/>
      <c r="BI67" s="131"/>
      <c r="BJ67" s="131"/>
      <c r="BK67" s="131"/>
      <c r="BL67" s="131"/>
      <c r="BM67" s="131"/>
      <c r="BN67" s="131"/>
      <c r="BO67" s="131"/>
      <c r="BP67" s="131"/>
      <c r="BQ67" s="131"/>
      <c r="BR67" s="131"/>
      <c r="BS67" s="131"/>
      <c r="BT67" s="131"/>
      <c r="BU67" s="131"/>
      <c r="BV67" s="131"/>
      <c r="BW67" s="131"/>
      <c r="BX67" s="131"/>
      <c r="BY67" s="131"/>
      <c r="BZ67" s="131"/>
      <c r="CA67" s="131"/>
      <c r="CB67" s="131"/>
      <c r="CC67" s="131"/>
      <c r="CD67" s="131"/>
      <c r="CE67" s="131"/>
      <c r="CF67" s="131"/>
      <c r="CG67" s="131"/>
      <c r="CH67" s="131"/>
      <c r="CI67" s="131"/>
      <c r="CJ67" s="131"/>
      <c r="CK67" s="131"/>
      <c r="CL67" s="131"/>
      <c r="CM67" s="131"/>
      <c r="CN67" s="131"/>
      <c r="CO67" s="131"/>
      <c r="CP67" s="134">
        <f t="shared" si="559"/>
        <v>0</v>
      </c>
      <c r="CQ67" s="144"/>
      <c r="CR67" s="144"/>
      <c r="CS67" s="144"/>
      <c r="CT67" s="144"/>
      <c r="CU67" s="144"/>
      <c r="CV67" s="144"/>
      <c r="CW67" s="144"/>
      <c r="CX67" s="144"/>
      <c r="CY67" s="144"/>
      <c r="CZ67" s="144"/>
      <c r="DA67" s="144"/>
      <c r="DB67" s="144"/>
      <c r="DC67" s="144"/>
      <c r="DD67" s="144"/>
      <c r="DE67" s="144"/>
      <c r="DF67" s="144"/>
      <c r="DG67" s="144"/>
      <c r="DH67" s="144"/>
      <c r="DI67" s="144"/>
      <c r="DJ67" s="144"/>
      <c r="DK67" s="144"/>
      <c r="DL67" s="144"/>
      <c r="DM67" s="144"/>
      <c r="DN67" s="144"/>
      <c r="DO67" s="144"/>
      <c r="DP67" s="144"/>
      <c r="DQ67" s="144"/>
      <c r="DR67" s="144"/>
      <c r="DS67" s="144"/>
      <c r="DT67" s="144"/>
      <c r="DU67" s="144"/>
      <c r="DV67" s="144"/>
      <c r="DW67" s="144"/>
      <c r="DX67" s="144"/>
      <c r="DY67" s="144"/>
      <c r="DZ67" s="144"/>
      <c r="EA67" s="144"/>
      <c r="EB67" s="144"/>
      <c r="EC67" s="144"/>
      <c r="ED67" s="144"/>
      <c r="EE67" s="144"/>
      <c r="EF67" s="144"/>
      <c r="EG67" s="144"/>
      <c r="EH67" s="144"/>
      <c r="EI67" s="144"/>
      <c r="EJ67" s="144"/>
      <c r="EK67" s="144"/>
      <c r="EL67" s="144"/>
      <c r="EM67" s="144"/>
      <c r="EN67" s="144"/>
      <c r="EO67" s="144"/>
      <c r="EP67" s="144"/>
      <c r="EQ67" s="144"/>
      <c r="ER67" s="144"/>
      <c r="ES67" s="144"/>
      <c r="ET67" s="144"/>
      <c r="EU67" s="144"/>
      <c r="EV67" s="144"/>
      <c r="EW67" s="144"/>
      <c r="EX67" s="144"/>
      <c r="EY67" s="144"/>
      <c r="EZ67" s="144"/>
      <c r="FA67" s="144"/>
      <c r="FB67" s="144"/>
      <c r="FC67" s="144"/>
      <c r="FD67" s="144"/>
      <c r="FE67" s="144"/>
      <c r="FF67" s="144"/>
      <c r="FG67" s="144"/>
      <c r="FH67" s="144"/>
      <c r="FI67" s="144"/>
      <c r="FJ67" s="144"/>
      <c r="FK67" s="144"/>
      <c r="FL67" s="144"/>
      <c r="FM67" s="144"/>
      <c r="FN67" s="144"/>
      <c r="FO67" s="144"/>
      <c r="FP67" s="144"/>
      <c r="FQ67" s="144"/>
      <c r="FR67" s="144"/>
      <c r="FS67" s="144"/>
      <c r="FT67" s="144"/>
      <c r="FU67" s="144"/>
      <c r="FV67" s="144"/>
      <c r="FW67" s="144"/>
      <c r="FX67" s="144"/>
      <c r="FY67" s="144"/>
      <c r="FZ67" s="144"/>
      <c r="GA67" s="144"/>
      <c r="GB67" s="144"/>
      <c r="GC67" s="144"/>
      <c r="GD67" s="144"/>
      <c r="GE67" s="144"/>
      <c r="GF67" s="144"/>
      <c r="GG67" s="144"/>
      <c r="GH67" s="144"/>
      <c r="GI67" s="144"/>
      <c r="GJ67" s="144"/>
      <c r="GK67" s="144"/>
      <c r="GL67" s="144"/>
      <c r="GM67" s="144"/>
      <c r="GN67" s="144"/>
      <c r="GO67" s="144"/>
      <c r="GP67" s="144"/>
      <c r="GQ67" s="144"/>
      <c r="GR67" s="144"/>
      <c r="GS67" s="144"/>
      <c r="GT67" s="144"/>
      <c r="GU67" s="144"/>
      <c r="GV67" s="144"/>
      <c r="GW67" s="144"/>
      <c r="GX67" s="144"/>
      <c r="GY67" s="144"/>
      <c r="GZ67" s="145">
        <f t="shared" si="620"/>
        <v>0</v>
      </c>
      <c r="HA67" s="146">
        <v>14467.04</v>
      </c>
      <c r="HB67" s="147">
        <v>7233.52</v>
      </c>
      <c r="HC67" s="148">
        <v>95201.600000000006</v>
      </c>
    </row>
    <row r="68" spans="1:211" s="86" customFormat="1" ht="12" customHeight="1">
      <c r="A68" s="426">
        <v>34</v>
      </c>
      <c r="B68" s="414" t="s">
        <v>954</v>
      </c>
      <c r="C68" s="427" t="s">
        <v>955</v>
      </c>
      <c r="D68" s="428" t="s">
        <v>550</v>
      </c>
      <c r="E68" s="429" t="s">
        <v>635</v>
      </c>
      <c r="F68" s="430">
        <v>17.63</v>
      </c>
      <c r="G68" s="430">
        <v>3.12</v>
      </c>
      <c r="H68" s="425">
        <f>F68*G68*365</f>
        <v>20077.044000000002</v>
      </c>
      <c r="I68" s="425"/>
      <c r="J68" s="132">
        <f>ROUND(G68*F68*365/4,0)</f>
        <v>5019</v>
      </c>
      <c r="K68" s="131">
        <f>J68</f>
        <v>5019</v>
      </c>
      <c r="L68" s="131">
        <f>K68</f>
        <v>5019</v>
      </c>
      <c r="M68" s="131">
        <f>L68</f>
        <v>5019</v>
      </c>
      <c r="N68" s="133">
        <f>ROUND(M68*(1+取值表!$D$2)*取值表!$H$2,0)</f>
        <v>4986</v>
      </c>
      <c r="O68" s="131">
        <f>N68</f>
        <v>4986</v>
      </c>
      <c r="P68" s="131">
        <f>O68</f>
        <v>4986</v>
      </c>
      <c r="Q68" s="131">
        <f>P68</f>
        <v>4986</v>
      </c>
      <c r="R68" s="133">
        <f>ROUND(Q68*(1+取值表!$D$2)*取值表!$H$2,0)</f>
        <v>4953</v>
      </c>
      <c r="S68" s="131">
        <f t="shared" ref="S68:U68" si="659">R68</f>
        <v>4953</v>
      </c>
      <c r="T68" s="131">
        <f t="shared" si="659"/>
        <v>4953</v>
      </c>
      <c r="U68" s="131">
        <f t="shared" si="659"/>
        <v>4953</v>
      </c>
      <c r="V68" s="133">
        <f>ROUND(U68*(1+取值表!$D$2)*取值表!$H$2,0)</f>
        <v>4920</v>
      </c>
      <c r="W68" s="131">
        <f t="shared" ref="W68:Y68" si="660">V68</f>
        <v>4920</v>
      </c>
      <c r="X68" s="131">
        <f t="shared" si="660"/>
        <v>4920</v>
      </c>
      <c r="Y68" s="131">
        <f t="shared" si="660"/>
        <v>4920</v>
      </c>
      <c r="Z68" s="133">
        <f>ROUND(Y68*(1+取值表!$D$2)*取值表!$H$2,0)</f>
        <v>4887</v>
      </c>
      <c r="AA68" s="131">
        <f t="shared" ref="AA68:AC68" si="661">Z68</f>
        <v>4887</v>
      </c>
      <c r="AB68" s="131">
        <f t="shared" si="661"/>
        <v>4887</v>
      </c>
      <c r="AC68" s="131">
        <f t="shared" si="661"/>
        <v>4887</v>
      </c>
      <c r="AD68" s="133">
        <f>ROUND(AC68*(1+取值表!$D$2)*取值表!$H$2,0)</f>
        <v>4854</v>
      </c>
      <c r="AE68" s="131">
        <f t="shared" ref="AE68:AG68" si="662">AD68</f>
        <v>4854</v>
      </c>
      <c r="AF68" s="131">
        <f t="shared" si="662"/>
        <v>4854</v>
      </c>
      <c r="AG68" s="131">
        <f t="shared" si="662"/>
        <v>4854</v>
      </c>
      <c r="AH68" s="133">
        <f>ROUND(AG68*(1+取值表!$D$2)*取值表!$H$2,0)</f>
        <v>4822</v>
      </c>
      <c r="AI68" s="131">
        <f t="shared" ref="AI68:AK68" si="663">AH68</f>
        <v>4822</v>
      </c>
      <c r="AJ68" s="131">
        <f t="shared" si="663"/>
        <v>4822</v>
      </c>
      <c r="AK68" s="131">
        <f t="shared" si="663"/>
        <v>4822</v>
      </c>
      <c r="AL68" s="133">
        <f>ROUND(AK68*(1+取值表!$D$2)*取值表!$H$2,0)</f>
        <v>4790</v>
      </c>
      <c r="AM68" s="131">
        <f t="shared" ref="AM68:AO68" si="664">AL68</f>
        <v>4790</v>
      </c>
      <c r="AN68" s="131">
        <f t="shared" si="664"/>
        <v>4790</v>
      </c>
      <c r="AO68" s="131">
        <f t="shared" si="664"/>
        <v>4790</v>
      </c>
      <c r="AP68" s="133">
        <f>ROUND(AO68*(1+取值表!$D$2)*取值表!$H$2,0)</f>
        <v>4758</v>
      </c>
      <c r="AQ68" s="131">
        <f t="shared" ref="AQ68:AS68" si="665">AP68</f>
        <v>4758</v>
      </c>
      <c r="AR68" s="131">
        <f t="shared" si="665"/>
        <v>4758</v>
      </c>
      <c r="AS68" s="131">
        <f t="shared" si="665"/>
        <v>4758</v>
      </c>
      <c r="AT68" s="133">
        <f>ROUND(AS68*(1+取值表!$D$2)*取值表!$H$2,0)</f>
        <v>4726</v>
      </c>
      <c r="AU68" s="131">
        <f t="shared" ref="AU68:AW68" si="666">AT68</f>
        <v>4726</v>
      </c>
      <c r="AV68" s="131">
        <f t="shared" si="666"/>
        <v>4726</v>
      </c>
      <c r="AW68" s="131">
        <f t="shared" si="666"/>
        <v>4726</v>
      </c>
      <c r="AX68" s="133">
        <f>ROUND(AW68*(1+取值表!$D$2)*取值表!$H$2,0)</f>
        <v>4694</v>
      </c>
      <c r="AY68" s="131">
        <f t="shared" ref="AY68:BA68" si="667">AX68</f>
        <v>4694</v>
      </c>
      <c r="AZ68" s="131">
        <f t="shared" si="667"/>
        <v>4694</v>
      </c>
      <c r="BA68" s="131">
        <f t="shared" si="667"/>
        <v>4694</v>
      </c>
      <c r="BB68" s="133">
        <f>ROUND(BA68*(1+取值表!$D$2)*取值表!$H$2,0)</f>
        <v>4663</v>
      </c>
      <c r="BC68" s="131">
        <f t="shared" ref="BC68:BE68" si="668">BB68</f>
        <v>4663</v>
      </c>
      <c r="BD68" s="131">
        <f t="shared" si="668"/>
        <v>4663</v>
      </c>
      <c r="BE68" s="131">
        <f t="shared" si="668"/>
        <v>4663</v>
      </c>
      <c r="BF68" s="133">
        <f>ROUND(BE68*(1+取值表!$D$2)*取值表!$H$2,0)</f>
        <v>4632</v>
      </c>
      <c r="BG68" s="131">
        <f t="shared" ref="BG68:BI68" si="669">BF68</f>
        <v>4632</v>
      </c>
      <c r="BH68" s="131">
        <f t="shared" si="669"/>
        <v>4632</v>
      </c>
      <c r="BI68" s="131">
        <f t="shared" si="669"/>
        <v>4632</v>
      </c>
      <c r="BJ68" s="133">
        <f>ROUND(BI68*(1+取值表!$D$2)*取值表!$H$2,0)</f>
        <v>4601</v>
      </c>
      <c r="BK68" s="131">
        <f t="shared" ref="BK68:BM68" si="670">BJ68</f>
        <v>4601</v>
      </c>
      <c r="BL68" s="131">
        <f t="shared" si="670"/>
        <v>4601</v>
      </c>
      <c r="BM68" s="131">
        <f t="shared" si="670"/>
        <v>4601</v>
      </c>
      <c r="BN68" s="133">
        <f>ROUND(BM68*(1+取值表!$D$2)*取值表!$H$2,0)</f>
        <v>4570</v>
      </c>
      <c r="BO68" s="131">
        <f t="shared" ref="BO68:BQ68" si="671">BN68</f>
        <v>4570</v>
      </c>
      <c r="BP68" s="131">
        <f t="shared" si="671"/>
        <v>4570</v>
      </c>
      <c r="BQ68" s="131">
        <f t="shared" si="671"/>
        <v>4570</v>
      </c>
      <c r="BR68" s="133">
        <f>ROUND(BQ68*(1+取值表!$D$2)*取值表!$H$2,0)</f>
        <v>4540</v>
      </c>
      <c r="BS68" s="131">
        <f t="shared" ref="BS68:BU68" si="672">BR68</f>
        <v>4540</v>
      </c>
      <c r="BT68" s="131">
        <f t="shared" si="672"/>
        <v>4540</v>
      </c>
      <c r="BU68" s="131">
        <f t="shared" si="672"/>
        <v>4540</v>
      </c>
      <c r="BV68" s="133">
        <f>ROUND(BU68*(1+取值表!$D$2)*取值表!$H$2,0)</f>
        <v>4510</v>
      </c>
      <c r="BW68" s="131">
        <f t="shared" ref="BW68:BY68" si="673">BV68</f>
        <v>4510</v>
      </c>
      <c r="BX68" s="131">
        <f t="shared" si="673"/>
        <v>4510</v>
      </c>
      <c r="BY68" s="131">
        <f t="shared" si="673"/>
        <v>4510</v>
      </c>
      <c r="BZ68" s="133">
        <f>ROUND(BY68*(1+取值表!$D$2)*取值表!$H$2,0)</f>
        <v>4480</v>
      </c>
      <c r="CA68" s="131">
        <f t="shared" ref="CA68:CC68" si="674">BZ68</f>
        <v>4480</v>
      </c>
      <c r="CB68" s="131">
        <f t="shared" si="674"/>
        <v>4480</v>
      </c>
      <c r="CC68" s="131">
        <f t="shared" si="674"/>
        <v>4480</v>
      </c>
      <c r="CD68" s="133">
        <f>ROUND(CC68*(1+取值表!$D$2)*取值表!$H$2,0)</f>
        <v>4450</v>
      </c>
      <c r="CE68" s="131">
        <f t="shared" ref="CE68:CG68" si="675">CD68</f>
        <v>4450</v>
      </c>
      <c r="CF68" s="131">
        <f t="shared" si="675"/>
        <v>4450</v>
      </c>
      <c r="CG68" s="131">
        <f t="shared" si="675"/>
        <v>4450</v>
      </c>
      <c r="CH68" s="133">
        <f>ROUND(CG68*(1+取值表!$D$2)*取值表!$H$2,0)</f>
        <v>4420</v>
      </c>
      <c r="CI68" s="131">
        <f t="shared" ref="CI68:CK68" si="676">CH68</f>
        <v>4420</v>
      </c>
      <c r="CJ68" s="131">
        <f t="shared" si="676"/>
        <v>4420</v>
      </c>
      <c r="CK68" s="131">
        <f t="shared" si="676"/>
        <v>4420</v>
      </c>
      <c r="CL68" s="133">
        <f>ROUND(CK68*(1+取值表!$D$2)*取值表!$H$2,0)</f>
        <v>4391</v>
      </c>
      <c r="CM68" s="131">
        <f t="shared" ref="CM68:CO68" si="677">CL68</f>
        <v>4391</v>
      </c>
      <c r="CN68" s="131">
        <f t="shared" si="677"/>
        <v>4391</v>
      </c>
      <c r="CO68" s="131">
        <f t="shared" si="677"/>
        <v>4391</v>
      </c>
      <c r="CP68" s="134">
        <f t="shared" si="559"/>
        <v>394664</v>
      </c>
      <c r="CQ68" s="149"/>
      <c r="CR68" s="149"/>
      <c r="CS68" s="149"/>
      <c r="CT68" s="149"/>
      <c r="CU68" s="149"/>
      <c r="CV68" s="149"/>
      <c r="CW68" s="149"/>
      <c r="CX68" s="149"/>
      <c r="CY68" s="149"/>
      <c r="CZ68" s="149"/>
      <c r="DA68" s="149"/>
      <c r="DB68" s="149"/>
      <c r="DC68" s="149"/>
      <c r="DD68" s="149"/>
      <c r="DE68" s="149"/>
      <c r="DF68" s="149"/>
      <c r="DG68" s="149"/>
      <c r="DH68" s="149"/>
      <c r="DI68" s="149"/>
      <c r="DJ68" s="149"/>
      <c r="DK68" s="149"/>
      <c r="DL68" s="149"/>
      <c r="DM68" s="149"/>
      <c r="DN68" s="149"/>
      <c r="DO68" s="149"/>
      <c r="DP68" s="149"/>
      <c r="DQ68" s="149"/>
      <c r="DR68" s="149"/>
      <c r="DS68" s="149"/>
      <c r="DT68" s="149"/>
      <c r="DU68" s="149"/>
      <c r="DV68" s="149"/>
      <c r="DW68" s="149"/>
      <c r="DX68" s="149"/>
      <c r="DY68" s="149"/>
      <c r="DZ68" s="149"/>
      <c r="EA68" s="149"/>
      <c r="EB68" s="149"/>
      <c r="EC68" s="149"/>
      <c r="ED68" s="149"/>
      <c r="EE68" s="149"/>
      <c r="EF68" s="149"/>
      <c r="EG68" s="149"/>
      <c r="EH68" s="149"/>
      <c r="EI68" s="149"/>
      <c r="EJ68" s="149"/>
      <c r="EK68" s="149"/>
      <c r="EL68" s="149"/>
      <c r="EM68" s="149"/>
      <c r="EN68" s="149"/>
      <c r="EO68" s="149"/>
      <c r="EP68" s="149"/>
      <c r="EQ68" s="149"/>
      <c r="ER68" s="149"/>
      <c r="ES68" s="149"/>
      <c r="ET68" s="149"/>
      <c r="EU68" s="149"/>
      <c r="EV68" s="149"/>
      <c r="EW68" s="149"/>
      <c r="EX68" s="149"/>
      <c r="EY68" s="149"/>
      <c r="EZ68" s="149"/>
      <c r="FA68" s="149"/>
      <c r="FB68" s="149"/>
      <c r="FC68" s="149"/>
      <c r="FD68" s="149"/>
      <c r="FE68" s="149"/>
      <c r="FF68" s="149"/>
      <c r="FG68" s="149"/>
      <c r="FH68" s="149"/>
      <c r="FI68" s="149"/>
      <c r="FJ68" s="149"/>
      <c r="FK68" s="149"/>
      <c r="FL68" s="149"/>
      <c r="FM68" s="149"/>
      <c r="FN68" s="149"/>
      <c r="FO68" s="149"/>
      <c r="FP68" s="149"/>
      <c r="FQ68" s="149"/>
      <c r="FR68" s="149"/>
      <c r="FS68" s="149"/>
      <c r="FT68" s="149"/>
      <c r="FU68" s="149"/>
      <c r="FV68" s="149"/>
      <c r="FW68" s="149"/>
      <c r="FX68" s="149"/>
      <c r="FY68" s="149"/>
      <c r="FZ68" s="149"/>
      <c r="GA68" s="149"/>
      <c r="GB68" s="149"/>
      <c r="GC68" s="149"/>
      <c r="GD68" s="149"/>
      <c r="GE68" s="149"/>
      <c r="GF68" s="149"/>
      <c r="GG68" s="149"/>
      <c r="GH68" s="149"/>
      <c r="GI68" s="149"/>
      <c r="GJ68" s="149"/>
      <c r="GK68" s="149"/>
      <c r="GL68" s="149"/>
      <c r="GM68" s="149"/>
      <c r="GN68" s="149"/>
      <c r="GO68" s="149"/>
      <c r="GP68" s="149"/>
      <c r="GQ68" s="149"/>
      <c r="GR68" s="149"/>
      <c r="GS68" s="149"/>
      <c r="GT68" s="149"/>
      <c r="GU68" s="149"/>
      <c r="GV68" s="149"/>
      <c r="GW68" s="149"/>
      <c r="GX68" s="149"/>
      <c r="GY68" s="149"/>
      <c r="GZ68" s="150">
        <f t="shared" si="620"/>
        <v>789328</v>
      </c>
      <c r="HA68" s="151">
        <f>HB68*2</f>
        <v>14467.04</v>
      </c>
      <c r="HB68" s="152">
        <v>7233.52</v>
      </c>
      <c r="HC68" s="148">
        <v>114242.4</v>
      </c>
    </row>
    <row r="69" spans="1:211" s="86" customFormat="1" ht="12" customHeight="1">
      <c r="A69" s="426"/>
      <c r="B69" s="414"/>
      <c r="C69" s="427"/>
      <c r="D69" s="428"/>
      <c r="E69" s="429"/>
      <c r="F69" s="430"/>
      <c r="G69" s="430"/>
      <c r="H69" s="425"/>
      <c r="I69" s="425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131"/>
      <c r="AH69" s="131"/>
      <c r="AI69" s="131"/>
      <c r="AJ69" s="131"/>
      <c r="AK69" s="131"/>
      <c r="AL69" s="131"/>
      <c r="AM69" s="131"/>
      <c r="AN69" s="131"/>
      <c r="AO69" s="131"/>
      <c r="AP69" s="131"/>
      <c r="AQ69" s="131"/>
      <c r="AR69" s="131"/>
      <c r="AS69" s="131"/>
      <c r="AT69" s="131"/>
      <c r="AU69" s="131"/>
      <c r="AV69" s="131"/>
      <c r="AW69" s="131"/>
      <c r="AX69" s="131"/>
      <c r="AY69" s="131"/>
      <c r="AZ69" s="131"/>
      <c r="BA69" s="131"/>
      <c r="BB69" s="131"/>
      <c r="BC69" s="131"/>
      <c r="BD69" s="131"/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  <c r="BP69" s="131"/>
      <c r="BQ69" s="131"/>
      <c r="BR69" s="131"/>
      <c r="BS69" s="131"/>
      <c r="BT69" s="131"/>
      <c r="BU69" s="131"/>
      <c r="BV69" s="131"/>
      <c r="BW69" s="131"/>
      <c r="BX69" s="131"/>
      <c r="BY69" s="131"/>
      <c r="BZ69" s="131"/>
      <c r="CA69" s="131"/>
      <c r="CB69" s="131"/>
      <c r="CC69" s="131"/>
      <c r="CD69" s="131"/>
      <c r="CE69" s="131"/>
      <c r="CF69" s="131"/>
      <c r="CG69" s="131"/>
      <c r="CH69" s="131"/>
      <c r="CI69" s="131"/>
      <c r="CJ69" s="131"/>
      <c r="CK69" s="131"/>
      <c r="CL69" s="131"/>
      <c r="CM69" s="131"/>
      <c r="CN69" s="131"/>
      <c r="CO69" s="131"/>
      <c r="CP69" s="134">
        <f t="shared" si="559"/>
        <v>0</v>
      </c>
      <c r="CQ69" s="144"/>
      <c r="CR69" s="144"/>
      <c r="CS69" s="144"/>
      <c r="CT69" s="144"/>
      <c r="CU69" s="144"/>
      <c r="CV69" s="144"/>
      <c r="CW69" s="144"/>
      <c r="CX69" s="144"/>
      <c r="CY69" s="144"/>
      <c r="CZ69" s="144"/>
      <c r="DA69" s="144"/>
      <c r="DB69" s="144"/>
      <c r="DC69" s="144"/>
      <c r="DD69" s="144"/>
      <c r="DE69" s="144"/>
      <c r="DF69" s="144"/>
      <c r="DG69" s="144"/>
      <c r="DH69" s="144"/>
      <c r="DI69" s="144"/>
      <c r="DJ69" s="144"/>
      <c r="DK69" s="144"/>
      <c r="DL69" s="144"/>
      <c r="DM69" s="144"/>
      <c r="DN69" s="144"/>
      <c r="DO69" s="144"/>
      <c r="DP69" s="144"/>
      <c r="DQ69" s="144"/>
      <c r="DR69" s="144"/>
      <c r="DS69" s="144"/>
      <c r="DT69" s="144"/>
      <c r="DU69" s="144"/>
      <c r="DV69" s="144"/>
      <c r="DW69" s="144"/>
      <c r="DX69" s="144"/>
      <c r="DY69" s="144"/>
      <c r="DZ69" s="144"/>
      <c r="EA69" s="144"/>
      <c r="EB69" s="144"/>
      <c r="EC69" s="144"/>
      <c r="ED69" s="144"/>
      <c r="EE69" s="144"/>
      <c r="EF69" s="144"/>
      <c r="EG69" s="144"/>
      <c r="EH69" s="144"/>
      <c r="EI69" s="144"/>
      <c r="EJ69" s="144"/>
      <c r="EK69" s="144"/>
      <c r="EL69" s="144"/>
      <c r="EM69" s="144"/>
      <c r="EN69" s="144"/>
      <c r="EO69" s="144"/>
      <c r="EP69" s="144"/>
      <c r="EQ69" s="144"/>
      <c r="ER69" s="144"/>
      <c r="ES69" s="144"/>
      <c r="ET69" s="144"/>
      <c r="EU69" s="144"/>
      <c r="EV69" s="144"/>
      <c r="EW69" s="144"/>
      <c r="EX69" s="144"/>
      <c r="EY69" s="144"/>
      <c r="EZ69" s="144"/>
      <c r="FA69" s="144"/>
      <c r="FB69" s="144"/>
      <c r="FC69" s="144"/>
      <c r="FD69" s="144"/>
      <c r="FE69" s="144"/>
      <c r="FF69" s="144"/>
      <c r="FG69" s="144"/>
      <c r="FH69" s="144"/>
      <c r="FI69" s="144"/>
      <c r="FJ69" s="144"/>
      <c r="FK69" s="144"/>
      <c r="FL69" s="144"/>
      <c r="FM69" s="144"/>
      <c r="FN69" s="144"/>
      <c r="FO69" s="144"/>
      <c r="FP69" s="144"/>
      <c r="FQ69" s="144"/>
      <c r="FR69" s="144"/>
      <c r="FS69" s="144"/>
      <c r="FT69" s="144"/>
      <c r="FU69" s="144"/>
      <c r="FV69" s="144"/>
      <c r="FW69" s="144"/>
      <c r="FX69" s="144"/>
      <c r="FY69" s="144"/>
      <c r="FZ69" s="144"/>
      <c r="GA69" s="144"/>
      <c r="GB69" s="144"/>
      <c r="GC69" s="144"/>
      <c r="GD69" s="144"/>
      <c r="GE69" s="144"/>
      <c r="GF69" s="144"/>
      <c r="GG69" s="144"/>
      <c r="GH69" s="144"/>
      <c r="GI69" s="144"/>
      <c r="GJ69" s="144"/>
      <c r="GK69" s="144"/>
      <c r="GL69" s="144"/>
      <c r="GM69" s="144"/>
      <c r="GN69" s="144"/>
      <c r="GO69" s="144"/>
      <c r="GP69" s="144"/>
      <c r="GQ69" s="144"/>
      <c r="GR69" s="144"/>
      <c r="GS69" s="144"/>
      <c r="GT69" s="144"/>
      <c r="GU69" s="144"/>
      <c r="GV69" s="144"/>
      <c r="GW69" s="144"/>
      <c r="GX69" s="144"/>
      <c r="GY69" s="144"/>
      <c r="GZ69" s="145">
        <f t="shared" si="620"/>
        <v>0</v>
      </c>
      <c r="HA69" s="146">
        <v>14467.04</v>
      </c>
      <c r="HB69" s="147">
        <v>7233.52</v>
      </c>
      <c r="HC69" s="148">
        <v>95201.600000000006</v>
      </c>
    </row>
    <row r="70" spans="1:211" s="86" customFormat="1" ht="13.5" customHeight="1">
      <c r="A70" s="426">
        <v>35</v>
      </c>
      <c r="B70" s="414" t="s">
        <v>956</v>
      </c>
      <c r="C70" s="427" t="s">
        <v>957</v>
      </c>
      <c r="D70" s="428" t="s">
        <v>551</v>
      </c>
      <c r="E70" s="429" t="s">
        <v>636</v>
      </c>
      <c r="F70" s="430">
        <v>17.63</v>
      </c>
      <c r="G70" s="430">
        <v>3.12</v>
      </c>
      <c r="H70" s="425">
        <f>F70*G70*365</f>
        <v>20077.044000000002</v>
      </c>
      <c r="I70" s="425"/>
      <c r="J70" s="132">
        <f>ROUND(G70*F70*365/4,0)</f>
        <v>5019</v>
      </c>
      <c r="K70" s="131">
        <f>J70</f>
        <v>5019</v>
      </c>
      <c r="L70" s="131">
        <f>K70</f>
        <v>5019</v>
      </c>
      <c r="M70" s="131">
        <f>L70</f>
        <v>5019</v>
      </c>
      <c r="N70" s="133">
        <f>ROUND(M70*(1+取值表!$D$2)*取值表!$H$2,0)</f>
        <v>4986</v>
      </c>
      <c r="O70" s="131">
        <f>N70</f>
        <v>4986</v>
      </c>
      <c r="P70" s="131">
        <f>O70</f>
        <v>4986</v>
      </c>
      <c r="Q70" s="131">
        <f>P70</f>
        <v>4986</v>
      </c>
      <c r="R70" s="133">
        <f>ROUND(Q70*(1+取值表!$D$2)*取值表!$H$2,0)</f>
        <v>4953</v>
      </c>
      <c r="S70" s="131">
        <f t="shared" ref="S70:U70" si="678">R70</f>
        <v>4953</v>
      </c>
      <c r="T70" s="131">
        <f t="shared" si="678"/>
        <v>4953</v>
      </c>
      <c r="U70" s="131">
        <f t="shared" si="678"/>
        <v>4953</v>
      </c>
      <c r="V70" s="133">
        <f>ROUND(U70*(1+取值表!$D$2)*取值表!$H$2,0)</f>
        <v>4920</v>
      </c>
      <c r="W70" s="131">
        <f t="shared" ref="W70:Y70" si="679">V70</f>
        <v>4920</v>
      </c>
      <c r="X70" s="131">
        <f t="shared" si="679"/>
        <v>4920</v>
      </c>
      <c r="Y70" s="131">
        <f t="shared" si="679"/>
        <v>4920</v>
      </c>
      <c r="Z70" s="133">
        <f>ROUND(Y70*(1+取值表!$D$2)*取值表!$H$2,0)</f>
        <v>4887</v>
      </c>
      <c r="AA70" s="131">
        <f t="shared" ref="AA70:AC70" si="680">Z70</f>
        <v>4887</v>
      </c>
      <c r="AB70" s="131">
        <f t="shared" si="680"/>
        <v>4887</v>
      </c>
      <c r="AC70" s="131">
        <f t="shared" si="680"/>
        <v>4887</v>
      </c>
      <c r="AD70" s="133">
        <f>ROUND(AC70*(1+取值表!$D$2)*取值表!$H$2,0)</f>
        <v>4854</v>
      </c>
      <c r="AE70" s="131">
        <f t="shared" ref="AE70:AG70" si="681">AD70</f>
        <v>4854</v>
      </c>
      <c r="AF70" s="131">
        <f t="shared" si="681"/>
        <v>4854</v>
      </c>
      <c r="AG70" s="131">
        <f t="shared" si="681"/>
        <v>4854</v>
      </c>
      <c r="AH70" s="133">
        <f>ROUND(AG70*(1+取值表!$D$2)*取值表!$H$2,0)</f>
        <v>4822</v>
      </c>
      <c r="AI70" s="131">
        <f t="shared" ref="AI70:AK70" si="682">AH70</f>
        <v>4822</v>
      </c>
      <c r="AJ70" s="131">
        <f t="shared" si="682"/>
        <v>4822</v>
      </c>
      <c r="AK70" s="131">
        <f t="shared" si="682"/>
        <v>4822</v>
      </c>
      <c r="AL70" s="133">
        <f>ROUND(AK70*(1+取值表!$D$2)*取值表!$H$2,0)</f>
        <v>4790</v>
      </c>
      <c r="AM70" s="131">
        <f t="shared" ref="AM70:AO70" si="683">AL70</f>
        <v>4790</v>
      </c>
      <c r="AN70" s="131">
        <f t="shared" si="683"/>
        <v>4790</v>
      </c>
      <c r="AO70" s="131">
        <f t="shared" si="683"/>
        <v>4790</v>
      </c>
      <c r="AP70" s="133">
        <f>ROUND(AO70*(1+取值表!$D$2)*取值表!$H$2,0)</f>
        <v>4758</v>
      </c>
      <c r="AQ70" s="131">
        <f t="shared" ref="AQ70:AS70" si="684">AP70</f>
        <v>4758</v>
      </c>
      <c r="AR70" s="131">
        <f t="shared" si="684"/>
        <v>4758</v>
      </c>
      <c r="AS70" s="131">
        <f t="shared" si="684"/>
        <v>4758</v>
      </c>
      <c r="AT70" s="133">
        <f>ROUND(AS70*(1+取值表!$D$2)*取值表!$H$2,0)</f>
        <v>4726</v>
      </c>
      <c r="AU70" s="131">
        <f t="shared" ref="AU70:AW70" si="685">AT70</f>
        <v>4726</v>
      </c>
      <c r="AV70" s="131">
        <f t="shared" si="685"/>
        <v>4726</v>
      </c>
      <c r="AW70" s="131">
        <f t="shared" si="685"/>
        <v>4726</v>
      </c>
      <c r="AX70" s="133">
        <f>ROUND(AW70*(1+取值表!$D$2)*取值表!$H$2,0)</f>
        <v>4694</v>
      </c>
      <c r="AY70" s="131">
        <f t="shared" ref="AY70:BA70" si="686">AX70</f>
        <v>4694</v>
      </c>
      <c r="AZ70" s="131">
        <f t="shared" si="686"/>
        <v>4694</v>
      </c>
      <c r="BA70" s="131">
        <f t="shared" si="686"/>
        <v>4694</v>
      </c>
      <c r="BB70" s="133">
        <f>ROUND(BA70*(1+取值表!$D$2)*取值表!$H$2,0)</f>
        <v>4663</v>
      </c>
      <c r="BC70" s="131">
        <f t="shared" ref="BC70:BE70" si="687">BB70</f>
        <v>4663</v>
      </c>
      <c r="BD70" s="131">
        <f t="shared" si="687"/>
        <v>4663</v>
      </c>
      <c r="BE70" s="131">
        <f t="shared" si="687"/>
        <v>4663</v>
      </c>
      <c r="BF70" s="133">
        <f>ROUND(BE70*(1+取值表!$D$2)*取值表!$H$2,0)</f>
        <v>4632</v>
      </c>
      <c r="BG70" s="131">
        <f t="shared" ref="BG70:BI70" si="688">BF70</f>
        <v>4632</v>
      </c>
      <c r="BH70" s="131">
        <f t="shared" si="688"/>
        <v>4632</v>
      </c>
      <c r="BI70" s="131">
        <f t="shared" si="688"/>
        <v>4632</v>
      </c>
      <c r="BJ70" s="133">
        <f>ROUND(BI70*(1+取值表!$D$2)*取值表!$H$2,0)</f>
        <v>4601</v>
      </c>
      <c r="BK70" s="131">
        <f t="shared" ref="BK70:BM70" si="689">BJ70</f>
        <v>4601</v>
      </c>
      <c r="BL70" s="131">
        <f t="shared" si="689"/>
        <v>4601</v>
      </c>
      <c r="BM70" s="131">
        <f t="shared" si="689"/>
        <v>4601</v>
      </c>
      <c r="BN70" s="133">
        <f>ROUND(BM70*(1+取值表!$D$2)*取值表!$H$2,0)</f>
        <v>4570</v>
      </c>
      <c r="BO70" s="131">
        <f t="shared" ref="BO70:BQ70" si="690">BN70</f>
        <v>4570</v>
      </c>
      <c r="BP70" s="131">
        <f t="shared" si="690"/>
        <v>4570</v>
      </c>
      <c r="BQ70" s="131">
        <f t="shared" si="690"/>
        <v>4570</v>
      </c>
      <c r="BR70" s="133">
        <f>ROUND(BQ70*(1+取值表!$D$2)*取值表!$H$2,0)</f>
        <v>4540</v>
      </c>
      <c r="BS70" s="131">
        <f t="shared" ref="BS70:BU70" si="691">BR70</f>
        <v>4540</v>
      </c>
      <c r="BT70" s="131">
        <f t="shared" si="691"/>
        <v>4540</v>
      </c>
      <c r="BU70" s="131">
        <f t="shared" si="691"/>
        <v>4540</v>
      </c>
      <c r="BV70" s="133">
        <f>ROUND(BU70*(1+取值表!$D$2)*取值表!$H$2,0)</f>
        <v>4510</v>
      </c>
      <c r="BW70" s="131">
        <f t="shared" ref="BW70:BY70" si="692">BV70</f>
        <v>4510</v>
      </c>
      <c r="BX70" s="131">
        <f t="shared" si="692"/>
        <v>4510</v>
      </c>
      <c r="BY70" s="131">
        <f t="shared" si="692"/>
        <v>4510</v>
      </c>
      <c r="BZ70" s="133">
        <f>ROUND(BY70*(1+取值表!$D$2)*取值表!$H$2,0)</f>
        <v>4480</v>
      </c>
      <c r="CA70" s="131">
        <f t="shared" ref="CA70:CC70" si="693">BZ70</f>
        <v>4480</v>
      </c>
      <c r="CB70" s="131">
        <f t="shared" si="693"/>
        <v>4480</v>
      </c>
      <c r="CC70" s="131">
        <f t="shared" si="693"/>
        <v>4480</v>
      </c>
      <c r="CD70" s="133">
        <f>ROUND(CC70*(1+取值表!$D$2)*取值表!$H$2,0)</f>
        <v>4450</v>
      </c>
      <c r="CE70" s="131">
        <f t="shared" ref="CE70:CG70" si="694">CD70</f>
        <v>4450</v>
      </c>
      <c r="CF70" s="131">
        <f t="shared" si="694"/>
        <v>4450</v>
      </c>
      <c r="CG70" s="131">
        <f t="shared" si="694"/>
        <v>4450</v>
      </c>
      <c r="CH70" s="133">
        <f>ROUND(CG70*(1+取值表!$D$2)*取值表!$H$2,0)</f>
        <v>4420</v>
      </c>
      <c r="CI70" s="131">
        <f t="shared" ref="CI70:CK70" si="695">CH70</f>
        <v>4420</v>
      </c>
      <c r="CJ70" s="131">
        <f t="shared" si="695"/>
        <v>4420</v>
      </c>
      <c r="CK70" s="131">
        <f t="shared" si="695"/>
        <v>4420</v>
      </c>
      <c r="CL70" s="133">
        <f>ROUND(CK70*(1+取值表!$D$2)*取值表!$H$2,0)</f>
        <v>4391</v>
      </c>
      <c r="CM70" s="131">
        <f t="shared" ref="CM70:CO70" si="696">CL70</f>
        <v>4391</v>
      </c>
      <c r="CN70" s="131">
        <f t="shared" si="696"/>
        <v>4391</v>
      </c>
      <c r="CO70" s="131">
        <f t="shared" si="696"/>
        <v>4391</v>
      </c>
      <c r="CP70" s="134">
        <f t="shared" si="559"/>
        <v>394664</v>
      </c>
      <c r="CQ70" s="149"/>
      <c r="CR70" s="149"/>
      <c r="CS70" s="149"/>
      <c r="CT70" s="149"/>
      <c r="CU70" s="149"/>
      <c r="CV70" s="149"/>
      <c r="CW70" s="149"/>
      <c r="CX70" s="149"/>
      <c r="CY70" s="149"/>
      <c r="CZ70" s="149"/>
      <c r="DA70" s="149"/>
      <c r="DB70" s="149"/>
      <c r="DC70" s="149"/>
      <c r="DD70" s="149"/>
      <c r="DE70" s="149"/>
      <c r="DF70" s="149"/>
      <c r="DG70" s="149"/>
      <c r="DH70" s="149"/>
      <c r="DI70" s="149"/>
      <c r="DJ70" s="149"/>
      <c r="DK70" s="149"/>
      <c r="DL70" s="149"/>
      <c r="DM70" s="149"/>
      <c r="DN70" s="149"/>
      <c r="DO70" s="149"/>
      <c r="DP70" s="149"/>
      <c r="DQ70" s="149"/>
      <c r="DR70" s="149"/>
      <c r="DS70" s="149"/>
      <c r="DT70" s="149"/>
      <c r="DU70" s="149"/>
      <c r="DV70" s="149"/>
      <c r="DW70" s="149"/>
      <c r="DX70" s="149"/>
      <c r="DY70" s="149"/>
      <c r="DZ70" s="149"/>
      <c r="EA70" s="149"/>
      <c r="EB70" s="149"/>
      <c r="EC70" s="149"/>
      <c r="ED70" s="149"/>
      <c r="EE70" s="149"/>
      <c r="EF70" s="149"/>
      <c r="EG70" s="149"/>
      <c r="EH70" s="149"/>
      <c r="EI70" s="149"/>
      <c r="EJ70" s="149"/>
      <c r="EK70" s="149"/>
      <c r="EL70" s="149"/>
      <c r="EM70" s="149"/>
      <c r="EN70" s="149"/>
      <c r="EO70" s="149"/>
      <c r="EP70" s="149"/>
      <c r="EQ70" s="149"/>
      <c r="ER70" s="149"/>
      <c r="ES70" s="149"/>
      <c r="ET70" s="149"/>
      <c r="EU70" s="149"/>
      <c r="EV70" s="149"/>
      <c r="EW70" s="149"/>
      <c r="EX70" s="149"/>
      <c r="EY70" s="149"/>
      <c r="EZ70" s="149"/>
      <c r="FA70" s="149"/>
      <c r="FB70" s="149"/>
      <c r="FC70" s="149"/>
      <c r="FD70" s="149"/>
      <c r="FE70" s="149"/>
      <c r="FF70" s="149"/>
      <c r="FG70" s="149"/>
      <c r="FH70" s="149"/>
      <c r="FI70" s="149"/>
      <c r="FJ70" s="149"/>
      <c r="FK70" s="149"/>
      <c r="FL70" s="149"/>
      <c r="FM70" s="149"/>
      <c r="FN70" s="149"/>
      <c r="FO70" s="149"/>
      <c r="FP70" s="149"/>
      <c r="FQ70" s="149"/>
      <c r="FR70" s="149"/>
      <c r="FS70" s="149"/>
      <c r="FT70" s="149"/>
      <c r="FU70" s="149"/>
      <c r="FV70" s="149"/>
      <c r="FW70" s="149"/>
      <c r="FX70" s="149"/>
      <c r="FY70" s="149"/>
      <c r="FZ70" s="149"/>
      <c r="GA70" s="149"/>
      <c r="GB70" s="149"/>
      <c r="GC70" s="149"/>
      <c r="GD70" s="149"/>
      <c r="GE70" s="149"/>
      <c r="GF70" s="149"/>
      <c r="GG70" s="149"/>
      <c r="GH70" s="149"/>
      <c r="GI70" s="149"/>
      <c r="GJ70" s="149"/>
      <c r="GK70" s="149"/>
      <c r="GL70" s="149"/>
      <c r="GM70" s="149"/>
      <c r="GN70" s="149"/>
      <c r="GO70" s="149"/>
      <c r="GP70" s="149"/>
      <c r="GQ70" s="149"/>
      <c r="GR70" s="149"/>
      <c r="GS70" s="149"/>
      <c r="GT70" s="149"/>
      <c r="GU70" s="149"/>
      <c r="GV70" s="149"/>
      <c r="GW70" s="149"/>
      <c r="GX70" s="149"/>
      <c r="GY70" s="149"/>
      <c r="GZ70" s="150">
        <f t="shared" si="620"/>
        <v>789328</v>
      </c>
      <c r="HA70" s="151">
        <f>HB70*2</f>
        <v>14467.04</v>
      </c>
      <c r="HB70" s="152">
        <v>7233.52</v>
      </c>
      <c r="HC70" s="148">
        <v>33849.599999999999</v>
      </c>
    </row>
    <row r="71" spans="1:211" s="86" customFormat="1" ht="12.75">
      <c r="A71" s="426"/>
      <c r="B71" s="414"/>
      <c r="C71" s="427"/>
      <c r="D71" s="428"/>
      <c r="E71" s="429"/>
      <c r="F71" s="430"/>
      <c r="G71" s="430"/>
      <c r="H71" s="425"/>
      <c r="I71" s="425"/>
      <c r="J71" s="131"/>
      <c r="K71" s="131"/>
      <c r="L71" s="131"/>
      <c r="M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  <c r="AM71" s="131"/>
      <c r="AN71" s="131"/>
      <c r="AO71" s="131"/>
      <c r="AP71" s="131"/>
      <c r="AQ71" s="131"/>
      <c r="AR71" s="131"/>
      <c r="AS71" s="131"/>
      <c r="AT71" s="131"/>
      <c r="AU71" s="131"/>
      <c r="AV71" s="131"/>
      <c r="AW71" s="131"/>
      <c r="AX71" s="131"/>
      <c r="AY71" s="131"/>
      <c r="AZ71" s="131"/>
      <c r="BA71" s="131"/>
      <c r="BB71" s="131"/>
      <c r="BC71" s="131"/>
      <c r="BD71" s="131"/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  <c r="BP71" s="131"/>
      <c r="BQ71" s="131"/>
      <c r="BR71" s="131"/>
      <c r="BS71" s="131"/>
      <c r="BT71" s="131"/>
      <c r="BU71" s="131"/>
      <c r="BV71" s="131"/>
      <c r="BW71" s="131"/>
      <c r="BX71" s="131"/>
      <c r="BY71" s="131"/>
      <c r="BZ71" s="131"/>
      <c r="CA71" s="131"/>
      <c r="CB71" s="131"/>
      <c r="CC71" s="131"/>
      <c r="CD71" s="131"/>
      <c r="CE71" s="131"/>
      <c r="CF71" s="131"/>
      <c r="CG71" s="131"/>
      <c r="CH71" s="131"/>
      <c r="CI71" s="131"/>
      <c r="CJ71" s="131"/>
      <c r="CK71" s="131"/>
      <c r="CL71" s="131"/>
      <c r="CM71" s="131"/>
      <c r="CN71" s="131"/>
      <c r="CO71" s="131"/>
      <c r="CP71" s="134">
        <f t="shared" si="559"/>
        <v>0</v>
      </c>
      <c r="CQ71" s="144"/>
      <c r="CR71" s="144"/>
      <c r="CS71" s="144"/>
      <c r="CT71" s="144"/>
      <c r="CU71" s="144"/>
      <c r="CV71" s="144"/>
      <c r="CW71" s="144"/>
      <c r="CX71" s="144"/>
      <c r="CY71" s="144"/>
      <c r="CZ71" s="144"/>
      <c r="DA71" s="144"/>
      <c r="DB71" s="144"/>
      <c r="DC71" s="144"/>
      <c r="DD71" s="144"/>
      <c r="DE71" s="144"/>
      <c r="DF71" s="144"/>
      <c r="DG71" s="144"/>
      <c r="DH71" s="144"/>
      <c r="DI71" s="144"/>
      <c r="DJ71" s="144"/>
      <c r="DK71" s="144"/>
      <c r="DL71" s="144"/>
      <c r="DM71" s="144"/>
      <c r="DN71" s="144"/>
      <c r="DO71" s="144"/>
      <c r="DP71" s="144"/>
      <c r="DQ71" s="144"/>
      <c r="DR71" s="144"/>
      <c r="DS71" s="144"/>
      <c r="DT71" s="144"/>
      <c r="DU71" s="144"/>
      <c r="DV71" s="144"/>
      <c r="DW71" s="144"/>
      <c r="DX71" s="144"/>
      <c r="DY71" s="144"/>
      <c r="DZ71" s="144"/>
      <c r="EA71" s="144"/>
      <c r="EB71" s="144"/>
      <c r="EC71" s="144"/>
      <c r="ED71" s="144"/>
      <c r="EE71" s="144"/>
      <c r="EF71" s="144"/>
      <c r="EG71" s="144"/>
      <c r="EH71" s="144"/>
      <c r="EI71" s="144"/>
      <c r="EJ71" s="144"/>
      <c r="EK71" s="144"/>
      <c r="EL71" s="144"/>
      <c r="EM71" s="144"/>
      <c r="EN71" s="144"/>
      <c r="EO71" s="144"/>
      <c r="EP71" s="144"/>
      <c r="EQ71" s="144"/>
      <c r="ER71" s="144"/>
      <c r="ES71" s="144"/>
      <c r="ET71" s="144"/>
      <c r="EU71" s="144"/>
      <c r="EV71" s="144"/>
      <c r="EW71" s="144"/>
      <c r="EX71" s="144"/>
      <c r="EY71" s="144"/>
      <c r="EZ71" s="144"/>
      <c r="FA71" s="144"/>
      <c r="FB71" s="144"/>
      <c r="FC71" s="144"/>
      <c r="FD71" s="144"/>
      <c r="FE71" s="144"/>
      <c r="FF71" s="144"/>
      <c r="FG71" s="144"/>
      <c r="FH71" s="144"/>
      <c r="FI71" s="144"/>
      <c r="FJ71" s="144"/>
      <c r="FK71" s="144"/>
      <c r="FL71" s="144"/>
      <c r="FM71" s="144"/>
      <c r="FN71" s="144"/>
      <c r="FO71" s="144"/>
      <c r="FP71" s="144"/>
      <c r="FQ71" s="144"/>
      <c r="FR71" s="144"/>
      <c r="FS71" s="144"/>
      <c r="FT71" s="144"/>
      <c r="FU71" s="144"/>
      <c r="FV71" s="144"/>
      <c r="FW71" s="144"/>
      <c r="FX71" s="144"/>
      <c r="FY71" s="144"/>
      <c r="FZ71" s="144"/>
      <c r="GA71" s="144"/>
      <c r="GB71" s="144"/>
      <c r="GC71" s="144"/>
      <c r="GD71" s="144"/>
      <c r="GE71" s="144"/>
      <c r="GF71" s="144"/>
      <c r="GG71" s="144"/>
      <c r="GH71" s="144"/>
      <c r="GI71" s="144"/>
      <c r="GJ71" s="144"/>
      <c r="GK71" s="144"/>
      <c r="GL71" s="144"/>
      <c r="GM71" s="144"/>
      <c r="GN71" s="144"/>
      <c r="GO71" s="144"/>
      <c r="GP71" s="144"/>
      <c r="GQ71" s="144"/>
      <c r="GR71" s="144"/>
      <c r="GS71" s="144"/>
      <c r="GT71" s="144"/>
      <c r="GU71" s="144"/>
      <c r="GV71" s="144"/>
      <c r="GW71" s="144"/>
      <c r="GX71" s="144"/>
      <c r="GY71" s="144"/>
      <c r="GZ71" s="145">
        <f t="shared" si="620"/>
        <v>0</v>
      </c>
      <c r="HA71" s="146">
        <v>14467.04</v>
      </c>
      <c r="HB71" s="147">
        <v>7233.52</v>
      </c>
      <c r="HC71" s="148">
        <v>16924.8</v>
      </c>
    </row>
    <row r="72" spans="1:211" s="86" customFormat="1" ht="22.5">
      <c r="A72" s="153">
        <v>36</v>
      </c>
      <c r="B72" s="154" t="s">
        <v>993</v>
      </c>
      <c r="C72" s="25" t="s">
        <v>992</v>
      </c>
      <c r="D72" s="155" t="s">
        <v>992</v>
      </c>
      <c r="E72" s="156" t="s">
        <v>400</v>
      </c>
      <c r="F72" s="157">
        <f>基础资料!H25-658.97</f>
        <v>52.889999999999986</v>
      </c>
      <c r="G72" s="158">
        <v>2.99</v>
      </c>
      <c r="H72" s="143">
        <f>G72*F72*365</f>
        <v>57721.501499999991</v>
      </c>
      <c r="I72" s="143"/>
      <c r="J72" s="131">
        <f>ROUND(G72*F72*365/4*取值表!H2,0)</f>
        <v>13576</v>
      </c>
      <c r="K72" s="131">
        <f>J72</f>
        <v>13576</v>
      </c>
      <c r="L72" s="131">
        <f>K72</f>
        <v>13576</v>
      </c>
      <c r="M72" s="131">
        <f>L72</f>
        <v>13576</v>
      </c>
      <c r="N72" s="133">
        <f>ROUND(M72*(1+取值表!$D$2)*取值表!$H$2,0)</f>
        <v>13486</v>
      </c>
      <c r="O72" s="131">
        <f>N72</f>
        <v>13486</v>
      </c>
      <c r="P72" s="131">
        <f>O72</f>
        <v>13486</v>
      </c>
      <c r="Q72" s="131">
        <f>P72</f>
        <v>13486</v>
      </c>
      <c r="R72" s="133">
        <f>ROUND(Q72*(1+取值表!$D$2)*取值表!$H$2,0)</f>
        <v>13396</v>
      </c>
      <c r="S72" s="131">
        <f t="shared" ref="S72:U72" si="697">R72</f>
        <v>13396</v>
      </c>
      <c r="T72" s="131">
        <f t="shared" si="697"/>
        <v>13396</v>
      </c>
      <c r="U72" s="131">
        <f t="shared" si="697"/>
        <v>13396</v>
      </c>
      <c r="V72" s="133">
        <f>ROUND(U72*(1+取值表!$D$2)*取值表!$H$2,0)</f>
        <v>13307</v>
      </c>
      <c r="W72" s="131">
        <f t="shared" ref="W72:Y72" si="698">V72</f>
        <v>13307</v>
      </c>
      <c r="X72" s="131">
        <f t="shared" si="698"/>
        <v>13307</v>
      </c>
      <c r="Y72" s="131">
        <f t="shared" si="698"/>
        <v>13307</v>
      </c>
      <c r="Z72" s="133">
        <f>ROUND(Y72*(1+取值表!$D$2)*取值表!$H$2,0)</f>
        <v>13218</v>
      </c>
      <c r="AA72" s="131">
        <f t="shared" ref="AA72:AC72" si="699">Z72</f>
        <v>13218</v>
      </c>
      <c r="AB72" s="131">
        <f t="shared" si="699"/>
        <v>13218</v>
      </c>
      <c r="AC72" s="131">
        <f t="shared" si="699"/>
        <v>13218</v>
      </c>
      <c r="AD72" s="133">
        <f>ROUND(AC72*(1+取值表!$D$2)*取值表!$H$2,0)</f>
        <v>13130</v>
      </c>
      <c r="AE72" s="131">
        <f t="shared" ref="AE72:AG72" si="700">AD72</f>
        <v>13130</v>
      </c>
      <c r="AF72" s="131">
        <f t="shared" si="700"/>
        <v>13130</v>
      </c>
      <c r="AG72" s="131">
        <f t="shared" si="700"/>
        <v>13130</v>
      </c>
      <c r="AH72" s="133">
        <f>ROUND(AG72*(1+取值表!$D$2)*取值表!$H$2,0)</f>
        <v>13042</v>
      </c>
      <c r="AI72" s="131">
        <f t="shared" ref="AI72:AK72" si="701">AH72</f>
        <v>13042</v>
      </c>
      <c r="AJ72" s="131">
        <f t="shared" si="701"/>
        <v>13042</v>
      </c>
      <c r="AK72" s="131">
        <f t="shared" si="701"/>
        <v>13042</v>
      </c>
      <c r="AL72" s="133">
        <f>ROUND(AK72*(1+取值表!$D$2)*取值表!$H$2,0)</f>
        <v>12955</v>
      </c>
      <c r="AM72" s="131">
        <f t="shared" ref="AM72:AO72" si="702">AL72</f>
        <v>12955</v>
      </c>
      <c r="AN72" s="131">
        <f t="shared" si="702"/>
        <v>12955</v>
      </c>
      <c r="AO72" s="131">
        <f t="shared" si="702"/>
        <v>12955</v>
      </c>
      <c r="AP72" s="133">
        <f>ROUND(AO72*(1+取值表!$D$2)*取值表!$H$2,0)</f>
        <v>12869</v>
      </c>
      <c r="AQ72" s="131">
        <f t="shared" ref="AQ72:AS72" si="703">AP72</f>
        <v>12869</v>
      </c>
      <c r="AR72" s="131">
        <f t="shared" si="703"/>
        <v>12869</v>
      </c>
      <c r="AS72" s="131">
        <f t="shared" si="703"/>
        <v>12869</v>
      </c>
      <c r="AT72" s="133">
        <f>ROUND(AS72*(1+取值表!$D$2)*取值表!$H$2,0)</f>
        <v>12783</v>
      </c>
      <c r="AU72" s="131">
        <f t="shared" ref="AU72:AW72" si="704">AT72</f>
        <v>12783</v>
      </c>
      <c r="AV72" s="131">
        <f t="shared" si="704"/>
        <v>12783</v>
      </c>
      <c r="AW72" s="131">
        <f t="shared" si="704"/>
        <v>12783</v>
      </c>
      <c r="AX72" s="133">
        <f>ROUND(AW72*(1+取值表!$D$2)*取值表!$H$2,0)</f>
        <v>12698</v>
      </c>
      <c r="AY72" s="131">
        <f t="shared" ref="AY72:BA72" si="705">AX72</f>
        <v>12698</v>
      </c>
      <c r="AZ72" s="131">
        <f t="shared" si="705"/>
        <v>12698</v>
      </c>
      <c r="BA72" s="131">
        <f t="shared" si="705"/>
        <v>12698</v>
      </c>
      <c r="BB72" s="133">
        <f>ROUND(BA72*(1+取值表!$D$2)*取值表!$H$2,0)</f>
        <v>12613</v>
      </c>
      <c r="BC72" s="131">
        <f t="shared" ref="BC72:BE72" si="706">BB72</f>
        <v>12613</v>
      </c>
      <c r="BD72" s="131">
        <f t="shared" si="706"/>
        <v>12613</v>
      </c>
      <c r="BE72" s="131">
        <f t="shared" si="706"/>
        <v>12613</v>
      </c>
      <c r="BF72" s="133">
        <f>ROUND(BE72*(1+取值表!$D$2)*取值表!$H$2,0)</f>
        <v>12529</v>
      </c>
      <c r="BG72" s="131">
        <f t="shared" ref="BG72:BI72" si="707">BF72</f>
        <v>12529</v>
      </c>
      <c r="BH72" s="131">
        <f t="shared" si="707"/>
        <v>12529</v>
      </c>
      <c r="BI72" s="131">
        <f t="shared" si="707"/>
        <v>12529</v>
      </c>
      <c r="BJ72" s="133">
        <f>ROUND(BI72*(1+取值表!$D$2)*取值表!$H$2,0)</f>
        <v>12445</v>
      </c>
      <c r="BK72" s="131">
        <f t="shared" ref="BK72:BM72" si="708">BJ72</f>
        <v>12445</v>
      </c>
      <c r="BL72" s="131">
        <f t="shared" si="708"/>
        <v>12445</v>
      </c>
      <c r="BM72" s="131">
        <f t="shared" si="708"/>
        <v>12445</v>
      </c>
      <c r="BN72" s="133">
        <f>ROUND(BM72*(1+取值表!$D$2)*取值表!$H$2,0)</f>
        <v>12362</v>
      </c>
      <c r="BO72" s="131">
        <f t="shared" ref="BO72:BQ72" si="709">BN72</f>
        <v>12362</v>
      </c>
      <c r="BP72" s="131">
        <f t="shared" si="709"/>
        <v>12362</v>
      </c>
      <c r="BQ72" s="131">
        <f t="shared" si="709"/>
        <v>12362</v>
      </c>
      <c r="BR72" s="133">
        <f>ROUND(BQ72*(1+取值表!$D$2)*取值表!$H$2,0)</f>
        <v>12280</v>
      </c>
      <c r="BS72" s="131">
        <f t="shared" ref="BS72:BU72" si="710">BR72</f>
        <v>12280</v>
      </c>
      <c r="BT72" s="131">
        <f t="shared" si="710"/>
        <v>12280</v>
      </c>
      <c r="BU72" s="131">
        <f t="shared" si="710"/>
        <v>12280</v>
      </c>
      <c r="BV72" s="133">
        <f>ROUND(BU72*(1+取值表!$D$2)*取值表!$H$2,0)</f>
        <v>12198</v>
      </c>
      <c r="BW72" s="131">
        <f t="shared" ref="BW72:BY72" si="711">BV72</f>
        <v>12198</v>
      </c>
      <c r="BX72" s="131">
        <f t="shared" si="711"/>
        <v>12198</v>
      </c>
      <c r="BY72" s="131">
        <f t="shared" si="711"/>
        <v>12198</v>
      </c>
      <c r="BZ72" s="133">
        <f>ROUND(BY72*(1+取值表!$D$2)*取值表!$H$2,0)</f>
        <v>12117</v>
      </c>
      <c r="CA72" s="131">
        <f t="shared" ref="CA72:CC72" si="712">BZ72</f>
        <v>12117</v>
      </c>
      <c r="CB72" s="131">
        <f t="shared" si="712"/>
        <v>12117</v>
      </c>
      <c r="CC72" s="131">
        <f t="shared" si="712"/>
        <v>12117</v>
      </c>
      <c r="CD72" s="133">
        <f>ROUND(CC72*(1+取值表!$D$2)*取值表!$H$2,0)</f>
        <v>12036</v>
      </c>
      <c r="CE72" s="131">
        <f t="shared" ref="CE72:CG72" si="713">CD72</f>
        <v>12036</v>
      </c>
      <c r="CF72" s="131">
        <f t="shared" si="713"/>
        <v>12036</v>
      </c>
      <c r="CG72" s="131">
        <f t="shared" si="713"/>
        <v>12036</v>
      </c>
      <c r="CH72" s="133">
        <f>ROUND(CG72*(1+取值表!$D$2)*取值表!$H$2,0)</f>
        <v>11956</v>
      </c>
      <c r="CI72" s="131">
        <f t="shared" ref="CI72:CK72" si="714">CH72</f>
        <v>11956</v>
      </c>
      <c r="CJ72" s="131">
        <f t="shared" si="714"/>
        <v>11956</v>
      </c>
      <c r="CK72" s="131">
        <f t="shared" si="714"/>
        <v>11956</v>
      </c>
      <c r="CL72" s="133">
        <f>ROUND(CK72*(1+取值表!$D$2)*取值表!$H$2,0)</f>
        <v>11876</v>
      </c>
      <c r="CM72" s="131">
        <f t="shared" ref="CM72:CN72" si="715">CL72</f>
        <v>11876</v>
      </c>
      <c r="CN72" s="131">
        <f t="shared" si="715"/>
        <v>11876</v>
      </c>
      <c r="CO72" s="131">
        <f>CN72</f>
        <v>11876</v>
      </c>
      <c r="CP72" s="134">
        <f t="shared" si="559"/>
        <v>1067488</v>
      </c>
      <c r="CQ72" s="159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9"/>
      <c r="DC72" s="159"/>
      <c r="DD72" s="159"/>
      <c r="DE72" s="159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9"/>
      <c r="DQ72" s="159"/>
      <c r="DR72" s="159"/>
      <c r="DS72" s="159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9"/>
      <c r="EE72" s="159"/>
      <c r="EF72" s="159"/>
      <c r="EG72" s="159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9"/>
      <c r="ES72" s="159"/>
      <c r="ET72" s="159"/>
      <c r="EU72" s="159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9"/>
      <c r="FG72" s="159"/>
      <c r="FH72" s="159"/>
      <c r="FI72" s="159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9"/>
      <c r="FU72" s="159"/>
      <c r="FV72" s="159"/>
      <c r="FW72" s="159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9"/>
      <c r="GI72" s="159"/>
      <c r="GJ72" s="159"/>
      <c r="GK72" s="159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9"/>
      <c r="GW72" s="159"/>
      <c r="GX72" s="159"/>
      <c r="GY72" s="159"/>
      <c r="GZ72" s="160"/>
      <c r="HA72" s="148"/>
      <c r="HB72" s="148"/>
      <c r="HC72" s="148"/>
    </row>
    <row r="73" spans="1:211" ht="21" customHeight="1">
      <c r="A73" s="402" t="s">
        <v>958</v>
      </c>
      <c r="B73" s="402"/>
      <c r="C73" s="402"/>
      <c r="D73" s="402"/>
      <c r="E73" s="142"/>
      <c r="F73" s="129">
        <f>SUM(F3:F72)</f>
        <v>711.8599999999999</v>
      </c>
      <c r="G73" s="130">
        <f>ROUND(H73/365/F73,2)</f>
        <v>3.09</v>
      </c>
      <c r="H73" s="138">
        <f>SUM(H3:H72)</f>
        <v>801641.37916666665</v>
      </c>
      <c r="I73" s="129"/>
      <c r="J73" s="161">
        <f t="shared" ref="J73:AO73" si="716">SUM(J3:J72)</f>
        <v>199558</v>
      </c>
      <c r="K73" s="161">
        <f t="shared" si="716"/>
        <v>199558</v>
      </c>
      <c r="L73" s="161">
        <f t="shared" si="716"/>
        <v>199558</v>
      </c>
      <c r="M73" s="161">
        <f t="shared" si="716"/>
        <v>199558</v>
      </c>
      <c r="N73" s="161">
        <f t="shared" si="716"/>
        <v>198232</v>
      </c>
      <c r="O73" s="161">
        <f t="shared" si="716"/>
        <v>198232</v>
      </c>
      <c r="P73" s="161">
        <f t="shared" si="716"/>
        <v>198232</v>
      </c>
      <c r="Q73" s="161">
        <f t="shared" si="716"/>
        <v>198232</v>
      </c>
      <c r="R73" s="161">
        <f t="shared" si="716"/>
        <v>196911</v>
      </c>
      <c r="S73" s="161">
        <f t="shared" si="716"/>
        <v>196911</v>
      </c>
      <c r="T73" s="161">
        <f t="shared" si="716"/>
        <v>196911</v>
      </c>
      <c r="U73" s="161">
        <f t="shared" si="716"/>
        <v>196911</v>
      </c>
      <c r="V73" s="161">
        <f t="shared" si="716"/>
        <v>195601</v>
      </c>
      <c r="W73" s="161">
        <f t="shared" si="716"/>
        <v>195601</v>
      </c>
      <c r="X73" s="161">
        <f t="shared" si="716"/>
        <v>195601</v>
      </c>
      <c r="Y73" s="161">
        <f t="shared" si="716"/>
        <v>195601</v>
      </c>
      <c r="Z73" s="161">
        <f t="shared" si="716"/>
        <v>194295</v>
      </c>
      <c r="AA73" s="161">
        <f t="shared" si="716"/>
        <v>194295</v>
      </c>
      <c r="AB73" s="161">
        <f t="shared" si="716"/>
        <v>194295</v>
      </c>
      <c r="AC73" s="161">
        <f t="shared" si="716"/>
        <v>194295</v>
      </c>
      <c r="AD73" s="161">
        <f t="shared" si="716"/>
        <v>192995</v>
      </c>
      <c r="AE73" s="161">
        <f t="shared" si="716"/>
        <v>192995</v>
      </c>
      <c r="AF73" s="161">
        <f t="shared" si="716"/>
        <v>192995</v>
      </c>
      <c r="AG73" s="161">
        <f t="shared" si="716"/>
        <v>192995</v>
      </c>
      <c r="AH73" s="161">
        <f t="shared" si="716"/>
        <v>191711</v>
      </c>
      <c r="AI73" s="161">
        <f t="shared" si="716"/>
        <v>191711</v>
      </c>
      <c r="AJ73" s="161">
        <f t="shared" si="716"/>
        <v>191711</v>
      </c>
      <c r="AK73" s="161">
        <f t="shared" si="716"/>
        <v>191711</v>
      </c>
      <c r="AL73" s="161">
        <f t="shared" si="716"/>
        <v>190433</v>
      </c>
      <c r="AM73" s="161">
        <f t="shared" si="716"/>
        <v>190433</v>
      </c>
      <c r="AN73" s="161">
        <f t="shared" si="716"/>
        <v>190433</v>
      </c>
      <c r="AO73" s="161">
        <f t="shared" si="716"/>
        <v>190433</v>
      </c>
      <c r="AP73" s="161">
        <f t="shared" ref="AP73:BU73" si="717">SUM(AP3:AP72)</f>
        <v>189166</v>
      </c>
      <c r="AQ73" s="161">
        <f t="shared" si="717"/>
        <v>189166</v>
      </c>
      <c r="AR73" s="161">
        <f t="shared" si="717"/>
        <v>189166</v>
      </c>
      <c r="AS73" s="161">
        <f t="shared" si="717"/>
        <v>189166</v>
      </c>
      <c r="AT73" s="161">
        <f t="shared" si="717"/>
        <v>187902</v>
      </c>
      <c r="AU73" s="161">
        <f t="shared" si="717"/>
        <v>187902</v>
      </c>
      <c r="AV73" s="161">
        <f t="shared" si="717"/>
        <v>187902</v>
      </c>
      <c r="AW73" s="161">
        <f t="shared" si="717"/>
        <v>187902</v>
      </c>
      <c r="AX73" s="161">
        <f t="shared" si="717"/>
        <v>186645</v>
      </c>
      <c r="AY73" s="161">
        <f t="shared" si="717"/>
        <v>186645</v>
      </c>
      <c r="AZ73" s="161">
        <f t="shared" si="717"/>
        <v>186645</v>
      </c>
      <c r="BA73" s="161">
        <f t="shared" si="717"/>
        <v>186645</v>
      </c>
      <c r="BB73" s="161">
        <f t="shared" si="717"/>
        <v>185405</v>
      </c>
      <c r="BC73" s="161">
        <f t="shared" si="717"/>
        <v>185405</v>
      </c>
      <c r="BD73" s="161">
        <f t="shared" si="717"/>
        <v>185405</v>
      </c>
      <c r="BE73" s="161">
        <f t="shared" si="717"/>
        <v>185405</v>
      </c>
      <c r="BF73" s="161">
        <f t="shared" si="717"/>
        <v>184169</v>
      </c>
      <c r="BG73" s="161">
        <f t="shared" si="717"/>
        <v>184169</v>
      </c>
      <c r="BH73" s="161">
        <f t="shared" si="717"/>
        <v>184169</v>
      </c>
      <c r="BI73" s="161">
        <f t="shared" si="717"/>
        <v>184169</v>
      </c>
      <c r="BJ73" s="161">
        <f t="shared" si="717"/>
        <v>182945</v>
      </c>
      <c r="BK73" s="161">
        <f t="shared" si="717"/>
        <v>182945</v>
      </c>
      <c r="BL73" s="161">
        <f t="shared" si="717"/>
        <v>182945</v>
      </c>
      <c r="BM73" s="161">
        <f t="shared" si="717"/>
        <v>182945</v>
      </c>
      <c r="BN73" s="161">
        <f t="shared" si="717"/>
        <v>181723</v>
      </c>
      <c r="BO73" s="161">
        <f t="shared" si="717"/>
        <v>181723</v>
      </c>
      <c r="BP73" s="161">
        <f t="shared" si="717"/>
        <v>181723</v>
      </c>
      <c r="BQ73" s="161">
        <f t="shared" si="717"/>
        <v>181723</v>
      </c>
      <c r="BR73" s="161">
        <f t="shared" si="717"/>
        <v>180506</v>
      </c>
      <c r="BS73" s="161">
        <f t="shared" si="717"/>
        <v>180506</v>
      </c>
      <c r="BT73" s="161">
        <f t="shared" si="717"/>
        <v>180506</v>
      </c>
      <c r="BU73" s="161">
        <f t="shared" si="717"/>
        <v>180506</v>
      </c>
      <c r="BV73" s="161">
        <f t="shared" ref="BV73:CP73" si="718">SUM(BV3:BV72)</f>
        <v>179309</v>
      </c>
      <c r="BW73" s="161">
        <f t="shared" si="718"/>
        <v>179309</v>
      </c>
      <c r="BX73" s="161">
        <f t="shared" si="718"/>
        <v>179309</v>
      </c>
      <c r="BY73" s="161">
        <f t="shared" si="718"/>
        <v>179309</v>
      </c>
      <c r="BZ73" s="161">
        <f t="shared" si="718"/>
        <v>178114</v>
      </c>
      <c r="CA73" s="161">
        <f t="shared" si="718"/>
        <v>178114</v>
      </c>
      <c r="CB73" s="161">
        <f t="shared" si="718"/>
        <v>178114</v>
      </c>
      <c r="CC73" s="161">
        <f t="shared" si="718"/>
        <v>178114</v>
      </c>
      <c r="CD73" s="161">
        <f t="shared" si="718"/>
        <v>176931</v>
      </c>
      <c r="CE73" s="161">
        <f t="shared" si="718"/>
        <v>176931</v>
      </c>
      <c r="CF73" s="161">
        <f t="shared" si="718"/>
        <v>176931</v>
      </c>
      <c r="CG73" s="161">
        <f t="shared" si="718"/>
        <v>176931</v>
      </c>
      <c r="CH73" s="161">
        <f t="shared" si="718"/>
        <v>175751</v>
      </c>
      <c r="CI73" s="161">
        <f t="shared" si="718"/>
        <v>175751</v>
      </c>
      <c r="CJ73" s="161">
        <f t="shared" si="718"/>
        <v>175751</v>
      </c>
      <c r="CK73" s="161">
        <f t="shared" si="718"/>
        <v>175751</v>
      </c>
      <c r="CL73" s="161">
        <f t="shared" si="718"/>
        <v>174581</v>
      </c>
      <c r="CM73" s="161">
        <f t="shared" si="718"/>
        <v>174581</v>
      </c>
      <c r="CN73" s="161">
        <f t="shared" si="718"/>
        <v>174581</v>
      </c>
      <c r="CO73" s="161">
        <f t="shared" si="718"/>
        <v>174581</v>
      </c>
      <c r="CP73" s="161">
        <f t="shared" si="718"/>
        <v>15691532</v>
      </c>
    </row>
    <row r="74" spans="1:211" ht="21" customHeight="1">
      <c r="A74" s="68"/>
      <c r="B74" s="162"/>
      <c r="C74" s="163"/>
      <c r="D74" s="164"/>
      <c r="E74" s="165"/>
      <c r="F74" s="166"/>
      <c r="G74" s="167"/>
      <c r="H74" s="168"/>
      <c r="I74" s="166"/>
    </row>
    <row r="75" spans="1:211">
      <c r="A75" s="68"/>
      <c r="B75" s="396"/>
      <c r="C75" s="396"/>
      <c r="D75" s="396"/>
      <c r="E75" s="396"/>
      <c r="F75" s="396"/>
      <c r="G75" s="396"/>
      <c r="H75" s="396"/>
      <c r="I75" s="396"/>
      <c r="J75" s="396"/>
      <c r="K75" s="396"/>
      <c r="L75" s="396"/>
      <c r="M75" s="396"/>
      <c r="N75" s="396"/>
      <c r="O75" s="396"/>
      <c r="P75" s="396"/>
      <c r="Q75" s="396"/>
      <c r="R75" s="396"/>
      <c r="S75" s="169"/>
      <c r="T75" s="169"/>
      <c r="U75" s="169"/>
      <c r="V75" s="169"/>
      <c r="W75" s="169"/>
      <c r="X75" s="169"/>
      <c r="Y75" s="169"/>
      <c r="Z75" s="169"/>
      <c r="AA75" s="169"/>
      <c r="AB75" s="169"/>
      <c r="AC75" s="169"/>
      <c r="AD75" s="169"/>
      <c r="AE75" s="169"/>
      <c r="AF75" s="169"/>
      <c r="AG75" s="169"/>
      <c r="AH75" s="169"/>
      <c r="AI75" s="169"/>
      <c r="AJ75" s="169"/>
      <c r="AK75" s="169"/>
      <c r="AL75" s="169"/>
      <c r="AM75" s="169"/>
      <c r="AN75" s="169"/>
      <c r="AO75" s="169"/>
      <c r="AP75" s="169"/>
      <c r="AQ75" s="169"/>
      <c r="AR75" s="169"/>
      <c r="AS75" s="169"/>
      <c r="AT75" s="169"/>
      <c r="AU75" s="169"/>
      <c r="AV75" s="169"/>
      <c r="AW75" s="169"/>
      <c r="AX75" s="169"/>
    </row>
    <row r="76" spans="1:211">
      <c r="A76" s="68"/>
      <c r="B76" s="69"/>
      <c r="C76" s="69"/>
      <c r="D76" s="70"/>
      <c r="E76" s="392" t="s">
        <v>959</v>
      </c>
      <c r="F76" s="392"/>
      <c r="G76" s="392"/>
      <c r="H76" s="392"/>
      <c r="I76" s="392" t="s">
        <v>972</v>
      </c>
      <c r="J76" s="392"/>
      <c r="K76" s="392"/>
      <c r="L76" s="392"/>
      <c r="M76" s="392" t="s">
        <v>973</v>
      </c>
      <c r="N76" s="392"/>
      <c r="O76" s="392"/>
      <c r="P76" s="392"/>
      <c r="Q76" s="392" t="s">
        <v>974</v>
      </c>
      <c r="R76" s="392"/>
      <c r="S76" s="392"/>
      <c r="T76" s="392"/>
      <c r="U76" s="392" t="s">
        <v>975</v>
      </c>
      <c r="V76" s="392"/>
      <c r="W76" s="392"/>
      <c r="X76" s="392"/>
      <c r="Y76" s="392" t="s">
        <v>976</v>
      </c>
      <c r="Z76" s="392"/>
      <c r="AA76" s="392"/>
      <c r="AB76" s="392"/>
      <c r="AC76" s="392" t="s">
        <v>977</v>
      </c>
      <c r="AD76" s="392"/>
      <c r="AE76" s="392"/>
      <c r="AF76" s="392"/>
      <c r="AG76" s="392" t="s">
        <v>978</v>
      </c>
      <c r="AH76" s="392"/>
      <c r="AI76" s="392"/>
      <c r="AJ76" s="392"/>
      <c r="AK76" s="392" t="s">
        <v>979</v>
      </c>
      <c r="AL76" s="392"/>
      <c r="AM76" s="392"/>
      <c r="AN76" s="392"/>
      <c r="AO76" s="392" t="s">
        <v>980</v>
      </c>
      <c r="AP76" s="392"/>
      <c r="AQ76" s="392"/>
      <c r="AR76" s="392"/>
      <c r="AS76" s="392" t="s">
        <v>981</v>
      </c>
      <c r="AT76" s="392"/>
      <c r="AU76" s="392"/>
      <c r="AV76" s="392"/>
      <c r="AW76" s="392" t="s">
        <v>982</v>
      </c>
      <c r="AX76" s="392"/>
      <c r="AY76" s="392"/>
      <c r="AZ76" s="392"/>
      <c r="BA76" s="392" t="s">
        <v>983</v>
      </c>
      <c r="BB76" s="392"/>
      <c r="BC76" s="392"/>
      <c r="BD76" s="392"/>
      <c r="BE76" s="392" t="s">
        <v>984</v>
      </c>
      <c r="BF76" s="392"/>
      <c r="BG76" s="392"/>
      <c r="BH76" s="392"/>
      <c r="BI76" s="392" t="s">
        <v>985</v>
      </c>
      <c r="BJ76" s="392"/>
      <c r="BK76" s="392"/>
      <c r="BL76" s="392"/>
      <c r="BM76" s="392" t="s">
        <v>986</v>
      </c>
      <c r="BN76" s="392"/>
      <c r="BO76" s="392"/>
      <c r="BP76" s="392"/>
      <c r="BQ76" s="392" t="s">
        <v>987</v>
      </c>
      <c r="BR76" s="392"/>
      <c r="BS76" s="392"/>
      <c r="BT76" s="392"/>
      <c r="BU76" s="392" t="s">
        <v>988</v>
      </c>
      <c r="BV76" s="392"/>
      <c r="BW76" s="392"/>
      <c r="BX76" s="392"/>
      <c r="BY76" s="392" t="s">
        <v>989</v>
      </c>
      <c r="BZ76" s="392"/>
      <c r="CA76" s="392"/>
      <c r="CB76" s="392"/>
      <c r="CC76" s="392" t="s">
        <v>990</v>
      </c>
      <c r="CD76" s="392"/>
      <c r="CE76" s="392"/>
      <c r="CF76" s="392"/>
      <c r="CG76" s="392" t="s">
        <v>991</v>
      </c>
      <c r="CH76" s="392"/>
      <c r="CI76" s="392"/>
      <c r="CJ76" s="392"/>
      <c r="CK76" s="71"/>
    </row>
    <row r="77" spans="1:211" s="81" customFormat="1" ht="18.75" customHeight="1">
      <c r="A77" s="75"/>
      <c r="B77" s="76" t="s">
        <v>960</v>
      </c>
      <c r="C77" s="76" t="s">
        <v>961</v>
      </c>
      <c r="D77" s="77" t="s">
        <v>962</v>
      </c>
      <c r="E77" s="78" t="str">
        <f t="shared" ref="E77:AJ77" si="719">J1</f>
        <v>2018年2季度</v>
      </c>
      <c r="F77" s="78" t="str">
        <f t="shared" si="719"/>
        <v>2018年3季度</v>
      </c>
      <c r="G77" s="78" t="str">
        <f t="shared" si="719"/>
        <v>2018年4季度</v>
      </c>
      <c r="H77" s="78" t="str">
        <f t="shared" si="719"/>
        <v>2019年1季度</v>
      </c>
      <c r="I77" s="78" t="str">
        <f t="shared" si="719"/>
        <v>2019年2季度</v>
      </c>
      <c r="J77" s="78" t="str">
        <f t="shared" si="719"/>
        <v>2019年3季度</v>
      </c>
      <c r="K77" s="78" t="str">
        <f t="shared" si="719"/>
        <v>2019年4季度</v>
      </c>
      <c r="L77" s="78" t="str">
        <f t="shared" si="719"/>
        <v>2020年1季度</v>
      </c>
      <c r="M77" s="78" t="str">
        <f t="shared" si="719"/>
        <v>2020年2季度</v>
      </c>
      <c r="N77" s="78" t="str">
        <f t="shared" si="719"/>
        <v>2020年3季度</v>
      </c>
      <c r="O77" s="78" t="str">
        <f t="shared" si="719"/>
        <v>2020年4季度</v>
      </c>
      <c r="P77" s="78" t="str">
        <f t="shared" si="719"/>
        <v>2021年1季度</v>
      </c>
      <c r="Q77" s="78" t="str">
        <f t="shared" si="719"/>
        <v>2021年2季度</v>
      </c>
      <c r="R77" s="78" t="str">
        <f t="shared" si="719"/>
        <v>2021年3季度</v>
      </c>
      <c r="S77" s="78" t="str">
        <f t="shared" si="719"/>
        <v>2021年4季度</v>
      </c>
      <c r="T77" s="78" t="str">
        <f t="shared" si="719"/>
        <v>2022年1季度</v>
      </c>
      <c r="U77" s="78" t="str">
        <f t="shared" si="719"/>
        <v>2022年2季度</v>
      </c>
      <c r="V77" s="78" t="str">
        <f t="shared" si="719"/>
        <v>2022年3季度</v>
      </c>
      <c r="W77" s="78" t="str">
        <f t="shared" si="719"/>
        <v>2022年4季度</v>
      </c>
      <c r="X77" s="78" t="str">
        <f t="shared" si="719"/>
        <v>2023年1季度</v>
      </c>
      <c r="Y77" s="78" t="str">
        <f t="shared" si="719"/>
        <v>2023年2季度</v>
      </c>
      <c r="Z77" s="78" t="str">
        <f t="shared" si="719"/>
        <v>2023年3季度</v>
      </c>
      <c r="AA77" s="78" t="str">
        <f t="shared" si="719"/>
        <v>2023年4季度</v>
      </c>
      <c r="AB77" s="78" t="str">
        <f t="shared" si="719"/>
        <v>2024年1季度</v>
      </c>
      <c r="AC77" s="78" t="str">
        <f t="shared" si="719"/>
        <v>2024年2季度</v>
      </c>
      <c r="AD77" s="78" t="str">
        <f t="shared" si="719"/>
        <v>2024年3季度</v>
      </c>
      <c r="AE77" s="78" t="str">
        <f t="shared" si="719"/>
        <v>2024年4季度</v>
      </c>
      <c r="AF77" s="78" t="str">
        <f t="shared" si="719"/>
        <v>2025年1季度</v>
      </c>
      <c r="AG77" s="78" t="str">
        <f t="shared" si="719"/>
        <v>2025年2季度</v>
      </c>
      <c r="AH77" s="78" t="str">
        <f t="shared" si="719"/>
        <v>2025年3季度</v>
      </c>
      <c r="AI77" s="78" t="str">
        <f t="shared" si="719"/>
        <v>2025年4季度</v>
      </c>
      <c r="AJ77" s="78" t="str">
        <f t="shared" si="719"/>
        <v>2026年1季度</v>
      </c>
      <c r="AK77" s="78" t="str">
        <f t="shared" ref="AK77:BP77" si="720">AP1</f>
        <v>2026年2季度</v>
      </c>
      <c r="AL77" s="78" t="str">
        <f t="shared" si="720"/>
        <v>2026年3季度</v>
      </c>
      <c r="AM77" s="78" t="str">
        <f t="shared" si="720"/>
        <v>2026年4季度</v>
      </c>
      <c r="AN77" s="78" t="str">
        <f t="shared" si="720"/>
        <v>2027年1季度</v>
      </c>
      <c r="AO77" s="78" t="str">
        <f t="shared" si="720"/>
        <v>2027年2季度</v>
      </c>
      <c r="AP77" s="78" t="str">
        <f t="shared" si="720"/>
        <v>2027年3季度</v>
      </c>
      <c r="AQ77" s="78" t="str">
        <f t="shared" si="720"/>
        <v>2027年4季度</v>
      </c>
      <c r="AR77" s="78" t="str">
        <f t="shared" si="720"/>
        <v>2028年1季度</v>
      </c>
      <c r="AS77" s="78" t="str">
        <f t="shared" si="720"/>
        <v>2028年2季度</v>
      </c>
      <c r="AT77" s="78" t="str">
        <f t="shared" si="720"/>
        <v>2028年3季度</v>
      </c>
      <c r="AU77" s="78" t="str">
        <f t="shared" si="720"/>
        <v>2028年4季度</v>
      </c>
      <c r="AV77" s="78" t="str">
        <f t="shared" si="720"/>
        <v>2029年1季度</v>
      </c>
      <c r="AW77" s="78" t="str">
        <f t="shared" si="720"/>
        <v>2029年2季度</v>
      </c>
      <c r="AX77" s="78" t="str">
        <f t="shared" si="720"/>
        <v>2029年3季度</v>
      </c>
      <c r="AY77" s="78" t="str">
        <f t="shared" si="720"/>
        <v>2029年4季度</v>
      </c>
      <c r="AZ77" s="78" t="str">
        <f t="shared" si="720"/>
        <v>2030年1季度</v>
      </c>
      <c r="BA77" s="78" t="str">
        <f t="shared" si="720"/>
        <v>2030年2季度</v>
      </c>
      <c r="BB77" s="78" t="str">
        <f t="shared" si="720"/>
        <v>2030年3季度</v>
      </c>
      <c r="BC77" s="78" t="str">
        <f t="shared" si="720"/>
        <v>2030年4季度</v>
      </c>
      <c r="BD77" s="78" t="str">
        <f t="shared" si="720"/>
        <v>2031年1季度</v>
      </c>
      <c r="BE77" s="78" t="str">
        <f t="shared" si="720"/>
        <v>2031年2季度</v>
      </c>
      <c r="BF77" s="78" t="str">
        <f t="shared" si="720"/>
        <v>2031年3季度</v>
      </c>
      <c r="BG77" s="78" t="str">
        <f t="shared" si="720"/>
        <v>2031年4季度</v>
      </c>
      <c r="BH77" s="78" t="str">
        <f t="shared" si="720"/>
        <v>2032年1季度</v>
      </c>
      <c r="BI77" s="78" t="str">
        <f t="shared" si="720"/>
        <v>2032年2季度</v>
      </c>
      <c r="BJ77" s="78" t="str">
        <f t="shared" si="720"/>
        <v>2032年3季度</v>
      </c>
      <c r="BK77" s="78" t="str">
        <f t="shared" si="720"/>
        <v>2032年4季度</v>
      </c>
      <c r="BL77" s="78" t="str">
        <f t="shared" si="720"/>
        <v>2033年1季度</v>
      </c>
      <c r="BM77" s="78" t="str">
        <f t="shared" si="720"/>
        <v>2033年2季度</v>
      </c>
      <c r="BN77" s="78" t="str">
        <f t="shared" si="720"/>
        <v>2033年3季度</v>
      </c>
      <c r="BO77" s="78" t="str">
        <f t="shared" si="720"/>
        <v>2033年4季度</v>
      </c>
      <c r="BP77" s="78" t="str">
        <f t="shared" si="720"/>
        <v>2034年1季度</v>
      </c>
      <c r="BQ77" s="78" t="str">
        <f t="shared" ref="BQ77:CJ77" si="721">BV1</f>
        <v>2034年2季度</v>
      </c>
      <c r="BR77" s="78" t="str">
        <f t="shared" si="721"/>
        <v>2034年3季度</v>
      </c>
      <c r="BS77" s="78" t="str">
        <f t="shared" si="721"/>
        <v>2034年4季度</v>
      </c>
      <c r="BT77" s="78" t="str">
        <f t="shared" si="721"/>
        <v>2035年1季度</v>
      </c>
      <c r="BU77" s="78" t="str">
        <f t="shared" si="721"/>
        <v>2035年2季度</v>
      </c>
      <c r="BV77" s="78" t="str">
        <f t="shared" si="721"/>
        <v>2035年3季度</v>
      </c>
      <c r="BW77" s="78" t="str">
        <f t="shared" si="721"/>
        <v>2035年4季度</v>
      </c>
      <c r="BX77" s="78" t="str">
        <f t="shared" si="721"/>
        <v>2036年1季度</v>
      </c>
      <c r="BY77" s="78" t="str">
        <f t="shared" si="721"/>
        <v>2036年2季度</v>
      </c>
      <c r="BZ77" s="78" t="str">
        <f t="shared" si="721"/>
        <v>2036年3季度</v>
      </c>
      <c r="CA77" s="78" t="str">
        <f t="shared" si="721"/>
        <v>2036年4季度</v>
      </c>
      <c r="CB77" s="78" t="str">
        <f t="shared" si="721"/>
        <v>2037年1季度</v>
      </c>
      <c r="CC77" s="78" t="str">
        <f t="shared" si="721"/>
        <v>2037年2季度</v>
      </c>
      <c r="CD77" s="78" t="str">
        <f t="shared" si="721"/>
        <v>2037年3季度</v>
      </c>
      <c r="CE77" s="78" t="str">
        <f t="shared" si="721"/>
        <v>2037年4季度</v>
      </c>
      <c r="CF77" s="78" t="str">
        <f t="shared" si="721"/>
        <v>2038年1季度</v>
      </c>
      <c r="CG77" s="78" t="str">
        <f t="shared" si="721"/>
        <v>2038年2季度</v>
      </c>
      <c r="CH77" s="78" t="str">
        <f t="shared" si="721"/>
        <v>2038年3季度</v>
      </c>
      <c r="CI77" s="78" t="str">
        <f t="shared" si="721"/>
        <v>2038年4季度</v>
      </c>
      <c r="CJ77" s="78" t="str">
        <f t="shared" si="721"/>
        <v>2039年1季度</v>
      </c>
      <c r="CK77" s="78" t="s">
        <v>963</v>
      </c>
      <c r="CL77" s="79"/>
      <c r="CM77" s="79"/>
      <c r="CN77" s="79"/>
      <c r="CO77" s="79"/>
      <c r="CP77" s="80"/>
    </row>
    <row r="78" spans="1:211" s="88" customFormat="1" ht="21">
      <c r="A78" s="82"/>
      <c r="B78" s="17" t="s">
        <v>964</v>
      </c>
      <c r="C78" s="17"/>
      <c r="D78" s="83"/>
      <c r="E78" s="84">
        <f>E79+E80+E81</f>
        <v>199558</v>
      </c>
      <c r="F78" s="84">
        <f t="shared" ref="F78:BQ78" si="722">F79+F80+F81</f>
        <v>199558</v>
      </c>
      <c r="G78" s="84">
        <f t="shared" si="722"/>
        <v>199558</v>
      </c>
      <c r="H78" s="84">
        <f t="shared" si="722"/>
        <v>199558</v>
      </c>
      <c r="I78" s="84">
        <f t="shared" si="722"/>
        <v>198232</v>
      </c>
      <c r="J78" s="84">
        <f t="shared" si="722"/>
        <v>198232</v>
      </c>
      <c r="K78" s="84">
        <f t="shared" si="722"/>
        <v>198232</v>
      </c>
      <c r="L78" s="84">
        <f t="shared" si="722"/>
        <v>198232</v>
      </c>
      <c r="M78" s="84">
        <f t="shared" si="722"/>
        <v>196911</v>
      </c>
      <c r="N78" s="84">
        <f t="shared" si="722"/>
        <v>196911</v>
      </c>
      <c r="O78" s="84">
        <f t="shared" si="722"/>
        <v>196911</v>
      </c>
      <c r="P78" s="84">
        <f t="shared" si="722"/>
        <v>196911</v>
      </c>
      <c r="Q78" s="84">
        <f t="shared" si="722"/>
        <v>195601</v>
      </c>
      <c r="R78" s="84">
        <f t="shared" si="722"/>
        <v>195601</v>
      </c>
      <c r="S78" s="84">
        <f t="shared" si="722"/>
        <v>195601</v>
      </c>
      <c r="T78" s="84">
        <f t="shared" si="722"/>
        <v>195601</v>
      </c>
      <c r="U78" s="84">
        <f t="shared" si="722"/>
        <v>194295</v>
      </c>
      <c r="V78" s="84">
        <f t="shared" si="722"/>
        <v>194295</v>
      </c>
      <c r="W78" s="84">
        <f t="shared" si="722"/>
        <v>194295</v>
      </c>
      <c r="X78" s="84">
        <f t="shared" si="722"/>
        <v>194295</v>
      </c>
      <c r="Y78" s="84">
        <f t="shared" si="722"/>
        <v>192995</v>
      </c>
      <c r="Z78" s="84">
        <f t="shared" si="722"/>
        <v>192995</v>
      </c>
      <c r="AA78" s="84">
        <f t="shared" si="722"/>
        <v>192995</v>
      </c>
      <c r="AB78" s="84">
        <f t="shared" si="722"/>
        <v>192995</v>
      </c>
      <c r="AC78" s="84">
        <f t="shared" si="722"/>
        <v>191711</v>
      </c>
      <c r="AD78" s="84">
        <f t="shared" si="722"/>
        <v>191711</v>
      </c>
      <c r="AE78" s="84">
        <f t="shared" si="722"/>
        <v>191711</v>
      </c>
      <c r="AF78" s="84">
        <f t="shared" si="722"/>
        <v>191711</v>
      </c>
      <c r="AG78" s="84">
        <f t="shared" si="722"/>
        <v>190433</v>
      </c>
      <c r="AH78" s="84">
        <f t="shared" si="722"/>
        <v>190433</v>
      </c>
      <c r="AI78" s="84">
        <f t="shared" si="722"/>
        <v>190433</v>
      </c>
      <c r="AJ78" s="84">
        <f t="shared" si="722"/>
        <v>190433</v>
      </c>
      <c r="AK78" s="84">
        <f t="shared" si="722"/>
        <v>189166</v>
      </c>
      <c r="AL78" s="84">
        <f t="shared" si="722"/>
        <v>189166</v>
      </c>
      <c r="AM78" s="84">
        <f t="shared" si="722"/>
        <v>189166</v>
      </c>
      <c r="AN78" s="84">
        <f t="shared" si="722"/>
        <v>189166</v>
      </c>
      <c r="AO78" s="84">
        <f t="shared" si="722"/>
        <v>187902</v>
      </c>
      <c r="AP78" s="84">
        <f t="shared" si="722"/>
        <v>187902</v>
      </c>
      <c r="AQ78" s="84">
        <f t="shared" si="722"/>
        <v>187902</v>
      </c>
      <c r="AR78" s="84">
        <f t="shared" si="722"/>
        <v>187902</v>
      </c>
      <c r="AS78" s="84">
        <f t="shared" si="722"/>
        <v>186645</v>
      </c>
      <c r="AT78" s="84">
        <f t="shared" si="722"/>
        <v>186645</v>
      </c>
      <c r="AU78" s="84">
        <f t="shared" si="722"/>
        <v>186645</v>
      </c>
      <c r="AV78" s="84">
        <f t="shared" si="722"/>
        <v>186645</v>
      </c>
      <c r="AW78" s="84">
        <f t="shared" si="722"/>
        <v>185405</v>
      </c>
      <c r="AX78" s="84">
        <f t="shared" si="722"/>
        <v>185405</v>
      </c>
      <c r="AY78" s="84">
        <f t="shared" si="722"/>
        <v>185405</v>
      </c>
      <c r="AZ78" s="84">
        <f t="shared" si="722"/>
        <v>185405</v>
      </c>
      <c r="BA78" s="84">
        <f t="shared" si="722"/>
        <v>184169</v>
      </c>
      <c r="BB78" s="84">
        <f t="shared" si="722"/>
        <v>184169</v>
      </c>
      <c r="BC78" s="84">
        <f t="shared" si="722"/>
        <v>184169</v>
      </c>
      <c r="BD78" s="84">
        <f t="shared" si="722"/>
        <v>184169</v>
      </c>
      <c r="BE78" s="84">
        <f t="shared" si="722"/>
        <v>182945</v>
      </c>
      <c r="BF78" s="84">
        <f t="shared" si="722"/>
        <v>182945</v>
      </c>
      <c r="BG78" s="84">
        <f t="shared" si="722"/>
        <v>182945</v>
      </c>
      <c r="BH78" s="84">
        <f t="shared" si="722"/>
        <v>182945</v>
      </c>
      <c r="BI78" s="84">
        <f t="shared" si="722"/>
        <v>181723</v>
      </c>
      <c r="BJ78" s="84">
        <f t="shared" si="722"/>
        <v>181723</v>
      </c>
      <c r="BK78" s="84">
        <f t="shared" si="722"/>
        <v>181723</v>
      </c>
      <c r="BL78" s="84">
        <f t="shared" si="722"/>
        <v>181723</v>
      </c>
      <c r="BM78" s="84">
        <f t="shared" si="722"/>
        <v>180506</v>
      </c>
      <c r="BN78" s="84">
        <f t="shared" si="722"/>
        <v>180506</v>
      </c>
      <c r="BO78" s="84">
        <f t="shared" si="722"/>
        <v>180506</v>
      </c>
      <c r="BP78" s="84">
        <f t="shared" si="722"/>
        <v>180506</v>
      </c>
      <c r="BQ78" s="84">
        <f t="shared" si="722"/>
        <v>179309</v>
      </c>
      <c r="BR78" s="84">
        <f t="shared" ref="BR78:CJ78" si="723">BR79+BR80+BR81</f>
        <v>179309</v>
      </c>
      <c r="BS78" s="84">
        <f t="shared" si="723"/>
        <v>179309</v>
      </c>
      <c r="BT78" s="84">
        <f t="shared" si="723"/>
        <v>179309</v>
      </c>
      <c r="BU78" s="84">
        <f t="shared" si="723"/>
        <v>178114</v>
      </c>
      <c r="BV78" s="84">
        <f t="shared" si="723"/>
        <v>178114</v>
      </c>
      <c r="BW78" s="84">
        <f t="shared" si="723"/>
        <v>178114</v>
      </c>
      <c r="BX78" s="84">
        <f t="shared" si="723"/>
        <v>178114</v>
      </c>
      <c r="BY78" s="84">
        <f t="shared" si="723"/>
        <v>176931</v>
      </c>
      <c r="BZ78" s="84">
        <f t="shared" si="723"/>
        <v>176931</v>
      </c>
      <c r="CA78" s="84">
        <f t="shared" si="723"/>
        <v>176931</v>
      </c>
      <c r="CB78" s="84">
        <f t="shared" si="723"/>
        <v>176931</v>
      </c>
      <c r="CC78" s="84">
        <f t="shared" si="723"/>
        <v>175751</v>
      </c>
      <c r="CD78" s="84">
        <f t="shared" si="723"/>
        <v>175751</v>
      </c>
      <c r="CE78" s="84">
        <f t="shared" si="723"/>
        <v>175751</v>
      </c>
      <c r="CF78" s="84">
        <f t="shared" si="723"/>
        <v>175751</v>
      </c>
      <c r="CG78" s="84">
        <f t="shared" si="723"/>
        <v>174581</v>
      </c>
      <c r="CH78" s="84">
        <f t="shared" si="723"/>
        <v>174581</v>
      </c>
      <c r="CI78" s="84">
        <f t="shared" si="723"/>
        <v>174581</v>
      </c>
      <c r="CJ78" s="84">
        <f t="shared" si="723"/>
        <v>174581</v>
      </c>
      <c r="CK78" s="85">
        <f>SUM(E78:CJ78)</f>
        <v>15691532</v>
      </c>
      <c r="CL78" s="86"/>
      <c r="CM78" s="86"/>
      <c r="CN78" s="86"/>
      <c r="CO78" s="86"/>
      <c r="CP78" s="87"/>
    </row>
    <row r="79" spans="1:211">
      <c r="A79" s="68"/>
      <c r="B79" s="18" t="s">
        <v>792</v>
      </c>
      <c r="C79" s="18"/>
      <c r="D79" s="89"/>
      <c r="E79" s="84">
        <f>J73</f>
        <v>199558</v>
      </c>
      <c r="F79" s="84">
        <f t="shared" ref="F79:BQ79" si="724">K73</f>
        <v>199558</v>
      </c>
      <c r="G79" s="84">
        <f t="shared" si="724"/>
        <v>199558</v>
      </c>
      <c r="H79" s="84">
        <f t="shared" si="724"/>
        <v>199558</v>
      </c>
      <c r="I79" s="84">
        <f t="shared" si="724"/>
        <v>198232</v>
      </c>
      <c r="J79" s="84">
        <f t="shared" si="724"/>
        <v>198232</v>
      </c>
      <c r="K79" s="84">
        <f t="shared" si="724"/>
        <v>198232</v>
      </c>
      <c r="L79" s="84">
        <f t="shared" si="724"/>
        <v>198232</v>
      </c>
      <c r="M79" s="84">
        <f t="shared" si="724"/>
        <v>196911</v>
      </c>
      <c r="N79" s="84">
        <f t="shared" si="724"/>
        <v>196911</v>
      </c>
      <c r="O79" s="84">
        <f t="shared" si="724"/>
        <v>196911</v>
      </c>
      <c r="P79" s="84">
        <f t="shared" si="724"/>
        <v>196911</v>
      </c>
      <c r="Q79" s="84">
        <f t="shared" si="724"/>
        <v>195601</v>
      </c>
      <c r="R79" s="84">
        <f t="shared" si="724"/>
        <v>195601</v>
      </c>
      <c r="S79" s="84">
        <f t="shared" si="724"/>
        <v>195601</v>
      </c>
      <c r="T79" s="84">
        <f t="shared" si="724"/>
        <v>195601</v>
      </c>
      <c r="U79" s="84">
        <f t="shared" si="724"/>
        <v>194295</v>
      </c>
      <c r="V79" s="84">
        <f t="shared" si="724"/>
        <v>194295</v>
      </c>
      <c r="W79" s="84">
        <f t="shared" si="724"/>
        <v>194295</v>
      </c>
      <c r="X79" s="84">
        <f t="shared" si="724"/>
        <v>194295</v>
      </c>
      <c r="Y79" s="84">
        <f t="shared" si="724"/>
        <v>192995</v>
      </c>
      <c r="Z79" s="84">
        <f t="shared" si="724"/>
        <v>192995</v>
      </c>
      <c r="AA79" s="84">
        <f t="shared" si="724"/>
        <v>192995</v>
      </c>
      <c r="AB79" s="84">
        <f t="shared" si="724"/>
        <v>192995</v>
      </c>
      <c r="AC79" s="84">
        <f t="shared" si="724"/>
        <v>191711</v>
      </c>
      <c r="AD79" s="84">
        <f t="shared" si="724"/>
        <v>191711</v>
      </c>
      <c r="AE79" s="84">
        <f t="shared" si="724"/>
        <v>191711</v>
      </c>
      <c r="AF79" s="84">
        <f t="shared" si="724"/>
        <v>191711</v>
      </c>
      <c r="AG79" s="84">
        <f t="shared" si="724"/>
        <v>190433</v>
      </c>
      <c r="AH79" s="84">
        <f t="shared" si="724"/>
        <v>190433</v>
      </c>
      <c r="AI79" s="84">
        <f t="shared" si="724"/>
        <v>190433</v>
      </c>
      <c r="AJ79" s="84">
        <f t="shared" si="724"/>
        <v>190433</v>
      </c>
      <c r="AK79" s="84">
        <f t="shared" si="724"/>
        <v>189166</v>
      </c>
      <c r="AL79" s="84">
        <f t="shared" si="724"/>
        <v>189166</v>
      </c>
      <c r="AM79" s="84">
        <f t="shared" si="724"/>
        <v>189166</v>
      </c>
      <c r="AN79" s="84">
        <f t="shared" si="724"/>
        <v>189166</v>
      </c>
      <c r="AO79" s="84">
        <f t="shared" si="724"/>
        <v>187902</v>
      </c>
      <c r="AP79" s="84">
        <f t="shared" si="724"/>
        <v>187902</v>
      </c>
      <c r="AQ79" s="84">
        <f t="shared" si="724"/>
        <v>187902</v>
      </c>
      <c r="AR79" s="84">
        <f t="shared" si="724"/>
        <v>187902</v>
      </c>
      <c r="AS79" s="84">
        <f t="shared" si="724"/>
        <v>186645</v>
      </c>
      <c r="AT79" s="84">
        <f t="shared" si="724"/>
        <v>186645</v>
      </c>
      <c r="AU79" s="84">
        <f t="shared" si="724"/>
        <v>186645</v>
      </c>
      <c r="AV79" s="84">
        <f t="shared" si="724"/>
        <v>186645</v>
      </c>
      <c r="AW79" s="84">
        <f t="shared" si="724"/>
        <v>185405</v>
      </c>
      <c r="AX79" s="84">
        <f t="shared" si="724"/>
        <v>185405</v>
      </c>
      <c r="AY79" s="84">
        <f t="shared" si="724"/>
        <v>185405</v>
      </c>
      <c r="AZ79" s="84">
        <f t="shared" si="724"/>
        <v>185405</v>
      </c>
      <c r="BA79" s="84">
        <f t="shared" si="724"/>
        <v>184169</v>
      </c>
      <c r="BB79" s="84">
        <f t="shared" si="724"/>
        <v>184169</v>
      </c>
      <c r="BC79" s="84">
        <f t="shared" si="724"/>
        <v>184169</v>
      </c>
      <c r="BD79" s="84">
        <f t="shared" si="724"/>
        <v>184169</v>
      </c>
      <c r="BE79" s="84">
        <f t="shared" si="724"/>
        <v>182945</v>
      </c>
      <c r="BF79" s="84">
        <f t="shared" si="724"/>
        <v>182945</v>
      </c>
      <c r="BG79" s="84">
        <f t="shared" si="724"/>
        <v>182945</v>
      </c>
      <c r="BH79" s="84">
        <f t="shared" si="724"/>
        <v>182945</v>
      </c>
      <c r="BI79" s="84">
        <f t="shared" si="724"/>
        <v>181723</v>
      </c>
      <c r="BJ79" s="84">
        <f t="shared" si="724"/>
        <v>181723</v>
      </c>
      <c r="BK79" s="84">
        <f t="shared" si="724"/>
        <v>181723</v>
      </c>
      <c r="BL79" s="84">
        <f t="shared" si="724"/>
        <v>181723</v>
      </c>
      <c r="BM79" s="84">
        <f t="shared" si="724"/>
        <v>180506</v>
      </c>
      <c r="BN79" s="84">
        <f t="shared" si="724"/>
        <v>180506</v>
      </c>
      <c r="BO79" s="84">
        <f t="shared" si="724"/>
        <v>180506</v>
      </c>
      <c r="BP79" s="84">
        <f t="shared" si="724"/>
        <v>180506</v>
      </c>
      <c r="BQ79" s="84">
        <f t="shared" si="724"/>
        <v>179309</v>
      </c>
      <c r="BR79" s="84">
        <f t="shared" ref="BR79:CJ79" si="725">BW73</f>
        <v>179309</v>
      </c>
      <c r="BS79" s="84">
        <f t="shared" si="725"/>
        <v>179309</v>
      </c>
      <c r="BT79" s="84">
        <f t="shared" si="725"/>
        <v>179309</v>
      </c>
      <c r="BU79" s="84">
        <f t="shared" si="725"/>
        <v>178114</v>
      </c>
      <c r="BV79" s="84">
        <f t="shared" si="725"/>
        <v>178114</v>
      </c>
      <c r="BW79" s="84">
        <f t="shared" si="725"/>
        <v>178114</v>
      </c>
      <c r="BX79" s="84">
        <f t="shared" si="725"/>
        <v>178114</v>
      </c>
      <c r="BY79" s="84">
        <f t="shared" si="725"/>
        <v>176931</v>
      </c>
      <c r="BZ79" s="84">
        <f t="shared" si="725"/>
        <v>176931</v>
      </c>
      <c r="CA79" s="84">
        <f t="shared" si="725"/>
        <v>176931</v>
      </c>
      <c r="CB79" s="84">
        <f t="shared" si="725"/>
        <v>176931</v>
      </c>
      <c r="CC79" s="84">
        <f t="shared" si="725"/>
        <v>175751</v>
      </c>
      <c r="CD79" s="84">
        <f t="shared" si="725"/>
        <v>175751</v>
      </c>
      <c r="CE79" s="84">
        <f t="shared" si="725"/>
        <v>175751</v>
      </c>
      <c r="CF79" s="84">
        <f t="shared" si="725"/>
        <v>175751</v>
      </c>
      <c r="CG79" s="84">
        <f t="shared" si="725"/>
        <v>174581</v>
      </c>
      <c r="CH79" s="84">
        <f t="shared" si="725"/>
        <v>174581</v>
      </c>
      <c r="CI79" s="84">
        <f t="shared" si="725"/>
        <v>174581</v>
      </c>
      <c r="CJ79" s="84">
        <f t="shared" si="725"/>
        <v>174581</v>
      </c>
      <c r="CK79" s="85">
        <f t="shared" ref="CK79:CK86" si="726">SUM(E79:CJ79)</f>
        <v>15691532</v>
      </c>
    </row>
    <row r="80" spans="1:211">
      <c r="A80" s="68"/>
      <c r="B80" s="18" t="s">
        <v>793</v>
      </c>
      <c r="C80" s="18"/>
      <c r="D80" s="89"/>
      <c r="E80" s="90"/>
      <c r="F80" s="90"/>
      <c r="G80" s="90"/>
      <c r="H80" s="90"/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  <c r="AU80" s="90"/>
      <c r="AV80" s="90"/>
      <c r="AW80" s="90"/>
      <c r="AX80" s="90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85">
        <f t="shared" si="726"/>
        <v>0</v>
      </c>
    </row>
    <row r="81" spans="1:94">
      <c r="A81" s="68"/>
      <c r="B81" s="18" t="s">
        <v>794</v>
      </c>
      <c r="C81" s="18"/>
      <c r="D81" s="83"/>
      <c r="E81" s="84"/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4"/>
      <c r="AG81" s="84"/>
      <c r="AH81" s="84"/>
      <c r="AI81" s="84"/>
      <c r="AJ81" s="84"/>
      <c r="AK81" s="84"/>
      <c r="AL81" s="84"/>
      <c r="AM81" s="84"/>
      <c r="AN81" s="84"/>
      <c r="AO81" s="84"/>
      <c r="AP81" s="84"/>
      <c r="AQ81" s="84"/>
      <c r="AR81" s="84"/>
      <c r="AS81" s="84"/>
      <c r="AT81" s="84"/>
      <c r="AU81" s="84"/>
      <c r="AV81" s="84"/>
      <c r="AW81" s="84"/>
      <c r="AX81" s="84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85">
        <f t="shared" si="726"/>
        <v>0</v>
      </c>
    </row>
    <row r="82" spans="1:94" s="88" customFormat="1" ht="22.5">
      <c r="A82" s="82"/>
      <c r="B82" s="91" t="s">
        <v>965</v>
      </c>
      <c r="C82" s="84"/>
      <c r="D82" s="83"/>
      <c r="E82" s="84">
        <f>E83+E84+E85</f>
        <v>42572</v>
      </c>
      <c r="F82" s="84">
        <f t="shared" ref="F82:BQ82" si="727">F83+F84+F85</f>
        <v>42572</v>
      </c>
      <c r="G82" s="84">
        <f t="shared" si="727"/>
        <v>42572</v>
      </c>
      <c r="H82" s="84">
        <f t="shared" si="727"/>
        <v>42572</v>
      </c>
      <c r="I82" s="84">
        <f t="shared" si="727"/>
        <v>42289</v>
      </c>
      <c r="J82" s="84">
        <f t="shared" si="727"/>
        <v>42289</v>
      </c>
      <c r="K82" s="84">
        <f t="shared" si="727"/>
        <v>42289</v>
      </c>
      <c r="L82" s="84">
        <f t="shared" si="727"/>
        <v>42289</v>
      </c>
      <c r="M82" s="84">
        <f t="shared" si="727"/>
        <v>42007</v>
      </c>
      <c r="N82" s="84">
        <f t="shared" si="727"/>
        <v>42007</v>
      </c>
      <c r="O82" s="84">
        <f t="shared" si="727"/>
        <v>42007</v>
      </c>
      <c r="P82" s="84">
        <f t="shared" si="727"/>
        <v>42007</v>
      </c>
      <c r="Q82" s="84">
        <f t="shared" si="727"/>
        <v>41728</v>
      </c>
      <c r="R82" s="84">
        <f t="shared" si="727"/>
        <v>41728</v>
      </c>
      <c r="S82" s="84">
        <f t="shared" si="727"/>
        <v>41728</v>
      </c>
      <c r="T82" s="84">
        <f t="shared" si="727"/>
        <v>41728</v>
      </c>
      <c r="U82" s="84">
        <f t="shared" si="727"/>
        <v>41449</v>
      </c>
      <c r="V82" s="84">
        <f t="shared" si="727"/>
        <v>41449</v>
      </c>
      <c r="W82" s="84">
        <f t="shared" si="727"/>
        <v>41449</v>
      </c>
      <c r="X82" s="84">
        <f t="shared" si="727"/>
        <v>41449</v>
      </c>
      <c r="Y82" s="84">
        <f t="shared" si="727"/>
        <v>41172</v>
      </c>
      <c r="Z82" s="84">
        <f t="shared" si="727"/>
        <v>41172</v>
      </c>
      <c r="AA82" s="84">
        <f t="shared" si="727"/>
        <v>41172</v>
      </c>
      <c r="AB82" s="84">
        <f t="shared" si="727"/>
        <v>41172</v>
      </c>
      <c r="AC82" s="84">
        <f t="shared" si="727"/>
        <v>40898</v>
      </c>
      <c r="AD82" s="84">
        <f t="shared" si="727"/>
        <v>40898</v>
      </c>
      <c r="AE82" s="84">
        <f t="shared" si="727"/>
        <v>40898</v>
      </c>
      <c r="AF82" s="84">
        <f t="shared" si="727"/>
        <v>40898</v>
      </c>
      <c r="AG82" s="84">
        <f t="shared" si="727"/>
        <v>40625</v>
      </c>
      <c r="AH82" s="84">
        <f t="shared" si="727"/>
        <v>40625</v>
      </c>
      <c r="AI82" s="84">
        <f t="shared" si="727"/>
        <v>40625</v>
      </c>
      <c r="AJ82" s="84">
        <f t="shared" si="727"/>
        <v>40625</v>
      </c>
      <c r="AK82" s="84">
        <f t="shared" si="727"/>
        <v>40356</v>
      </c>
      <c r="AL82" s="84">
        <f t="shared" si="727"/>
        <v>40356</v>
      </c>
      <c r="AM82" s="84">
        <f t="shared" si="727"/>
        <v>40356</v>
      </c>
      <c r="AN82" s="84">
        <f t="shared" si="727"/>
        <v>40356</v>
      </c>
      <c r="AO82" s="84">
        <f t="shared" si="727"/>
        <v>40085</v>
      </c>
      <c r="AP82" s="84">
        <f t="shared" si="727"/>
        <v>40085</v>
      </c>
      <c r="AQ82" s="84">
        <f t="shared" si="727"/>
        <v>40085</v>
      </c>
      <c r="AR82" s="84">
        <f t="shared" si="727"/>
        <v>40085</v>
      </c>
      <c r="AS82" s="84">
        <f t="shared" si="727"/>
        <v>39817</v>
      </c>
      <c r="AT82" s="84">
        <f t="shared" si="727"/>
        <v>39817</v>
      </c>
      <c r="AU82" s="84">
        <f t="shared" si="727"/>
        <v>39817</v>
      </c>
      <c r="AV82" s="84">
        <f t="shared" si="727"/>
        <v>39817</v>
      </c>
      <c r="AW82" s="84">
        <f t="shared" si="727"/>
        <v>39553</v>
      </c>
      <c r="AX82" s="84">
        <f t="shared" si="727"/>
        <v>39553</v>
      </c>
      <c r="AY82" s="84">
        <f t="shared" si="727"/>
        <v>39553</v>
      </c>
      <c r="AZ82" s="84">
        <f t="shared" si="727"/>
        <v>39553</v>
      </c>
      <c r="BA82" s="84">
        <f t="shared" si="727"/>
        <v>39289</v>
      </c>
      <c r="BB82" s="84">
        <f t="shared" si="727"/>
        <v>39289</v>
      </c>
      <c r="BC82" s="84">
        <f t="shared" si="727"/>
        <v>39289</v>
      </c>
      <c r="BD82" s="84">
        <f t="shared" si="727"/>
        <v>39289</v>
      </c>
      <c r="BE82" s="84">
        <f t="shared" si="727"/>
        <v>39028</v>
      </c>
      <c r="BF82" s="84">
        <f t="shared" si="727"/>
        <v>39028</v>
      </c>
      <c r="BG82" s="84">
        <f t="shared" si="727"/>
        <v>39028</v>
      </c>
      <c r="BH82" s="84">
        <f t="shared" si="727"/>
        <v>39028</v>
      </c>
      <c r="BI82" s="84">
        <f t="shared" si="727"/>
        <v>38768</v>
      </c>
      <c r="BJ82" s="84">
        <f t="shared" si="727"/>
        <v>38768</v>
      </c>
      <c r="BK82" s="84">
        <f t="shared" si="727"/>
        <v>38768</v>
      </c>
      <c r="BL82" s="84">
        <f t="shared" si="727"/>
        <v>38768</v>
      </c>
      <c r="BM82" s="84">
        <f t="shared" si="727"/>
        <v>38508</v>
      </c>
      <c r="BN82" s="84">
        <f t="shared" si="727"/>
        <v>38508</v>
      </c>
      <c r="BO82" s="84">
        <f t="shared" si="727"/>
        <v>38508</v>
      </c>
      <c r="BP82" s="84">
        <f t="shared" si="727"/>
        <v>38508</v>
      </c>
      <c r="BQ82" s="84">
        <f t="shared" si="727"/>
        <v>38252</v>
      </c>
      <c r="BR82" s="84">
        <f t="shared" ref="BR82:CJ82" si="728">BR83+BR84+BR85</f>
        <v>38252</v>
      </c>
      <c r="BS82" s="84">
        <f t="shared" si="728"/>
        <v>38252</v>
      </c>
      <c r="BT82" s="84">
        <f t="shared" si="728"/>
        <v>38252</v>
      </c>
      <c r="BU82" s="84">
        <f t="shared" si="728"/>
        <v>37998</v>
      </c>
      <c r="BV82" s="84">
        <f t="shared" si="728"/>
        <v>37998</v>
      </c>
      <c r="BW82" s="84">
        <f t="shared" si="728"/>
        <v>37998</v>
      </c>
      <c r="BX82" s="84">
        <f t="shared" si="728"/>
        <v>37998</v>
      </c>
      <c r="BY82" s="84">
        <f t="shared" si="728"/>
        <v>37745</v>
      </c>
      <c r="BZ82" s="84">
        <f t="shared" si="728"/>
        <v>37745</v>
      </c>
      <c r="CA82" s="84">
        <f t="shared" si="728"/>
        <v>37745</v>
      </c>
      <c r="CB82" s="84">
        <f t="shared" si="728"/>
        <v>37745</v>
      </c>
      <c r="CC82" s="84">
        <f t="shared" si="728"/>
        <v>37493</v>
      </c>
      <c r="CD82" s="84">
        <f t="shared" si="728"/>
        <v>37493</v>
      </c>
      <c r="CE82" s="84">
        <f t="shared" si="728"/>
        <v>37493</v>
      </c>
      <c r="CF82" s="84">
        <f t="shared" si="728"/>
        <v>37493</v>
      </c>
      <c r="CG82" s="84">
        <f t="shared" si="728"/>
        <v>37244</v>
      </c>
      <c r="CH82" s="84">
        <f t="shared" si="728"/>
        <v>37244</v>
      </c>
      <c r="CI82" s="84">
        <f t="shared" si="728"/>
        <v>37244</v>
      </c>
      <c r="CJ82" s="84">
        <f t="shared" si="728"/>
        <v>37244</v>
      </c>
      <c r="CK82" s="85">
        <f t="shared" si="726"/>
        <v>3347504</v>
      </c>
      <c r="CL82" s="86"/>
      <c r="CM82" s="86"/>
      <c r="CN82" s="86"/>
      <c r="CO82" s="86"/>
      <c r="CP82" s="87"/>
    </row>
    <row r="83" spans="1:94" s="88" customFormat="1">
      <c r="A83" s="82"/>
      <c r="B83" s="18" t="s">
        <v>795</v>
      </c>
      <c r="C83" s="18"/>
      <c r="D83" s="92">
        <v>0.12</v>
      </c>
      <c r="E83" s="93">
        <f>ROUND(E78*$D$83,0)</f>
        <v>23947</v>
      </c>
      <c r="F83" s="93">
        <f t="shared" ref="F83:BQ83" si="729">ROUND(F78*$D$83,0)</f>
        <v>23947</v>
      </c>
      <c r="G83" s="93">
        <f t="shared" si="729"/>
        <v>23947</v>
      </c>
      <c r="H83" s="93">
        <f t="shared" si="729"/>
        <v>23947</v>
      </c>
      <c r="I83" s="93">
        <f t="shared" si="729"/>
        <v>23788</v>
      </c>
      <c r="J83" s="93">
        <f t="shared" si="729"/>
        <v>23788</v>
      </c>
      <c r="K83" s="93">
        <f t="shared" si="729"/>
        <v>23788</v>
      </c>
      <c r="L83" s="93">
        <f t="shared" si="729"/>
        <v>23788</v>
      </c>
      <c r="M83" s="93">
        <f t="shared" si="729"/>
        <v>23629</v>
      </c>
      <c r="N83" s="93">
        <f t="shared" si="729"/>
        <v>23629</v>
      </c>
      <c r="O83" s="93">
        <f t="shared" si="729"/>
        <v>23629</v>
      </c>
      <c r="P83" s="93">
        <f t="shared" si="729"/>
        <v>23629</v>
      </c>
      <c r="Q83" s="93">
        <f t="shared" si="729"/>
        <v>23472</v>
      </c>
      <c r="R83" s="93">
        <f t="shared" si="729"/>
        <v>23472</v>
      </c>
      <c r="S83" s="93">
        <f t="shared" si="729"/>
        <v>23472</v>
      </c>
      <c r="T83" s="93">
        <f t="shared" si="729"/>
        <v>23472</v>
      </c>
      <c r="U83" s="93">
        <f t="shared" si="729"/>
        <v>23315</v>
      </c>
      <c r="V83" s="93">
        <f t="shared" si="729"/>
        <v>23315</v>
      </c>
      <c r="W83" s="93">
        <f t="shared" si="729"/>
        <v>23315</v>
      </c>
      <c r="X83" s="93">
        <f t="shared" si="729"/>
        <v>23315</v>
      </c>
      <c r="Y83" s="93">
        <f t="shared" si="729"/>
        <v>23159</v>
      </c>
      <c r="Z83" s="93">
        <f t="shared" si="729"/>
        <v>23159</v>
      </c>
      <c r="AA83" s="93">
        <f t="shared" si="729"/>
        <v>23159</v>
      </c>
      <c r="AB83" s="93">
        <f t="shared" si="729"/>
        <v>23159</v>
      </c>
      <c r="AC83" s="93">
        <f t="shared" si="729"/>
        <v>23005</v>
      </c>
      <c r="AD83" s="93">
        <f t="shared" si="729"/>
        <v>23005</v>
      </c>
      <c r="AE83" s="93">
        <f t="shared" si="729"/>
        <v>23005</v>
      </c>
      <c r="AF83" s="93">
        <f t="shared" si="729"/>
        <v>23005</v>
      </c>
      <c r="AG83" s="93">
        <f t="shared" si="729"/>
        <v>22852</v>
      </c>
      <c r="AH83" s="93">
        <f t="shared" si="729"/>
        <v>22852</v>
      </c>
      <c r="AI83" s="93">
        <f t="shared" si="729"/>
        <v>22852</v>
      </c>
      <c r="AJ83" s="93">
        <f t="shared" si="729"/>
        <v>22852</v>
      </c>
      <c r="AK83" s="93">
        <f t="shared" si="729"/>
        <v>22700</v>
      </c>
      <c r="AL83" s="93">
        <f t="shared" si="729"/>
        <v>22700</v>
      </c>
      <c r="AM83" s="93">
        <f t="shared" si="729"/>
        <v>22700</v>
      </c>
      <c r="AN83" s="93">
        <f t="shared" si="729"/>
        <v>22700</v>
      </c>
      <c r="AO83" s="93">
        <f t="shared" si="729"/>
        <v>22548</v>
      </c>
      <c r="AP83" s="93">
        <f t="shared" si="729"/>
        <v>22548</v>
      </c>
      <c r="AQ83" s="93">
        <f t="shared" si="729"/>
        <v>22548</v>
      </c>
      <c r="AR83" s="93">
        <f t="shared" si="729"/>
        <v>22548</v>
      </c>
      <c r="AS83" s="93">
        <f t="shared" si="729"/>
        <v>22397</v>
      </c>
      <c r="AT83" s="93">
        <f t="shared" si="729"/>
        <v>22397</v>
      </c>
      <c r="AU83" s="93">
        <f t="shared" si="729"/>
        <v>22397</v>
      </c>
      <c r="AV83" s="93">
        <f t="shared" si="729"/>
        <v>22397</v>
      </c>
      <c r="AW83" s="93">
        <f t="shared" si="729"/>
        <v>22249</v>
      </c>
      <c r="AX83" s="93">
        <f t="shared" si="729"/>
        <v>22249</v>
      </c>
      <c r="AY83" s="93">
        <f t="shared" si="729"/>
        <v>22249</v>
      </c>
      <c r="AZ83" s="93">
        <f t="shared" si="729"/>
        <v>22249</v>
      </c>
      <c r="BA83" s="93">
        <f t="shared" si="729"/>
        <v>22100</v>
      </c>
      <c r="BB83" s="93">
        <f t="shared" si="729"/>
        <v>22100</v>
      </c>
      <c r="BC83" s="93">
        <f t="shared" si="729"/>
        <v>22100</v>
      </c>
      <c r="BD83" s="93">
        <f t="shared" si="729"/>
        <v>22100</v>
      </c>
      <c r="BE83" s="93">
        <f t="shared" si="729"/>
        <v>21953</v>
      </c>
      <c r="BF83" s="93">
        <f t="shared" si="729"/>
        <v>21953</v>
      </c>
      <c r="BG83" s="93">
        <f t="shared" si="729"/>
        <v>21953</v>
      </c>
      <c r="BH83" s="93">
        <f t="shared" si="729"/>
        <v>21953</v>
      </c>
      <c r="BI83" s="93">
        <f t="shared" si="729"/>
        <v>21807</v>
      </c>
      <c r="BJ83" s="93">
        <f t="shared" si="729"/>
        <v>21807</v>
      </c>
      <c r="BK83" s="93">
        <f t="shared" si="729"/>
        <v>21807</v>
      </c>
      <c r="BL83" s="93">
        <f t="shared" si="729"/>
        <v>21807</v>
      </c>
      <c r="BM83" s="93">
        <f t="shared" si="729"/>
        <v>21661</v>
      </c>
      <c r="BN83" s="93">
        <f t="shared" si="729"/>
        <v>21661</v>
      </c>
      <c r="BO83" s="93">
        <f t="shared" si="729"/>
        <v>21661</v>
      </c>
      <c r="BP83" s="93">
        <f t="shared" si="729"/>
        <v>21661</v>
      </c>
      <c r="BQ83" s="93">
        <f t="shared" si="729"/>
        <v>21517</v>
      </c>
      <c r="BR83" s="93">
        <f t="shared" ref="BR83:CJ83" si="730">ROUND(BR78*$D$83,0)</f>
        <v>21517</v>
      </c>
      <c r="BS83" s="93">
        <f t="shared" si="730"/>
        <v>21517</v>
      </c>
      <c r="BT83" s="93">
        <f t="shared" si="730"/>
        <v>21517</v>
      </c>
      <c r="BU83" s="93">
        <f t="shared" si="730"/>
        <v>21374</v>
      </c>
      <c r="BV83" s="93">
        <f t="shared" si="730"/>
        <v>21374</v>
      </c>
      <c r="BW83" s="93">
        <f t="shared" si="730"/>
        <v>21374</v>
      </c>
      <c r="BX83" s="93">
        <f t="shared" si="730"/>
        <v>21374</v>
      </c>
      <c r="BY83" s="93">
        <f t="shared" si="730"/>
        <v>21232</v>
      </c>
      <c r="BZ83" s="93">
        <f t="shared" si="730"/>
        <v>21232</v>
      </c>
      <c r="CA83" s="93">
        <f t="shared" si="730"/>
        <v>21232</v>
      </c>
      <c r="CB83" s="93">
        <f t="shared" si="730"/>
        <v>21232</v>
      </c>
      <c r="CC83" s="93">
        <f t="shared" si="730"/>
        <v>21090</v>
      </c>
      <c r="CD83" s="93">
        <f t="shared" si="730"/>
        <v>21090</v>
      </c>
      <c r="CE83" s="93">
        <f t="shared" si="730"/>
        <v>21090</v>
      </c>
      <c r="CF83" s="93">
        <f t="shared" si="730"/>
        <v>21090</v>
      </c>
      <c r="CG83" s="93">
        <f t="shared" si="730"/>
        <v>20950</v>
      </c>
      <c r="CH83" s="93">
        <f t="shared" si="730"/>
        <v>20950</v>
      </c>
      <c r="CI83" s="93">
        <f t="shared" si="730"/>
        <v>20950</v>
      </c>
      <c r="CJ83" s="93">
        <f t="shared" si="730"/>
        <v>20950</v>
      </c>
      <c r="CK83" s="85">
        <f t="shared" si="726"/>
        <v>1882980</v>
      </c>
      <c r="CL83" s="86"/>
      <c r="CM83" s="86"/>
      <c r="CN83" s="86"/>
      <c r="CO83" s="86"/>
      <c r="CP83" s="87"/>
    </row>
    <row r="84" spans="1:94">
      <c r="A84" s="68"/>
      <c r="B84" s="18" t="s">
        <v>966</v>
      </c>
      <c r="C84" s="18"/>
      <c r="D84" s="83">
        <v>5.6000000000000001E-2</v>
      </c>
      <c r="E84" s="84">
        <f>ROUND(E78*$D$84/(1+5%),0)</f>
        <v>10643</v>
      </c>
      <c r="F84" s="84">
        <f t="shared" ref="F84:BQ84" si="731">ROUND(F78*$D$84/(1+5%),0)</f>
        <v>10643</v>
      </c>
      <c r="G84" s="84">
        <f t="shared" si="731"/>
        <v>10643</v>
      </c>
      <c r="H84" s="84">
        <f t="shared" si="731"/>
        <v>10643</v>
      </c>
      <c r="I84" s="84">
        <f t="shared" si="731"/>
        <v>10572</v>
      </c>
      <c r="J84" s="84">
        <f t="shared" si="731"/>
        <v>10572</v>
      </c>
      <c r="K84" s="84">
        <f t="shared" si="731"/>
        <v>10572</v>
      </c>
      <c r="L84" s="84">
        <f t="shared" si="731"/>
        <v>10572</v>
      </c>
      <c r="M84" s="84">
        <f t="shared" si="731"/>
        <v>10502</v>
      </c>
      <c r="N84" s="84">
        <f t="shared" si="731"/>
        <v>10502</v>
      </c>
      <c r="O84" s="84">
        <f t="shared" si="731"/>
        <v>10502</v>
      </c>
      <c r="P84" s="84">
        <f t="shared" si="731"/>
        <v>10502</v>
      </c>
      <c r="Q84" s="84">
        <f t="shared" si="731"/>
        <v>10432</v>
      </c>
      <c r="R84" s="84">
        <f t="shared" si="731"/>
        <v>10432</v>
      </c>
      <c r="S84" s="84">
        <f t="shared" si="731"/>
        <v>10432</v>
      </c>
      <c r="T84" s="84">
        <f t="shared" si="731"/>
        <v>10432</v>
      </c>
      <c r="U84" s="84">
        <f t="shared" si="731"/>
        <v>10362</v>
      </c>
      <c r="V84" s="84">
        <f t="shared" si="731"/>
        <v>10362</v>
      </c>
      <c r="W84" s="84">
        <f t="shared" si="731"/>
        <v>10362</v>
      </c>
      <c r="X84" s="84">
        <f t="shared" si="731"/>
        <v>10362</v>
      </c>
      <c r="Y84" s="84">
        <f t="shared" si="731"/>
        <v>10293</v>
      </c>
      <c r="Z84" s="84">
        <f t="shared" si="731"/>
        <v>10293</v>
      </c>
      <c r="AA84" s="84">
        <f t="shared" si="731"/>
        <v>10293</v>
      </c>
      <c r="AB84" s="84">
        <f t="shared" si="731"/>
        <v>10293</v>
      </c>
      <c r="AC84" s="84">
        <f t="shared" si="731"/>
        <v>10225</v>
      </c>
      <c r="AD84" s="84">
        <f t="shared" si="731"/>
        <v>10225</v>
      </c>
      <c r="AE84" s="84">
        <f t="shared" si="731"/>
        <v>10225</v>
      </c>
      <c r="AF84" s="84">
        <f t="shared" si="731"/>
        <v>10225</v>
      </c>
      <c r="AG84" s="84">
        <f t="shared" si="731"/>
        <v>10156</v>
      </c>
      <c r="AH84" s="84">
        <f t="shared" si="731"/>
        <v>10156</v>
      </c>
      <c r="AI84" s="84">
        <f t="shared" si="731"/>
        <v>10156</v>
      </c>
      <c r="AJ84" s="84">
        <f t="shared" si="731"/>
        <v>10156</v>
      </c>
      <c r="AK84" s="84">
        <f t="shared" si="731"/>
        <v>10089</v>
      </c>
      <c r="AL84" s="84">
        <f t="shared" si="731"/>
        <v>10089</v>
      </c>
      <c r="AM84" s="84">
        <f t="shared" si="731"/>
        <v>10089</v>
      </c>
      <c r="AN84" s="84">
        <f t="shared" si="731"/>
        <v>10089</v>
      </c>
      <c r="AO84" s="84">
        <f t="shared" si="731"/>
        <v>10021</v>
      </c>
      <c r="AP84" s="84">
        <f t="shared" si="731"/>
        <v>10021</v>
      </c>
      <c r="AQ84" s="84">
        <f t="shared" si="731"/>
        <v>10021</v>
      </c>
      <c r="AR84" s="84">
        <f t="shared" si="731"/>
        <v>10021</v>
      </c>
      <c r="AS84" s="84">
        <f t="shared" si="731"/>
        <v>9954</v>
      </c>
      <c r="AT84" s="84">
        <f t="shared" si="731"/>
        <v>9954</v>
      </c>
      <c r="AU84" s="84">
        <f t="shared" si="731"/>
        <v>9954</v>
      </c>
      <c r="AV84" s="84">
        <f t="shared" si="731"/>
        <v>9954</v>
      </c>
      <c r="AW84" s="84">
        <f t="shared" si="731"/>
        <v>9888</v>
      </c>
      <c r="AX84" s="84">
        <f t="shared" si="731"/>
        <v>9888</v>
      </c>
      <c r="AY84" s="84">
        <f t="shared" si="731"/>
        <v>9888</v>
      </c>
      <c r="AZ84" s="84">
        <f t="shared" si="731"/>
        <v>9888</v>
      </c>
      <c r="BA84" s="84">
        <f t="shared" si="731"/>
        <v>9822</v>
      </c>
      <c r="BB84" s="84">
        <f t="shared" si="731"/>
        <v>9822</v>
      </c>
      <c r="BC84" s="84">
        <f t="shared" si="731"/>
        <v>9822</v>
      </c>
      <c r="BD84" s="84">
        <f t="shared" si="731"/>
        <v>9822</v>
      </c>
      <c r="BE84" s="84">
        <f t="shared" si="731"/>
        <v>9757</v>
      </c>
      <c r="BF84" s="84">
        <f t="shared" si="731"/>
        <v>9757</v>
      </c>
      <c r="BG84" s="84">
        <f t="shared" si="731"/>
        <v>9757</v>
      </c>
      <c r="BH84" s="84">
        <f t="shared" si="731"/>
        <v>9757</v>
      </c>
      <c r="BI84" s="84">
        <f t="shared" si="731"/>
        <v>9692</v>
      </c>
      <c r="BJ84" s="84">
        <f t="shared" si="731"/>
        <v>9692</v>
      </c>
      <c r="BK84" s="84">
        <f t="shared" si="731"/>
        <v>9692</v>
      </c>
      <c r="BL84" s="84">
        <f t="shared" si="731"/>
        <v>9692</v>
      </c>
      <c r="BM84" s="84">
        <f t="shared" si="731"/>
        <v>9627</v>
      </c>
      <c r="BN84" s="84">
        <f t="shared" si="731"/>
        <v>9627</v>
      </c>
      <c r="BO84" s="84">
        <f t="shared" si="731"/>
        <v>9627</v>
      </c>
      <c r="BP84" s="84">
        <f t="shared" si="731"/>
        <v>9627</v>
      </c>
      <c r="BQ84" s="84">
        <f t="shared" si="731"/>
        <v>9563</v>
      </c>
      <c r="BR84" s="84">
        <f t="shared" ref="BR84:CJ84" si="732">ROUND(BR78*$D$84/(1+5%),0)</f>
        <v>9563</v>
      </c>
      <c r="BS84" s="84">
        <f t="shared" si="732"/>
        <v>9563</v>
      </c>
      <c r="BT84" s="84">
        <f t="shared" si="732"/>
        <v>9563</v>
      </c>
      <c r="BU84" s="84">
        <f t="shared" si="732"/>
        <v>9499</v>
      </c>
      <c r="BV84" s="84">
        <f t="shared" si="732"/>
        <v>9499</v>
      </c>
      <c r="BW84" s="84">
        <f t="shared" si="732"/>
        <v>9499</v>
      </c>
      <c r="BX84" s="84">
        <f t="shared" si="732"/>
        <v>9499</v>
      </c>
      <c r="BY84" s="84">
        <f t="shared" si="732"/>
        <v>9436</v>
      </c>
      <c r="BZ84" s="84">
        <f t="shared" si="732"/>
        <v>9436</v>
      </c>
      <c r="CA84" s="84">
        <f t="shared" si="732"/>
        <v>9436</v>
      </c>
      <c r="CB84" s="84">
        <f t="shared" si="732"/>
        <v>9436</v>
      </c>
      <c r="CC84" s="84">
        <f t="shared" si="732"/>
        <v>9373</v>
      </c>
      <c r="CD84" s="84">
        <f t="shared" si="732"/>
        <v>9373</v>
      </c>
      <c r="CE84" s="84">
        <f t="shared" si="732"/>
        <v>9373</v>
      </c>
      <c r="CF84" s="84">
        <f t="shared" si="732"/>
        <v>9373</v>
      </c>
      <c r="CG84" s="84">
        <f t="shared" si="732"/>
        <v>9311</v>
      </c>
      <c r="CH84" s="84">
        <f t="shared" si="732"/>
        <v>9311</v>
      </c>
      <c r="CI84" s="84">
        <f t="shared" si="732"/>
        <v>9311</v>
      </c>
      <c r="CJ84" s="84">
        <f t="shared" si="732"/>
        <v>9311</v>
      </c>
      <c r="CK84" s="85">
        <f t="shared" si="726"/>
        <v>836868</v>
      </c>
    </row>
    <row r="85" spans="1:94">
      <c r="A85" s="68"/>
      <c r="B85" s="18" t="s">
        <v>796</v>
      </c>
      <c r="C85" s="18"/>
      <c r="D85" s="94">
        <v>0.04</v>
      </c>
      <c r="E85" s="84">
        <f>ROUND(E78*$D$85,0)</f>
        <v>7982</v>
      </c>
      <c r="F85" s="84">
        <f t="shared" ref="F85:BQ85" si="733">ROUND(F78*$D$85,0)</f>
        <v>7982</v>
      </c>
      <c r="G85" s="84">
        <f t="shared" si="733"/>
        <v>7982</v>
      </c>
      <c r="H85" s="84">
        <f t="shared" si="733"/>
        <v>7982</v>
      </c>
      <c r="I85" s="84">
        <f t="shared" si="733"/>
        <v>7929</v>
      </c>
      <c r="J85" s="84">
        <f t="shared" si="733"/>
        <v>7929</v>
      </c>
      <c r="K85" s="84">
        <f t="shared" si="733"/>
        <v>7929</v>
      </c>
      <c r="L85" s="84">
        <f t="shared" si="733"/>
        <v>7929</v>
      </c>
      <c r="M85" s="84">
        <f t="shared" si="733"/>
        <v>7876</v>
      </c>
      <c r="N85" s="84">
        <f t="shared" si="733"/>
        <v>7876</v>
      </c>
      <c r="O85" s="84">
        <f t="shared" si="733"/>
        <v>7876</v>
      </c>
      <c r="P85" s="84">
        <f t="shared" si="733"/>
        <v>7876</v>
      </c>
      <c r="Q85" s="84">
        <f t="shared" si="733"/>
        <v>7824</v>
      </c>
      <c r="R85" s="84">
        <f t="shared" si="733"/>
        <v>7824</v>
      </c>
      <c r="S85" s="84">
        <f t="shared" si="733"/>
        <v>7824</v>
      </c>
      <c r="T85" s="84">
        <f t="shared" si="733"/>
        <v>7824</v>
      </c>
      <c r="U85" s="84">
        <f t="shared" si="733"/>
        <v>7772</v>
      </c>
      <c r="V85" s="84">
        <f t="shared" si="733"/>
        <v>7772</v>
      </c>
      <c r="W85" s="84">
        <f t="shared" si="733"/>
        <v>7772</v>
      </c>
      <c r="X85" s="84">
        <f t="shared" si="733"/>
        <v>7772</v>
      </c>
      <c r="Y85" s="84">
        <f t="shared" si="733"/>
        <v>7720</v>
      </c>
      <c r="Z85" s="84">
        <f t="shared" si="733"/>
        <v>7720</v>
      </c>
      <c r="AA85" s="84">
        <f t="shared" si="733"/>
        <v>7720</v>
      </c>
      <c r="AB85" s="84">
        <f t="shared" si="733"/>
        <v>7720</v>
      </c>
      <c r="AC85" s="84">
        <f t="shared" si="733"/>
        <v>7668</v>
      </c>
      <c r="AD85" s="84">
        <f t="shared" si="733"/>
        <v>7668</v>
      </c>
      <c r="AE85" s="84">
        <f t="shared" si="733"/>
        <v>7668</v>
      </c>
      <c r="AF85" s="84">
        <f t="shared" si="733"/>
        <v>7668</v>
      </c>
      <c r="AG85" s="84">
        <f t="shared" si="733"/>
        <v>7617</v>
      </c>
      <c r="AH85" s="84">
        <f t="shared" si="733"/>
        <v>7617</v>
      </c>
      <c r="AI85" s="84">
        <f t="shared" si="733"/>
        <v>7617</v>
      </c>
      <c r="AJ85" s="84">
        <f t="shared" si="733"/>
        <v>7617</v>
      </c>
      <c r="AK85" s="84">
        <f t="shared" si="733"/>
        <v>7567</v>
      </c>
      <c r="AL85" s="84">
        <f t="shared" si="733"/>
        <v>7567</v>
      </c>
      <c r="AM85" s="84">
        <f t="shared" si="733"/>
        <v>7567</v>
      </c>
      <c r="AN85" s="84">
        <f t="shared" si="733"/>
        <v>7567</v>
      </c>
      <c r="AO85" s="84">
        <f t="shared" si="733"/>
        <v>7516</v>
      </c>
      <c r="AP85" s="84">
        <f t="shared" si="733"/>
        <v>7516</v>
      </c>
      <c r="AQ85" s="84">
        <f t="shared" si="733"/>
        <v>7516</v>
      </c>
      <c r="AR85" s="84">
        <f t="shared" si="733"/>
        <v>7516</v>
      </c>
      <c r="AS85" s="84">
        <f t="shared" si="733"/>
        <v>7466</v>
      </c>
      <c r="AT85" s="84">
        <f t="shared" si="733"/>
        <v>7466</v>
      </c>
      <c r="AU85" s="84">
        <f t="shared" si="733"/>
        <v>7466</v>
      </c>
      <c r="AV85" s="84">
        <f t="shared" si="733"/>
        <v>7466</v>
      </c>
      <c r="AW85" s="84">
        <f t="shared" si="733"/>
        <v>7416</v>
      </c>
      <c r="AX85" s="84">
        <f t="shared" si="733"/>
        <v>7416</v>
      </c>
      <c r="AY85" s="84">
        <f t="shared" si="733"/>
        <v>7416</v>
      </c>
      <c r="AZ85" s="84">
        <f t="shared" si="733"/>
        <v>7416</v>
      </c>
      <c r="BA85" s="84">
        <f t="shared" si="733"/>
        <v>7367</v>
      </c>
      <c r="BB85" s="84">
        <f t="shared" si="733"/>
        <v>7367</v>
      </c>
      <c r="BC85" s="84">
        <f t="shared" si="733"/>
        <v>7367</v>
      </c>
      <c r="BD85" s="84">
        <f t="shared" si="733"/>
        <v>7367</v>
      </c>
      <c r="BE85" s="84">
        <f t="shared" si="733"/>
        <v>7318</v>
      </c>
      <c r="BF85" s="84">
        <f t="shared" si="733"/>
        <v>7318</v>
      </c>
      <c r="BG85" s="84">
        <f t="shared" si="733"/>
        <v>7318</v>
      </c>
      <c r="BH85" s="84">
        <f t="shared" si="733"/>
        <v>7318</v>
      </c>
      <c r="BI85" s="84">
        <f t="shared" si="733"/>
        <v>7269</v>
      </c>
      <c r="BJ85" s="84">
        <f t="shared" si="733"/>
        <v>7269</v>
      </c>
      <c r="BK85" s="84">
        <f t="shared" si="733"/>
        <v>7269</v>
      </c>
      <c r="BL85" s="84">
        <f t="shared" si="733"/>
        <v>7269</v>
      </c>
      <c r="BM85" s="84">
        <f t="shared" si="733"/>
        <v>7220</v>
      </c>
      <c r="BN85" s="84">
        <f t="shared" si="733"/>
        <v>7220</v>
      </c>
      <c r="BO85" s="84">
        <f t="shared" si="733"/>
        <v>7220</v>
      </c>
      <c r="BP85" s="84">
        <f t="shared" si="733"/>
        <v>7220</v>
      </c>
      <c r="BQ85" s="84">
        <f t="shared" si="733"/>
        <v>7172</v>
      </c>
      <c r="BR85" s="84">
        <f t="shared" ref="BR85:CJ85" si="734">ROUND(BR78*$D$85,0)</f>
        <v>7172</v>
      </c>
      <c r="BS85" s="84">
        <f t="shared" si="734"/>
        <v>7172</v>
      </c>
      <c r="BT85" s="84">
        <f t="shared" si="734"/>
        <v>7172</v>
      </c>
      <c r="BU85" s="84">
        <f t="shared" si="734"/>
        <v>7125</v>
      </c>
      <c r="BV85" s="84">
        <f t="shared" si="734"/>
        <v>7125</v>
      </c>
      <c r="BW85" s="84">
        <f t="shared" si="734"/>
        <v>7125</v>
      </c>
      <c r="BX85" s="84">
        <f t="shared" si="734"/>
        <v>7125</v>
      </c>
      <c r="BY85" s="84">
        <f t="shared" si="734"/>
        <v>7077</v>
      </c>
      <c r="BZ85" s="84">
        <f t="shared" si="734"/>
        <v>7077</v>
      </c>
      <c r="CA85" s="84">
        <f t="shared" si="734"/>
        <v>7077</v>
      </c>
      <c r="CB85" s="84">
        <f t="shared" si="734"/>
        <v>7077</v>
      </c>
      <c r="CC85" s="84">
        <f t="shared" si="734"/>
        <v>7030</v>
      </c>
      <c r="CD85" s="84">
        <f t="shared" si="734"/>
        <v>7030</v>
      </c>
      <c r="CE85" s="84">
        <f t="shared" si="734"/>
        <v>7030</v>
      </c>
      <c r="CF85" s="84">
        <f t="shared" si="734"/>
        <v>7030</v>
      </c>
      <c r="CG85" s="84">
        <f t="shared" si="734"/>
        <v>6983</v>
      </c>
      <c r="CH85" s="84">
        <f t="shared" si="734"/>
        <v>6983</v>
      </c>
      <c r="CI85" s="84">
        <f t="shared" si="734"/>
        <v>6983</v>
      </c>
      <c r="CJ85" s="84">
        <f t="shared" si="734"/>
        <v>6983</v>
      </c>
      <c r="CK85" s="85">
        <f t="shared" si="726"/>
        <v>627656</v>
      </c>
    </row>
    <row r="86" spans="1:94" s="88" customFormat="1" ht="21">
      <c r="A86" s="82"/>
      <c r="B86" s="18" t="s">
        <v>967</v>
      </c>
      <c r="C86" s="19"/>
      <c r="D86" s="83"/>
      <c r="E86" s="95">
        <f>E78-E82</f>
        <v>156986</v>
      </c>
      <c r="F86" s="95">
        <f t="shared" ref="F86:BQ86" si="735">F78-F82</f>
        <v>156986</v>
      </c>
      <c r="G86" s="95">
        <f t="shared" si="735"/>
        <v>156986</v>
      </c>
      <c r="H86" s="95">
        <f t="shared" si="735"/>
        <v>156986</v>
      </c>
      <c r="I86" s="95">
        <f t="shared" si="735"/>
        <v>155943</v>
      </c>
      <c r="J86" s="95">
        <f t="shared" si="735"/>
        <v>155943</v>
      </c>
      <c r="K86" s="95">
        <f t="shared" si="735"/>
        <v>155943</v>
      </c>
      <c r="L86" s="95">
        <f t="shared" si="735"/>
        <v>155943</v>
      </c>
      <c r="M86" s="95">
        <f t="shared" si="735"/>
        <v>154904</v>
      </c>
      <c r="N86" s="95">
        <f t="shared" si="735"/>
        <v>154904</v>
      </c>
      <c r="O86" s="95">
        <f t="shared" si="735"/>
        <v>154904</v>
      </c>
      <c r="P86" s="95">
        <f t="shared" si="735"/>
        <v>154904</v>
      </c>
      <c r="Q86" s="95">
        <f t="shared" si="735"/>
        <v>153873</v>
      </c>
      <c r="R86" s="95">
        <f t="shared" si="735"/>
        <v>153873</v>
      </c>
      <c r="S86" s="95">
        <f t="shared" si="735"/>
        <v>153873</v>
      </c>
      <c r="T86" s="95">
        <f t="shared" si="735"/>
        <v>153873</v>
      </c>
      <c r="U86" s="95">
        <f t="shared" si="735"/>
        <v>152846</v>
      </c>
      <c r="V86" s="95">
        <f t="shared" si="735"/>
        <v>152846</v>
      </c>
      <c r="W86" s="95">
        <f t="shared" si="735"/>
        <v>152846</v>
      </c>
      <c r="X86" s="95">
        <f t="shared" si="735"/>
        <v>152846</v>
      </c>
      <c r="Y86" s="95">
        <f t="shared" si="735"/>
        <v>151823</v>
      </c>
      <c r="Z86" s="95">
        <f t="shared" si="735"/>
        <v>151823</v>
      </c>
      <c r="AA86" s="95">
        <f t="shared" si="735"/>
        <v>151823</v>
      </c>
      <c r="AB86" s="95">
        <f t="shared" si="735"/>
        <v>151823</v>
      </c>
      <c r="AC86" s="95">
        <f t="shared" si="735"/>
        <v>150813</v>
      </c>
      <c r="AD86" s="95">
        <f t="shared" si="735"/>
        <v>150813</v>
      </c>
      <c r="AE86" s="95">
        <f t="shared" si="735"/>
        <v>150813</v>
      </c>
      <c r="AF86" s="95">
        <f t="shared" si="735"/>
        <v>150813</v>
      </c>
      <c r="AG86" s="95">
        <f t="shared" si="735"/>
        <v>149808</v>
      </c>
      <c r="AH86" s="95">
        <f t="shared" si="735"/>
        <v>149808</v>
      </c>
      <c r="AI86" s="95">
        <f t="shared" si="735"/>
        <v>149808</v>
      </c>
      <c r="AJ86" s="95">
        <f t="shared" si="735"/>
        <v>149808</v>
      </c>
      <c r="AK86" s="95">
        <f t="shared" si="735"/>
        <v>148810</v>
      </c>
      <c r="AL86" s="95">
        <f t="shared" si="735"/>
        <v>148810</v>
      </c>
      <c r="AM86" s="95">
        <f t="shared" si="735"/>
        <v>148810</v>
      </c>
      <c r="AN86" s="95">
        <f t="shared" si="735"/>
        <v>148810</v>
      </c>
      <c r="AO86" s="95">
        <f t="shared" si="735"/>
        <v>147817</v>
      </c>
      <c r="AP86" s="95">
        <f t="shared" si="735"/>
        <v>147817</v>
      </c>
      <c r="AQ86" s="95">
        <f t="shared" si="735"/>
        <v>147817</v>
      </c>
      <c r="AR86" s="95">
        <f t="shared" si="735"/>
        <v>147817</v>
      </c>
      <c r="AS86" s="95">
        <f t="shared" si="735"/>
        <v>146828</v>
      </c>
      <c r="AT86" s="95">
        <f t="shared" si="735"/>
        <v>146828</v>
      </c>
      <c r="AU86" s="95">
        <f t="shared" si="735"/>
        <v>146828</v>
      </c>
      <c r="AV86" s="95">
        <f t="shared" si="735"/>
        <v>146828</v>
      </c>
      <c r="AW86" s="95">
        <f t="shared" si="735"/>
        <v>145852</v>
      </c>
      <c r="AX86" s="95">
        <f t="shared" si="735"/>
        <v>145852</v>
      </c>
      <c r="AY86" s="95">
        <f t="shared" si="735"/>
        <v>145852</v>
      </c>
      <c r="AZ86" s="95">
        <f t="shared" si="735"/>
        <v>145852</v>
      </c>
      <c r="BA86" s="95">
        <f t="shared" si="735"/>
        <v>144880</v>
      </c>
      <c r="BB86" s="95">
        <f t="shared" si="735"/>
        <v>144880</v>
      </c>
      <c r="BC86" s="95">
        <f t="shared" si="735"/>
        <v>144880</v>
      </c>
      <c r="BD86" s="95">
        <f t="shared" si="735"/>
        <v>144880</v>
      </c>
      <c r="BE86" s="95">
        <f t="shared" si="735"/>
        <v>143917</v>
      </c>
      <c r="BF86" s="95">
        <f t="shared" si="735"/>
        <v>143917</v>
      </c>
      <c r="BG86" s="95">
        <f t="shared" si="735"/>
        <v>143917</v>
      </c>
      <c r="BH86" s="95">
        <f t="shared" si="735"/>
        <v>143917</v>
      </c>
      <c r="BI86" s="95">
        <f t="shared" si="735"/>
        <v>142955</v>
      </c>
      <c r="BJ86" s="95">
        <f t="shared" si="735"/>
        <v>142955</v>
      </c>
      <c r="BK86" s="95">
        <f t="shared" si="735"/>
        <v>142955</v>
      </c>
      <c r="BL86" s="95">
        <f t="shared" si="735"/>
        <v>142955</v>
      </c>
      <c r="BM86" s="95">
        <f t="shared" si="735"/>
        <v>141998</v>
      </c>
      <c r="BN86" s="95">
        <f t="shared" si="735"/>
        <v>141998</v>
      </c>
      <c r="BO86" s="95">
        <f t="shared" si="735"/>
        <v>141998</v>
      </c>
      <c r="BP86" s="95">
        <f t="shared" si="735"/>
        <v>141998</v>
      </c>
      <c r="BQ86" s="95">
        <f t="shared" si="735"/>
        <v>141057</v>
      </c>
      <c r="BR86" s="95">
        <f t="shared" ref="BR86:CJ86" si="736">BR78-BR82</f>
        <v>141057</v>
      </c>
      <c r="BS86" s="95">
        <f t="shared" si="736"/>
        <v>141057</v>
      </c>
      <c r="BT86" s="95">
        <f t="shared" si="736"/>
        <v>141057</v>
      </c>
      <c r="BU86" s="95">
        <f t="shared" si="736"/>
        <v>140116</v>
      </c>
      <c r="BV86" s="95">
        <f t="shared" si="736"/>
        <v>140116</v>
      </c>
      <c r="BW86" s="95">
        <f t="shared" si="736"/>
        <v>140116</v>
      </c>
      <c r="BX86" s="95">
        <f t="shared" si="736"/>
        <v>140116</v>
      </c>
      <c r="BY86" s="95">
        <f t="shared" si="736"/>
        <v>139186</v>
      </c>
      <c r="BZ86" s="95">
        <f t="shared" si="736"/>
        <v>139186</v>
      </c>
      <c r="CA86" s="95">
        <f t="shared" si="736"/>
        <v>139186</v>
      </c>
      <c r="CB86" s="95">
        <f t="shared" si="736"/>
        <v>139186</v>
      </c>
      <c r="CC86" s="95">
        <f t="shared" si="736"/>
        <v>138258</v>
      </c>
      <c r="CD86" s="95">
        <f t="shared" si="736"/>
        <v>138258</v>
      </c>
      <c r="CE86" s="95">
        <f t="shared" si="736"/>
        <v>138258</v>
      </c>
      <c r="CF86" s="95">
        <f t="shared" si="736"/>
        <v>138258</v>
      </c>
      <c r="CG86" s="95">
        <f t="shared" si="736"/>
        <v>137337</v>
      </c>
      <c r="CH86" s="95">
        <f t="shared" si="736"/>
        <v>137337</v>
      </c>
      <c r="CI86" s="95">
        <f t="shared" si="736"/>
        <v>137337</v>
      </c>
      <c r="CJ86" s="95">
        <f t="shared" si="736"/>
        <v>137337</v>
      </c>
      <c r="CK86" s="85">
        <f t="shared" si="726"/>
        <v>12344028</v>
      </c>
      <c r="CL86" s="86"/>
      <c r="CM86" s="86"/>
      <c r="CN86" s="86"/>
      <c r="CO86" s="86"/>
      <c r="CP86" s="87"/>
    </row>
    <row r="87" spans="1:94" s="88" customFormat="1">
      <c r="A87" s="82"/>
      <c r="B87" s="18" t="s">
        <v>968</v>
      </c>
      <c r="C87" s="19"/>
      <c r="D87" s="96"/>
      <c r="E87" s="393">
        <f>E86+F86+G86+H86</f>
        <v>627944</v>
      </c>
      <c r="F87" s="394"/>
      <c r="G87" s="394"/>
      <c r="H87" s="395"/>
      <c r="I87" s="393">
        <f>I86+J86+K86+L86</f>
        <v>623772</v>
      </c>
      <c r="J87" s="394"/>
      <c r="K87" s="394"/>
      <c r="L87" s="395"/>
      <c r="M87" s="393">
        <f>M86+N86+O86+P86</f>
        <v>619616</v>
      </c>
      <c r="N87" s="394"/>
      <c r="O87" s="394"/>
      <c r="P87" s="395"/>
      <c r="Q87" s="393">
        <f>Q86+R86+S86+T86</f>
        <v>615492</v>
      </c>
      <c r="R87" s="394"/>
      <c r="S87" s="394"/>
      <c r="T87" s="395"/>
      <c r="U87" s="393">
        <f>U86+V86+W86+X86</f>
        <v>611384</v>
      </c>
      <c r="V87" s="394"/>
      <c r="W87" s="394"/>
      <c r="X87" s="395"/>
      <c r="Y87" s="393">
        <f>Y86+Z86+AA86+AB86</f>
        <v>607292</v>
      </c>
      <c r="Z87" s="394"/>
      <c r="AA87" s="394"/>
      <c r="AB87" s="395"/>
      <c r="AC87" s="393">
        <f>AC86+AD86+AE86+AF86</f>
        <v>603252</v>
      </c>
      <c r="AD87" s="394"/>
      <c r="AE87" s="394"/>
      <c r="AF87" s="395"/>
      <c r="AG87" s="393">
        <f>AG86+AH86+AI86+AJ86</f>
        <v>599232</v>
      </c>
      <c r="AH87" s="394"/>
      <c r="AI87" s="394"/>
      <c r="AJ87" s="395"/>
      <c r="AK87" s="393">
        <f>AK86+AL86+AM86+AN86</f>
        <v>595240</v>
      </c>
      <c r="AL87" s="394"/>
      <c r="AM87" s="394"/>
      <c r="AN87" s="395"/>
      <c r="AO87" s="393">
        <f>AO86+AP86+AQ86+AR86</f>
        <v>591268</v>
      </c>
      <c r="AP87" s="394"/>
      <c r="AQ87" s="394"/>
      <c r="AR87" s="395"/>
      <c r="AS87" s="393">
        <f>AS86+AT86+AU86+AV86</f>
        <v>587312</v>
      </c>
      <c r="AT87" s="394"/>
      <c r="AU87" s="394"/>
      <c r="AV87" s="395"/>
      <c r="AW87" s="393">
        <f>AW86+AX86+AY86+AZ86</f>
        <v>583408</v>
      </c>
      <c r="AX87" s="394"/>
      <c r="AY87" s="394"/>
      <c r="AZ87" s="395"/>
      <c r="BA87" s="393">
        <f>BA86+BB86+BC86+BD86</f>
        <v>579520</v>
      </c>
      <c r="BB87" s="394"/>
      <c r="BC87" s="394"/>
      <c r="BD87" s="395"/>
      <c r="BE87" s="393">
        <f>BE86+BF86+BG86+BH86</f>
        <v>575668</v>
      </c>
      <c r="BF87" s="394"/>
      <c r="BG87" s="394"/>
      <c r="BH87" s="395"/>
      <c r="BI87" s="393">
        <f>BI86+BJ86+BK86+BL86</f>
        <v>571820</v>
      </c>
      <c r="BJ87" s="394"/>
      <c r="BK87" s="394"/>
      <c r="BL87" s="395"/>
      <c r="BM87" s="393">
        <f>BM86+BN86+BO86+BP86</f>
        <v>567992</v>
      </c>
      <c r="BN87" s="394"/>
      <c r="BO87" s="394"/>
      <c r="BP87" s="395"/>
      <c r="BQ87" s="393">
        <f>BQ86+BR86+BS86+BT86</f>
        <v>564228</v>
      </c>
      <c r="BR87" s="394"/>
      <c r="BS87" s="394"/>
      <c r="BT87" s="395"/>
      <c r="BU87" s="393">
        <f>BU86+BV86+BW86+BX86</f>
        <v>560464</v>
      </c>
      <c r="BV87" s="394"/>
      <c r="BW87" s="394"/>
      <c r="BX87" s="395"/>
      <c r="BY87" s="393">
        <f>BY86+BZ86+CA86+CB86</f>
        <v>556744</v>
      </c>
      <c r="BZ87" s="394"/>
      <c r="CA87" s="394"/>
      <c r="CB87" s="395"/>
      <c r="CC87" s="393">
        <f>CC86+CD86+CE86+CF86</f>
        <v>553032</v>
      </c>
      <c r="CD87" s="394"/>
      <c r="CE87" s="394"/>
      <c r="CF87" s="395"/>
      <c r="CG87" s="393">
        <f>CG86+CH86+CI86+CJ86</f>
        <v>549348</v>
      </c>
      <c r="CH87" s="394"/>
      <c r="CI87" s="394"/>
      <c r="CJ87" s="395"/>
      <c r="CK87" s="85">
        <f>SUM(E87:CJ87)</f>
        <v>12344028</v>
      </c>
      <c r="CL87" s="86"/>
      <c r="CM87" s="86"/>
      <c r="CN87" s="86"/>
      <c r="CO87" s="86"/>
      <c r="CP87" s="87"/>
    </row>
    <row r="88" spans="1:94" ht="15">
      <c r="A88" s="68"/>
      <c r="B88" s="20" t="s">
        <v>969</v>
      </c>
      <c r="C88" s="20"/>
      <c r="D88" s="97"/>
      <c r="E88" s="389"/>
      <c r="F88" s="390"/>
      <c r="G88" s="390"/>
      <c r="H88" s="391"/>
      <c r="I88" s="389"/>
      <c r="J88" s="390"/>
      <c r="K88" s="390"/>
      <c r="L88" s="391"/>
      <c r="M88" s="389"/>
      <c r="N88" s="390"/>
      <c r="O88" s="390"/>
      <c r="P88" s="391"/>
      <c r="Q88" s="389"/>
      <c r="R88" s="390"/>
      <c r="S88" s="390"/>
      <c r="T88" s="391"/>
      <c r="U88" s="389"/>
      <c r="V88" s="390"/>
      <c r="W88" s="390"/>
      <c r="X88" s="391"/>
      <c r="Y88" s="389"/>
      <c r="Z88" s="390"/>
      <c r="AA88" s="390"/>
      <c r="AB88" s="391"/>
      <c r="AC88" s="389"/>
      <c r="AD88" s="390"/>
      <c r="AE88" s="390"/>
      <c r="AF88" s="391"/>
      <c r="AG88" s="389"/>
      <c r="AH88" s="390"/>
      <c r="AI88" s="390"/>
      <c r="AJ88" s="391"/>
      <c r="AK88" s="389"/>
      <c r="AL88" s="390"/>
      <c r="AM88" s="390"/>
      <c r="AN88" s="391"/>
      <c r="AO88" s="389"/>
      <c r="AP88" s="390"/>
      <c r="AQ88" s="390"/>
      <c r="AR88" s="391"/>
      <c r="AS88" s="389"/>
      <c r="AT88" s="390"/>
      <c r="AU88" s="390"/>
      <c r="AV88" s="391"/>
      <c r="AW88" s="389"/>
      <c r="AX88" s="390"/>
      <c r="AY88" s="390"/>
      <c r="AZ88" s="391"/>
      <c r="BA88" s="389"/>
      <c r="BB88" s="390"/>
      <c r="BC88" s="390"/>
      <c r="BD88" s="391"/>
      <c r="BE88" s="389"/>
      <c r="BF88" s="390"/>
      <c r="BG88" s="390"/>
      <c r="BH88" s="391"/>
      <c r="BI88" s="389"/>
      <c r="BJ88" s="390"/>
      <c r="BK88" s="390"/>
      <c r="BL88" s="391"/>
      <c r="BM88" s="389"/>
      <c r="BN88" s="390"/>
      <c r="BO88" s="390"/>
      <c r="BP88" s="391"/>
      <c r="BQ88" s="389"/>
      <c r="BR88" s="390"/>
      <c r="BS88" s="390"/>
      <c r="BT88" s="391"/>
      <c r="BU88" s="389"/>
      <c r="BV88" s="390"/>
      <c r="BW88" s="390"/>
      <c r="BX88" s="391"/>
      <c r="BY88" s="389"/>
      <c r="BZ88" s="390"/>
      <c r="CA88" s="390"/>
      <c r="CB88" s="391"/>
      <c r="CC88" s="389"/>
      <c r="CD88" s="390"/>
      <c r="CE88" s="390"/>
      <c r="CF88" s="391"/>
      <c r="CG88" s="389"/>
      <c r="CH88" s="390"/>
      <c r="CI88" s="390"/>
      <c r="CJ88" s="391"/>
      <c r="CK88" s="71"/>
    </row>
    <row r="89" spans="1:94" hidden="1">
      <c r="A89" s="68"/>
      <c r="B89" s="20" t="s">
        <v>970</v>
      </c>
      <c r="C89" s="20"/>
      <c r="D89" s="21"/>
      <c r="E89" s="22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2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2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</row>
    <row r="90" spans="1:94">
      <c r="A90" s="68"/>
      <c r="B90" s="20" t="s">
        <v>971</v>
      </c>
      <c r="C90" s="20"/>
      <c r="D90" s="21"/>
      <c r="E90" s="389"/>
      <c r="F90" s="390"/>
      <c r="G90" s="390"/>
      <c r="H90" s="391"/>
      <c r="I90" s="389"/>
      <c r="J90" s="390"/>
      <c r="K90" s="390"/>
      <c r="L90" s="391"/>
      <c r="M90" s="389"/>
      <c r="N90" s="390"/>
      <c r="O90" s="390"/>
      <c r="P90" s="391"/>
      <c r="Q90" s="389"/>
      <c r="R90" s="390"/>
      <c r="S90" s="390"/>
      <c r="T90" s="391"/>
      <c r="U90" s="389"/>
      <c r="V90" s="390"/>
      <c r="W90" s="390"/>
      <c r="X90" s="391"/>
      <c r="Y90" s="389"/>
      <c r="Z90" s="390"/>
      <c r="AA90" s="390"/>
      <c r="AB90" s="391"/>
      <c r="AC90" s="389"/>
      <c r="AD90" s="390"/>
      <c r="AE90" s="390"/>
      <c r="AF90" s="391"/>
      <c r="AG90" s="389"/>
      <c r="AH90" s="390"/>
      <c r="AI90" s="390"/>
      <c r="AJ90" s="391"/>
      <c r="AK90" s="389"/>
      <c r="AL90" s="390"/>
      <c r="AM90" s="390"/>
      <c r="AN90" s="391"/>
      <c r="AO90" s="389"/>
      <c r="AP90" s="390"/>
      <c r="AQ90" s="390"/>
      <c r="AR90" s="391"/>
      <c r="AS90" s="389"/>
      <c r="AT90" s="390"/>
      <c r="AU90" s="390"/>
      <c r="AV90" s="391"/>
      <c r="AW90" s="389"/>
      <c r="AX90" s="390"/>
      <c r="AY90" s="390"/>
      <c r="AZ90" s="391"/>
      <c r="BA90" s="389"/>
      <c r="BB90" s="390"/>
      <c r="BC90" s="390"/>
      <c r="BD90" s="391"/>
      <c r="BE90" s="389"/>
      <c r="BF90" s="390"/>
      <c r="BG90" s="390"/>
      <c r="BH90" s="391"/>
      <c r="BI90" s="389"/>
      <c r="BJ90" s="390"/>
      <c r="BK90" s="390"/>
      <c r="BL90" s="391"/>
      <c r="BM90" s="389"/>
      <c r="BN90" s="390"/>
      <c r="BO90" s="390"/>
      <c r="BP90" s="391"/>
      <c r="BQ90" s="389"/>
      <c r="BR90" s="390"/>
      <c r="BS90" s="390"/>
      <c r="BT90" s="391"/>
      <c r="BU90" s="389"/>
      <c r="BV90" s="390"/>
      <c r="BW90" s="390"/>
      <c r="BX90" s="391"/>
      <c r="BY90" s="389"/>
      <c r="BZ90" s="390"/>
      <c r="CA90" s="390"/>
      <c r="CB90" s="391"/>
      <c r="CC90" s="389"/>
      <c r="CD90" s="390"/>
      <c r="CE90" s="390"/>
      <c r="CF90" s="391"/>
      <c r="CG90" s="389"/>
      <c r="CH90" s="390"/>
      <c r="CI90" s="390"/>
      <c r="CJ90" s="391"/>
      <c r="CK90" s="71"/>
    </row>
    <row r="91" spans="1:94" ht="21" customHeight="1">
      <c r="A91" s="68"/>
      <c r="B91" s="170"/>
      <c r="C91" s="23"/>
      <c r="D91" s="171"/>
      <c r="E91" s="165"/>
      <c r="F91" s="166"/>
      <c r="G91" s="167"/>
      <c r="H91" s="172"/>
      <c r="I91" s="166"/>
    </row>
    <row r="92" spans="1:94" ht="21" customHeight="1">
      <c r="A92" s="68"/>
      <c r="B92" s="170"/>
      <c r="C92" s="23"/>
      <c r="D92" s="171"/>
      <c r="E92" s="165"/>
      <c r="F92" s="166"/>
      <c r="G92" s="167"/>
      <c r="H92" s="172"/>
      <c r="I92" s="166"/>
    </row>
    <row r="93" spans="1:94" ht="21" customHeight="1">
      <c r="A93" s="68"/>
      <c r="B93" s="170"/>
      <c r="C93" s="23"/>
      <c r="D93" s="171"/>
      <c r="E93" s="165"/>
      <c r="F93" s="166"/>
      <c r="G93" s="167"/>
      <c r="H93" s="172"/>
      <c r="I93" s="166"/>
    </row>
    <row r="94" spans="1:94" ht="21" customHeight="1">
      <c r="A94" s="68"/>
      <c r="B94" s="170"/>
      <c r="C94" s="23"/>
      <c r="D94" s="171"/>
      <c r="E94" s="165"/>
      <c r="F94" s="166"/>
      <c r="G94" s="167"/>
      <c r="H94" s="172"/>
      <c r="I94" s="166"/>
    </row>
    <row r="95" spans="1:94" ht="21" customHeight="1">
      <c r="A95" s="68"/>
      <c r="B95" s="170"/>
      <c r="C95" s="23"/>
      <c r="D95" s="171"/>
      <c r="E95" s="165"/>
      <c r="F95" s="166"/>
      <c r="G95" s="167"/>
      <c r="H95" s="172"/>
      <c r="I95" s="166"/>
    </row>
    <row r="96" spans="1:94" ht="21" customHeight="1">
      <c r="A96" s="68"/>
      <c r="B96" s="170"/>
      <c r="C96" s="23"/>
      <c r="D96" s="171"/>
      <c r="E96" s="165"/>
      <c r="F96" s="166"/>
      <c r="G96" s="167"/>
      <c r="H96" s="172"/>
      <c r="I96" s="166"/>
    </row>
    <row r="97" spans="1:9" ht="21" customHeight="1">
      <c r="A97" s="68"/>
      <c r="B97" s="170"/>
      <c r="C97" s="23"/>
      <c r="D97" s="171"/>
      <c r="E97" s="165"/>
      <c r="F97" s="166"/>
      <c r="G97" s="167"/>
      <c r="H97" s="172"/>
      <c r="I97" s="166"/>
    </row>
    <row r="98" spans="1:9" ht="21" customHeight="1">
      <c r="A98" s="68"/>
      <c r="B98" s="170"/>
      <c r="C98" s="23"/>
      <c r="D98" s="171"/>
      <c r="E98" s="165"/>
      <c r="F98" s="166"/>
      <c r="G98" s="167"/>
      <c r="H98" s="172"/>
      <c r="I98" s="166"/>
    </row>
    <row r="99" spans="1:9" ht="21" customHeight="1">
      <c r="A99" s="68"/>
      <c r="B99" s="170"/>
      <c r="C99" s="23"/>
      <c r="D99" s="171"/>
      <c r="E99" s="165"/>
      <c r="F99" s="166"/>
      <c r="G99" s="167"/>
      <c r="H99" s="172"/>
      <c r="I99" s="166"/>
    </row>
    <row r="100" spans="1:9" ht="21" customHeight="1">
      <c r="A100" s="68"/>
      <c r="B100" s="170"/>
      <c r="C100" s="23"/>
      <c r="D100" s="171"/>
      <c r="E100" s="165"/>
      <c r="F100" s="166"/>
      <c r="G100" s="167"/>
      <c r="H100" s="172"/>
      <c r="I100" s="166"/>
    </row>
    <row r="101" spans="1:9" ht="21" customHeight="1">
      <c r="A101" s="68"/>
      <c r="B101" s="170"/>
      <c r="C101" s="23"/>
      <c r="D101" s="171"/>
      <c r="E101" s="165"/>
      <c r="F101" s="166"/>
      <c r="G101" s="167"/>
      <c r="H101" s="172"/>
      <c r="I101" s="166"/>
    </row>
    <row r="102" spans="1:9">
      <c r="A102" s="68"/>
      <c r="B102" s="170"/>
      <c r="C102" s="23"/>
      <c r="D102" s="171"/>
      <c r="E102" s="165"/>
      <c r="F102" s="166"/>
      <c r="G102" s="167"/>
      <c r="H102" s="172"/>
      <c r="I102" s="166"/>
    </row>
    <row r="103" spans="1:9">
      <c r="A103" s="68"/>
      <c r="B103" s="170"/>
      <c r="C103" s="23"/>
      <c r="D103" s="171"/>
      <c r="E103" s="165"/>
      <c r="F103" s="166"/>
      <c r="G103" s="167"/>
      <c r="H103" s="172"/>
      <c r="I103" s="166"/>
    </row>
    <row r="104" spans="1:9">
      <c r="A104" s="68"/>
      <c r="B104" s="170"/>
      <c r="C104" s="23"/>
      <c r="D104" s="171"/>
      <c r="E104" s="165"/>
      <c r="F104" s="166"/>
      <c r="G104" s="167"/>
      <c r="H104" s="172"/>
      <c r="I104" s="166"/>
    </row>
    <row r="105" spans="1:9">
      <c r="A105" s="68"/>
      <c r="B105" s="170"/>
      <c r="C105" s="23"/>
      <c r="D105" s="171"/>
      <c r="E105" s="165"/>
      <c r="F105" s="166"/>
      <c r="G105" s="167"/>
      <c r="H105" s="172"/>
      <c r="I105" s="166"/>
    </row>
    <row r="106" spans="1:9">
      <c r="A106" s="68"/>
      <c r="B106" s="170"/>
      <c r="C106" s="23"/>
      <c r="D106" s="171"/>
      <c r="E106" s="165"/>
      <c r="F106" s="166"/>
      <c r="G106" s="167"/>
      <c r="H106" s="172"/>
      <c r="I106" s="166"/>
    </row>
    <row r="107" spans="1:9">
      <c r="A107" s="68"/>
      <c r="B107" s="170"/>
      <c r="C107" s="23"/>
      <c r="D107" s="171"/>
      <c r="E107" s="165"/>
      <c r="F107" s="166"/>
      <c r="G107" s="167"/>
      <c r="H107" s="172"/>
      <c r="I107" s="166"/>
    </row>
    <row r="108" spans="1:9">
      <c r="A108" s="68"/>
      <c r="B108" s="170"/>
      <c r="C108" s="23"/>
      <c r="D108" s="171"/>
      <c r="E108" s="165"/>
      <c r="F108" s="166"/>
      <c r="G108" s="167"/>
      <c r="H108" s="172"/>
      <c r="I108" s="166"/>
    </row>
    <row r="109" spans="1:9">
      <c r="A109" s="68"/>
      <c r="B109" s="170"/>
      <c r="C109" s="23"/>
      <c r="D109" s="171"/>
      <c r="E109" s="165"/>
      <c r="F109" s="166"/>
      <c r="G109" s="167"/>
      <c r="H109" s="172"/>
      <c r="I109" s="166"/>
    </row>
    <row r="110" spans="1:9">
      <c r="A110" s="68"/>
      <c r="B110" s="170"/>
      <c r="C110" s="23"/>
      <c r="D110" s="171"/>
      <c r="E110" s="165"/>
      <c r="F110" s="166"/>
      <c r="G110" s="167"/>
      <c r="H110" s="172"/>
      <c r="I110" s="166"/>
    </row>
    <row r="111" spans="1:9">
      <c r="A111" s="68"/>
      <c r="B111" s="170"/>
      <c r="C111" s="23"/>
      <c r="D111" s="171"/>
      <c r="E111" s="165"/>
      <c r="F111" s="166"/>
      <c r="G111" s="167"/>
      <c r="H111" s="172"/>
      <c r="I111" s="166"/>
    </row>
    <row r="112" spans="1:9">
      <c r="A112" s="68"/>
      <c r="B112" s="170"/>
      <c r="C112" s="23"/>
      <c r="D112" s="171"/>
      <c r="E112" s="165"/>
      <c r="F112" s="166"/>
      <c r="G112" s="167"/>
      <c r="H112" s="172"/>
      <c r="I112" s="166"/>
    </row>
    <row r="113" spans="1:9">
      <c r="A113" s="68"/>
      <c r="B113" s="170"/>
      <c r="C113" s="23"/>
      <c r="D113" s="171"/>
      <c r="E113" s="165"/>
      <c r="F113" s="166"/>
      <c r="G113" s="167"/>
      <c r="H113" s="172"/>
      <c r="I113" s="166"/>
    </row>
    <row r="114" spans="1:9">
      <c r="A114" s="68"/>
      <c r="B114" s="170"/>
      <c r="C114" s="23"/>
      <c r="D114" s="171"/>
      <c r="E114" s="165"/>
      <c r="F114" s="166"/>
      <c r="G114" s="167"/>
      <c r="H114" s="172"/>
      <c r="I114" s="166"/>
    </row>
    <row r="115" spans="1:9">
      <c r="A115" s="68"/>
      <c r="B115" s="170"/>
      <c r="C115" s="23"/>
      <c r="D115" s="171"/>
      <c r="E115" s="165"/>
      <c r="F115" s="166"/>
      <c r="G115" s="167"/>
      <c r="H115" s="172"/>
      <c r="I115" s="166"/>
    </row>
    <row r="116" spans="1:9">
      <c r="A116" s="68"/>
      <c r="B116" s="170"/>
      <c r="C116" s="23"/>
      <c r="D116" s="171"/>
      <c r="E116" s="165"/>
      <c r="F116" s="166"/>
      <c r="G116" s="167"/>
      <c r="H116" s="172"/>
      <c r="I116" s="166"/>
    </row>
    <row r="117" spans="1:9">
      <c r="A117" s="68"/>
      <c r="B117" s="170"/>
      <c r="C117" s="23"/>
      <c r="D117" s="171"/>
      <c r="E117" s="165"/>
      <c r="F117" s="166"/>
      <c r="G117" s="167"/>
      <c r="H117" s="172"/>
      <c r="I117" s="166"/>
    </row>
    <row r="118" spans="1:9">
      <c r="A118" s="68"/>
      <c r="B118" s="170"/>
      <c r="C118" s="23"/>
      <c r="D118" s="171"/>
      <c r="E118" s="165"/>
      <c r="F118" s="166"/>
      <c r="G118" s="167"/>
      <c r="H118" s="172"/>
      <c r="I118" s="166"/>
    </row>
    <row r="119" spans="1:9">
      <c r="A119" s="68"/>
      <c r="B119" s="170"/>
      <c r="C119" s="23"/>
      <c r="D119" s="171"/>
      <c r="E119" s="165"/>
      <c r="F119" s="166"/>
      <c r="G119" s="167"/>
      <c r="H119" s="172"/>
      <c r="I119" s="166"/>
    </row>
    <row r="120" spans="1:9">
      <c r="A120" s="68"/>
      <c r="B120" s="170"/>
      <c r="C120" s="23"/>
      <c r="D120" s="171"/>
      <c r="E120" s="165"/>
      <c r="F120" s="166"/>
      <c r="G120" s="167"/>
      <c r="H120" s="172"/>
      <c r="I120" s="166"/>
    </row>
    <row r="121" spans="1:9">
      <c r="A121" s="68"/>
      <c r="B121" s="170"/>
      <c r="C121" s="23"/>
      <c r="D121" s="171"/>
      <c r="E121" s="165"/>
      <c r="F121" s="166"/>
      <c r="G121" s="167"/>
      <c r="H121" s="172"/>
      <c r="I121" s="166"/>
    </row>
    <row r="122" spans="1:9">
      <c r="A122" s="68"/>
      <c r="B122" s="170"/>
      <c r="C122" s="23"/>
      <c r="D122" s="171"/>
      <c r="E122" s="165"/>
      <c r="F122" s="166"/>
      <c r="G122" s="167"/>
      <c r="H122" s="172"/>
      <c r="I122" s="166"/>
    </row>
    <row r="123" spans="1:9">
      <c r="A123" s="68"/>
      <c r="B123" s="170"/>
      <c r="C123" s="23"/>
      <c r="D123" s="171"/>
      <c r="E123" s="165"/>
      <c r="F123" s="166"/>
      <c r="G123" s="167"/>
      <c r="H123" s="172"/>
      <c r="I123" s="166"/>
    </row>
    <row r="124" spans="1:9">
      <c r="A124" s="68"/>
      <c r="B124" s="170"/>
      <c r="C124" s="23"/>
      <c r="D124" s="171"/>
      <c r="E124" s="165"/>
      <c r="F124" s="166"/>
      <c r="G124" s="167"/>
      <c r="H124" s="172"/>
      <c r="I124" s="166"/>
    </row>
    <row r="125" spans="1:9">
      <c r="A125" s="68"/>
      <c r="B125" s="170"/>
      <c r="C125" s="23"/>
      <c r="D125" s="171"/>
      <c r="E125" s="165"/>
      <c r="F125" s="166"/>
      <c r="G125" s="167"/>
      <c r="H125" s="172"/>
      <c r="I125" s="166"/>
    </row>
    <row r="126" spans="1:9">
      <c r="A126" s="68"/>
      <c r="B126" s="170"/>
      <c r="C126" s="23"/>
      <c r="D126" s="171"/>
      <c r="E126" s="165"/>
      <c r="F126" s="166"/>
      <c r="G126" s="167"/>
      <c r="H126" s="172"/>
      <c r="I126" s="166"/>
    </row>
    <row r="127" spans="1:9">
      <c r="A127" s="68"/>
      <c r="B127" s="170"/>
      <c r="C127" s="23"/>
      <c r="D127" s="171"/>
      <c r="E127" s="165"/>
      <c r="F127" s="166"/>
      <c r="G127" s="167"/>
      <c r="H127" s="172"/>
      <c r="I127" s="166"/>
    </row>
    <row r="128" spans="1:9">
      <c r="A128" s="68"/>
      <c r="B128" s="170"/>
      <c r="C128" s="23"/>
      <c r="D128" s="171"/>
      <c r="E128" s="165"/>
      <c r="F128" s="166"/>
      <c r="G128" s="167"/>
      <c r="H128" s="172"/>
      <c r="I128" s="166"/>
    </row>
    <row r="129" spans="1:9">
      <c r="A129" s="68"/>
      <c r="B129" s="170"/>
      <c r="C129" s="23"/>
      <c r="D129" s="171"/>
      <c r="E129" s="165"/>
      <c r="F129" s="166"/>
      <c r="G129" s="167"/>
      <c r="H129" s="172"/>
      <c r="I129" s="166"/>
    </row>
    <row r="130" spans="1:9">
      <c r="A130" s="68"/>
      <c r="B130" s="170"/>
      <c r="C130" s="23"/>
      <c r="D130" s="171"/>
      <c r="E130" s="165"/>
      <c r="F130" s="166"/>
      <c r="G130" s="167"/>
      <c r="H130" s="172"/>
      <c r="I130" s="166"/>
    </row>
    <row r="131" spans="1:9">
      <c r="A131" s="68"/>
      <c r="B131" s="170"/>
      <c r="C131" s="23"/>
      <c r="D131" s="171"/>
      <c r="E131" s="165"/>
      <c r="F131" s="166"/>
      <c r="G131" s="167"/>
      <c r="H131" s="172"/>
      <c r="I131" s="166"/>
    </row>
    <row r="132" spans="1:9">
      <c r="A132" s="68"/>
      <c r="B132" s="170"/>
      <c r="C132" s="23"/>
      <c r="D132" s="171"/>
      <c r="E132" s="165"/>
      <c r="F132" s="166"/>
      <c r="G132" s="167"/>
      <c r="H132" s="172"/>
      <c r="I132" s="166"/>
    </row>
    <row r="133" spans="1:9">
      <c r="A133" s="68"/>
      <c r="B133" s="170"/>
      <c r="C133" s="23"/>
      <c r="D133" s="171"/>
      <c r="E133" s="165"/>
      <c r="F133" s="166"/>
      <c r="G133" s="167"/>
      <c r="H133" s="172"/>
      <c r="I133" s="166"/>
    </row>
    <row r="134" spans="1:9">
      <c r="A134" s="68"/>
      <c r="B134" s="170"/>
      <c r="C134" s="23"/>
      <c r="D134" s="171"/>
      <c r="E134" s="165"/>
      <c r="F134" s="166"/>
      <c r="G134" s="167"/>
      <c r="H134" s="172"/>
      <c r="I134" s="166"/>
    </row>
    <row r="135" spans="1:9">
      <c r="A135" s="68"/>
      <c r="B135" s="170"/>
      <c r="C135" s="23"/>
      <c r="D135" s="171"/>
      <c r="E135" s="165"/>
      <c r="F135" s="166"/>
      <c r="G135" s="167"/>
      <c r="H135" s="172"/>
      <c r="I135" s="166"/>
    </row>
    <row r="136" spans="1:9">
      <c r="A136" s="68"/>
      <c r="B136" s="170"/>
      <c r="C136" s="23"/>
      <c r="D136" s="171"/>
      <c r="E136" s="165"/>
      <c r="F136" s="166"/>
      <c r="G136" s="167"/>
      <c r="H136" s="172"/>
      <c r="I136" s="166"/>
    </row>
    <row r="137" spans="1:9">
      <c r="A137" s="68"/>
      <c r="B137" s="170"/>
      <c r="C137" s="23"/>
      <c r="D137" s="171"/>
      <c r="E137" s="165"/>
      <c r="F137" s="166"/>
      <c r="G137" s="167"/>
      <c r="H137" s="172"/>
      <c r="I137" s="166"/>
    </row>
    <row r="138" spans="1:9">
      <c r="A138" s="68"/>
      <c r="B138" s="170"/>
      <c r="C138" s="23"/>
      <c r="D138" s="171"/>
      <c r="E138" s="165"/>
      <c r="F138" s="166"/>
      <c r="G138" s="167"/>
      <c r="H138" s="172"/>
      <c r="I138" s="166"/>
    </row>
    <row r="139" spans="1:9">
      <c r="A139" s="68"/>
      <c r="B139" s="170"/>
      <c r="C139" s="23"/>
      <c r="D139" s="171"/>
      <c r="E139" s="165"/>
      <c r="F139" s="166"/>
      <c r="G139" s="167"/>
      <c r="H139" s="172"/>
      <c r="I139" s="166"/>
    </row>
    <row r="140" spans="1:9">
      <c r="A140" s="68"/>
      <c r="B140" s="170"/>
      <c r="C140" s="23"/>
      <c r="D140" s="171"/>
      <c r="E140" s="165"/>
      <c r="F140" s="166"/>
      <c r="G140" s="167"/>
      <c r="H140" s="172"/>
      <c r="I140" s="166"/>
    </row>
    <row r="141" spans="1:9">
      <c r="A141" s="68"/>
      <c r="B141" s="170"/>
      <c r="C141" s="23"/>
      <c r="D141" s="171"/>
      <c r="E141" s="165"/>
      <c r="F141" s="166"/>
      <c r="G141" s="167"/>
      <c r="H141" s="172"/>
      <c r="I141" s="166"/>
    </row>
    <row r="142" spans="1:9">
      <c r="A142" s="68"/>
      <c r="B142" s="170"/>
      <c r="C142" s="23"/>
      <c r="D142" s="171"/>
      <c r="E142" s="165"/>
      <c r="F142" s="166"/>
      <c r="G142" s="167"/>
      <c r="H142" s="172"/>
      <c r="I142" s="166"/>
    </row>
    <row r="143" spans="1:9">
      <c r="A143" s="68"/>
      <c r="B143" s="170"/>
      <c r="C143" s="23"/>
      <c r="D143" s="171"/>
      <c r="E143" s="165"/>
      <c r="F143" s="166"/>
      <c r="G143" s="167"/>
      <c r="H143" s="172"/>
      <c r="I143" s="166"/>
    </row>
    <row r="144" spans="1:9">
      <c r="A144" s="68"/>
      <c r="B144" s="170"/>
      <c r="C144" s="23"/>
      <c r="D144" s="171"/>
      <c r="E144" s="165"/>
      <c r="F144" s="166"/>
      <c r="G144" s="167"/>
      <c r="H144" s="172"/>
      <c r="I144" s="166"/>
    </row>
    <row r="145" spans="1:9">
      <c r="A145" s="68"/>
      <c r="B145" s="170"/>
      <c r="C145" s="23"/>
      <c r="D145" s="171"/>
      <c r="E145" s="165"/>
      <c r="F145" s="166"/>
      <c r="G145" s="167"/>
      <c r="H145" s="172"/>
      <c r="I145" s="166"/>
    </row>
    <row r="146" spans="1:9">
      <c r="A146" s="68"/>
      <c r="B146" s="170"/>
      <c r="C146" s="23"/>
      <c r="D146" s="171"/>
      <c r="E146" s="165"/>
      <c r="F146" s="166"/>
      <c r="G146" s="167"/>
      <c r="H146" s="172"/>
      <c r="I146" s="166"/>
    </row>
    <row r="147" spans="1:9">
      <c r="A147" s="68"/>
      <c r="B147" s="170"/>
      <c r="C147" s="23"/>
      <c r="D147" s="171"/>
      <c r="E147" s="165"/>
      <c r="F147" s="166"/>
      <c r="G147" s="167"/>
      <c r="H147" s="172"/>
      <c r="I147" s="166"/>
    </row>
    <row r="148" spans="1:9">
      <c r="A148" s="68"/>
      <c r="B148" s="170"/>
      <c r="C148" s="23"/>
      <c r="D148" s="171"/>
      <c r="E148" s="165"/>
      <c r="F148" s="166"/>
      <c r="G148" s="167"/>
      <c r="H148" s="172"/>
      <c r="I148" s="166"/>
    </row>
    <row r="149" spans="1:9">
      <c r="A149" s="68"/>
      <c r="B149" s="170"/>
      <c r="C149" s="23"/>
      <c r="D149" s="171"/>
      <c r="E149" s="165"/>
      <c r="F149" s="166"/>
      <c r="G149" s="167"/>
      <c r="H149" s="172"/>
      <c r="I149" s="166"/>
    </row>
    <row r="150" spans="1:9">
      <c r="A150" s="68"/>
      <c r="B150" s="170"/>
      <c r="C150" s="23"/>
      <c r="D150" s="171"/>
      <c r="E150" s="165"/>
      <c r="F150" s="166"/>
      <c r="G150" s="167"/>
      <c r="H150" s="172"/>
      <c r="I150" s="166"/>
    </row>
    <row r="151" spans="1:9">
      <c r="A151" s="68"/>
      <c r="B151" s="170"/>
      <c r="C151" s="23"/>
      <c r="D151" s="171"/>
      <c r="E151" s="165"/>
      <c r="F151" s="166"/>
      <c r="G151" s="167"/>
      <c r="H151" s="172"/>
      <c r="I151" s="166"/>
    </row>
    <row r="152" spans="1:9">
      <c r="A152" s="68"/>
      <c r="B152" s="170"/>
      <c r="C152" s="23"/>
      <c r="D152" s="171"/>
      <c r="E152" s="165"/>
      <c r="F152" s="166"/>
      <c r="G152" s="167"/>
      <c r="H152" s="172"/>
      <c r="I152" s="166"/>
    </row>
    <row r="153" spans="1:9">
      <c r="A153" s="68"/>
      <c r="B153" s="170"/>
      <c r="C153" s="23"/>
      <c r="D153" s="171"/>
      <c r="E153" s="165"/>
      <c r="F153" s="166"/>
      <c r="G153" s="167"/>
      <c r="H153" s="172"/>
      <c r="I153" s="166"/>
    </row>
    <row r="154" spans="1:9">
      <c r="A154" s="68"/>
      <c r="B154" s="170"/>
      <c r="C154" s="23"/>
      <c r="D154" s="171"/>
      <c r="E154" s="165"/>
      <c r="F154" s="166"/>
      <c r="G154" s="167"/>
      <c r="H154" s="172"/>
      <c r="I154" s="166"/>
    </row>
    <row r="155" spans="1:9">
      <c r="A155" s="68"/>
      <c r="B155" s="170"/>
      <c r="C155" s="23"/>
      <c r="D155" s="171"/>
      <c r="E155" s="165"/>
      <c r="F155" s="166"/>
      <c r="G155" s="167"/>
      <c r="H155" s="172"/>
      <c r="I155" s="166"/>
    </row>
    <row r="156" spans="1:9">
      <c r="A156" s="68"/>
      <c r="B156" s="170"/>
      <c r="C156" s="23"/>
      <c r="D156" s="171"/>
      <c r="E156" s="165"/>
      <c r="F156" s="166"/>
      <c r="G156" s="167"/>
      <c r="H156" s="172"/>
      <c r="I156" s="166"/>
    </row>
    <row r="157" spans="1:9">
      <c r="A157" s="68"/>
      <c r="B157" s="170"/>
      <c r="C157" s="23"/>
      <c r="D157" s="171"/>
      <c r="E157" s="165"/>
      <c r="F157" s="166"/>
      <c r="G157" s="167"/>
      <c r="H157" s="172"/>
      <c r="I157" s="166"/>
    </row>
    <row r="158" spans="1:9">
      <c r="A158" s="68"/>
      <c r="B158" s="170"/>
      <c r="C158" s="23"/>
      <c r="D158" s="171"/>
      <c r="E158" s="165"/>
      <c r="F158" s="166"/>
      <c r="G158" s="167"/>
      <c r="H158" s="172"/>
      <c r="I158" s="166"/>
    </row>
    <row r="159" spans="1:9">
      <c r="A159" s="68"/>
      <c r="B159" s="170"/>
      <c r="C159" s="23"/>
      <c r="D159" s="171"/>
      <c r="E159" s="165"/>
      <c r="F159" s="166"/>
      <c r="G159" s="167"/>
      <c r="H159" s="172"/>
      <c r="I159" s="166"/>
    </row>
    <row r="160" spans="1:9">
      <c r="A160" s="68"/>
      <c r="B160" s="170"/>
      <c r="C160" s="23"/>
      <c r="D160" s="171"/>
      <c r="E160" s="165"/>
      <c r="F160" s="166"/>
      <c r="G160" s="167"/>
      <c r="H160" s="172"/>
      <c r="I160" s="166"/>
    </row>
    <row r="161" spans="1:9">
      <c r="A161" s="68"/>
      <c r="B161" s="170"/>
      <c r="C161" s="23"/>
      <c r="D161" s="171"/>
      <c r="E161" s="165"/>
      <c r="F161" s="166"/>
      <c r="G161" s="167"/>
      <c r="H161" s="172"/>
      <c r="I161" s="166"/>
    </row>
    <row r="162" spans="1:9">
      <c r="A162" s="68"/>
      <c r="B162" s="170"/>
      <c r="C162" s="23"/>
      <c r="D162" s="171"/>
      <c r="E162" s="165"/>
      <c r="F162" s="166"/>
      <c r="G162" s="167"/>
      <c r="H162" s="172"/>
      <c r="I162" s="166"/>
    </row>
    <row r="163" spans="1:9">
      <c r="A163" s="68"/>
      <c r="B163" s="170"/>
      <c r="C163" s="23"/>
      <c r="D163" s="171"/>
      <c r="E163" s="165"/>
      <c r="F163" s="166"/>
      <c r="G163" s="167"/>
      <c r="H163" s="172"/>
      <c r="I163" s="166"/>
    </row>
    <row r="164" spans="1:9">
      <c r="A164" s="68"/>
      <c r="B164" s="170"/>
      <c r="C164" s="23"/>
      <c r="D164" s="171"/>
      <c r="E164" s="165"/>
      <c r="F164" s="166"/>
      <c r="G164" s="167"/>
      <c r="H164" s="172"/>
      <c r="I164" s="166"/>
    </row>
    <row r="165" spans="1:9">
      <c r="A165" s="68"/>
      <c r="B165" s="170"/>
      <c r="C165" s="23"/>
      <c r="D165" s="171"/>
      <c r="E165" s="165"/>
      <c r="F165" s="166"/>
      <c r="G165" s="167"/>
      <c r="H165" s="172"/>
      <c r="I165" s="166"/>
    </row>
    <row r="166" spans="1:9">
      <c r="A166" s="68"/>
      <c r="B166" s="170"/>
      <c r="C166" s="23"/>
      <c r="D166" s="171"/>
      <c r="E166" s="165"/>
      <c r="F166" s="166"/>
      <c r="G166" s="167"/>
      <c r="H166" s="172"/>
      <c r="I166" s="166"/>
    </row>
    <row r="167" spans="1:9">
      <c r="A167" s="68"/>
      <c r="B167" s="170"/>
      <c r="C167" s="23"/>
      <c r="D167" s="171"/>
      <c r="E167" s="165"/>
      <c r="F167" s="166"/>
      <c r="G167" s="167"/>
      <c r="H167" s="172"/>
      <c r="I167" s="166"/>
    </row>
    <row r="168" spans="1:9">
      <c r="A168" s="68"/>
      <c r="B168" s="170"/>
      <c r="C168" s="23"/>
      <c r="D168" s="171"/>
      <c r="E168" s="165"/>
      <c r="F168" s="166"/>
      <c r="G168" s="167"/>
      <c r="H168" s="172"/>
      <c r="I168" s="166"/>
    </row>
    <row r="169" spans="1:9">
      <c r="A169" s="68"/>
      <c r="B169" s="170"/>
      <c r="C169" s="23"/>
      <c r="D169" s="171"/>
      <c r="E169" s="165"/>
      <c r="F169" s="166"/>
      <c r="G169" s="167"/>
      <c r="H169" s="172"/>
      <c r="I169" s="166"/>
    </row>
    <row r="170" spans="1:9">
      <c r="A170" s="68"/>
      <c r="B170" s="170"/>
      <c r="C170" s="23"/>
      <c r="D170" s="171"/>
      <c r="E170" s="165"/>
      <c r="F170" s="166"/>
      <c r="G170" s="167"/>
      <c r="H170" s="172"/>
      <c r="I170" s="166"/>
    </row>
    <row r="171" spans="1:9">
      <c r="A171" s="68"/>
      <c r="B171" s="170"/>
      <c r="C171" s="23"/>
      <c r="D171" s="171"/>
      <c r="E171" s="165"/>
      <c r="F171" s="166"/>
      <c r="G171" s="167"/>
      <c r="H171" s="172"/>
      <c r="I171" s="166"/>
    </row>
    <row r="172" spans="1:9">
      <c r="A172" s="68"/>
      <c r="B172" s="170"/>
      <c r="C172" s="23"/>
      <c r="D172" s="171"/>
      <c r="E172" s="165"/>
      <c r="F172" s="166"/>
      <c r="G172" s="167"/>
      <c r="H172" s="172"/>
      <c r="I172" s="166"/>
    </row>
    <row r="173" spans="1:9">
      <c r="A173" s="68"/>
      <c r="B173" s="170"/>
      <c r="C173" s="23"/>
      <c r="D173" s="171"/>
      <c r="E173" s="165"/>
      <c r="F173" s="166"/>
      <c r="G173" s="167"/>
      <c r="H173" s="172"/>
      <c r="I173" s="166"/>
    </row>
    <row r="174" spans="1:9">
      <c r="A174" s="68"/>
      <c r="B174" s="170"/>
      <c r="C174" s="23"/>
      <c r="D174" s="171"/>
      <c r="E174" s="165"/>
      <c r="F174" s="166"/>
      <c r="G174" s="167"/>
      <c r="H174" s="172"/>
      <c r="I174" s="166"/>
    </row>
    <row r="175" spans="1:9">
      <c r="A175" s="68"/>
      <c r="B175" s="170"/>
      <c r="C175" s="23"/>
      <c r="D175" s="171"/>
      <c r="E175" s="165"/>
      <c r="F175" s="166"/>
      <c r="G175" s="167"/>
      <c r="H175" s="172"/>
      <c r="I175" s="166"/>
    </row>
    <row r="176" spans="1:9">
      <c r="A176" s="68"/>
      <c r="B176" s="170"/>
      <c r="C176" s="23"/>
      <c r="D176" s="171"/>
      <c r="E176" s="165"/>
      <c r="F176" s="166"/>
      <c r="G176" s="167"/>
      <c r="H176" s="172"/>
      <c r="I176" s="166"/>
    </row>
    <row r="177" spans="1:9">
      <c r="A177" s="68"/>
      <c r="B177" s="170"/>
      <c r="C177" s="23"/>
      <c r="D177" s="171"/>
      <c r="E177" s="165"/>
      <c r="F177" s="166"/>
      <c r="G177" s="167"/>
      <c r="H177" s="172"/>
      <c r="I177" s="166"/>
    </row>
    <row r="178" spans="1:9">
      <c r="A178" s="68"/>
      <c r="B178" s="170"/>
      <c r="C178" s="23"/>
      <c r="D178" s="171"/>
      <c r="E178" s="165"/>
      <c r="F178" s="166"/>
      <c r="G178" s="167"/>
      <c r="H178" s="172"/>
      <c r="I178" s="166"/>
    </row>
    <row r="179" spans="1:9">
      <c r="A179" s="68"/>
      <c r="B179" s="170"/>
      <c r="C179" s="23"/>
      <c r="D179" s="171"/>
      <c r="E179" s="165"/>
      <c r="F179" s="166"/>
      <c r="G179" s="167"/>
      <c r="H179" s="172"/>
      <c r="I179" s="166"/>
    </row>
    <row r="180" spans="1:9">
      <c r="A180" s="68"/>
      <c r="B180" s="170"/>
      <c r="C180" s="23"/>
      <c r="D180" s="171"/>
      <c r="E180" s="165"/>
      <c r="F180" s="166"/>
      <c r="G180" s="167"/>
      <c r="H180" s="172"/>
      <c r="I180" s="166"/>
    </row>
    <row r="181" spans="1:9">
      <c r="A181" s="68"/>
      <c r="B181" s="170"/>
      <c r="C181" s="23"/>
      <c r="D181" s="171"/>
      <c r="E181" s="165"/>
      <c r="F181" s="166"/>
      <c r="G181" s="167"/>
      <c r="H181" s="172"/>
      <c r="I181" s="166"/>
    </row>
    <row r="182" spans="1:9">
      <c r="A182" s="68"/>
      <c r="B182" s="170"/>
      <c r="C182" s="23"/>
      <c r="D182" s="171"/>
      <c r="E182" s="165"/>
      <c r="F182" s="166"/>
      <c r="G182" s="167"/>
      <c r="H182" s="172"/>
      <c r="I182" s="166"/>
    </row>
    <row r="183" spans="1:9">
      <c r="A183" s="68"/>
      <c r="B183" s="170"/>
      <c r="C183" s="23"/>
      <c r="D183" s="171"/>
      <c r="E183" s="165"/>
      <c r="F183" s="166"/>
      <c r="G183" s="167"/>
      <c r="H183" s="172"/>
      <c r="I183" s="166"/>
    </row>
    <row r="184" spans="1:9">
      <c r="A184" s="68"/>
      <c r="B184" s="170"/>
      <c r="C184" s="23"/>
      <c r="D184" s="171"/>
      <c r="E184" s="165"/>
      <c r="F184" s="166"/>
      <c r="G184" s="167"/>
      <c r="H184" s="172"/>
      <c r="I184" s="166"/>
    </row>
    <row r="185" spans="1:9">
      <c r="A185" s="68"/>
      <c r="B185" s="170"/>
      <c r="C185" s="23"/>
      <c r="D185" s="171"/>
      <c r="E185" s="165"/>
      <c r="F185" s="166"/>
      <c r="G185" s="167"/>
      <c r="H185" s="172"/>
      <c r="I185" s="166"/>
    </row>
    <row r="186" spans="1:9">
      <c r="A186" s="68"/>
      <c r="B186" s="170"/>
      <c r="C186" s="23"/>
      <c r="D186" s="171"/>
      <c r="E186" s="165"/>
      <c r="F186" s="166"/>
      <c r="G186" s="167"/>
      <c r="H186" s="172"/>
      <c r="I186" s="166"/>
    </row>
    <row r="187" spans="1:9">
      <c r="A187" s="68"/>
      <c r="B187" s="170"/>
      <c r="C187" s="23"/>
      <c r="D187" s="171"/>
      <c r="E187" s="165"/>
      <c r="F187" s="166"/>
      <c r="G187" s="167"/>
      <c r="H187" s="172"/>
      <c r="I187" s="166"/>
    </row>
    <row r="188" spans="1:9">
      <c r="A188" s="68"/>
      <c r="B188" s="170"/>
      <c r="C188" s="23"/>
      <c r="D188" s="171"/>
      <c r="E188" s="165"/>
      <c r="F188" s="166"/>
      <c r="G188" s="167"/>
      <c r="H188" s="172"/>
      <c r="I188" s="166"/>
    </row>
    <row r="189" spans="1:9">
      <c r="A189" s="68"/>
      <c r="B189" s="170"/>
      <c r="C189" s="23"/>
      <c r="D189" s="171"/>
      <c r="E189" s="165"/>
      <c r="F189" s="166"/>
      <c r="G189" s="167"/>
      <c r="H189" s="172"/>
      <c r="I189" s="166"/>
    </row>
    <row r="190" spans="1:9">
      <c r="A190" s="68"/>
      <c r="B190" s="170"/>
      <c r="C190" s="23"/>
      <c r="D190" s="171"/>
      <c r="E190" s="165"/>
      <c r="F190" s="166"/>
      <c r="G190" s="167"/>
      <c r="H190" s="172"/>
      <c r="I190" s="166"/>
    </row>
    <row r="191" spans="1:9">
      <c r="A191" s="68"/>
      <c r="B191" s="170"/>
      <c r="C191" s="23"/>
      <c r="D191" s="171"/>
      <c r="E191" s="165"/>
      <c r="F191" s="166"/>
      <c r="G191" s="167"/>
      <c r="H191" s="172"/>
      <c r="I191" s="166"/>
    </row>
    <row r="192" spans="1:9">
      <c r="A192" s="68"/>
      <c r="B192" s="170"/>
      <c r="C192" s="23"/>
      <c r="D192" s="171"/>
      <c r="E192" s="165"/>
      <c r="F192" s="166"/>
      <c r="G192" s="167"/>
      <c r="H192" s="172"/>
      <c r="I192" s="166"/>
    </row>
    <row r="193" spans="1:9">
      <c r="A193" s="68"/>
      <c r="B193" s="170"/>
      <c r="C193" s="23"/>
      <c r="D193" s="171"/>
      <c r="E193" s="165"/>
      <c r="F193" s="166"/>
      <c r="G193" s="167"/>
      <c r="H193" s="172"/>
      <c r="I193" s="166"/>
    </row>
    <row r="194" spans="1:9">
      <c r="A194" s="68"/>
      <c r="B194" s="170"/>
      <c r="C194" s="23"/>
      <c r="D194" s="171"/>
      <c r="E194" s="165"/>
      <c r="F194" s="166"/>
      <c r="G194" s="167"/>
      <c r="H194" s="172"/>
      <c r="I194" s="166"/>
    </row>
    <row r="195" spans="1:9">
      <c r="A195" s="68"/>
      <c r="B195" s="170"/>
      <c r="C195" s="23"/>
      <c r="D195" s="171"/>
      <c r="E195" s="165"/>
      <c r="F195" s="166"/>
      <c r="G195" s="167"/>
      <c r="H195" s="172"/>
      <c r="I195" s="166"/>
    </row>
    <row r="196" spans="1:9">
      <c r="A196" s="68"/>
      <c r="B196" s="170"/>
      <c r="C196" s="23"/>
      <c r="D196" s="171"/>
      <c r="E196" s="165"/>
      <c r="F196" s="166"/>
      <c r="G196" s="167"/>
      <c r="H196" s="172"/>
      <c r="I196" s="166"/>
    </row>
    <row r="197" spans="1:9">
      <c r="A197" s="68"/>
      <c r="B197" s="170"/>
      <c r="C197" s="23"/>
      <c r="D197" s="171"/>
      <c r="E197" s="165"/>
      <c r="F197" s="166"/>
      <c r="G197" s="167"/>
      <c r="H197" s="172"/>
      <c r="I197" s="166"/>
    </row>
    <row r="198" spans="1:9">
      <c r="A198" s="68"/>
      <c r="B198" s="170"/>
      <c r="C198" s="23"/>
      <c r="D198" s="171"/>
      <c r="E198" s="165"/>
      <c r="F198" s="166"/>
      <c r="G198" s="167"/>
      <c r="H198" s="172"/>
      <c r="I198" s="166"/>
    </row>
    <row r="199" spans="1:9">
      <c r="A199" s="68"/>
      <c r="B199" s="170"/>
      <c r="C199" s="23"/>
      <c r="D199" s="171"/>
      <c r="E199" s="165"/>
      <c r="F199" s="166"/>
      <c r="G199" s="167"/>
      <c r="H199" s="172"/>
      <c r="I199" s="166"/>
    </row>
    <row r="200" spans="1:9">
      <c r="A200" s="68"/>
      <c r="B200" s="170"/>
      <c r="C200" s="23"/>
      <c r="D200" s="171"/>
      <c r="E200" s="165"/>
      <c r="F200" s="166"/>
      <c r="G200" s="167"/>
      <c r="H200" s="172"/>
      <c r="I200" s="166"/>
    </row>
    <row r="201" spans="1:9">
      <c r="A201" s="68"/>
      <c r="B201" s="170"/>
      <c r="C201" s="23"/>
      <c r="D201" s="171"/>
      <c r="E201" s="165"/>
      <c r="F201" s="166"/>
      <c r="G201" s="167"/>
      <c r="H201" s="172"/>
      <c r="I201" s="166"/>
    </row>
    <row r="202" spans="1:9">
      <c r="A202" s="68"/>
      <c r="B202" s="170"/>
      <c r="C202" s="23"/>
      <c r="D202" s="171"/>
      <c r="E202" s="165"/>
      <c r="F202" s="166"/>
      <c r="G202" s="167"/>
      <c r="H202" s="172"/>
      <c r="I202" s="166"/>
    </row>
    <row r="203" spans="1:9">
      <c r="A203" s="68"/>
      <c r="B203" s="170"/>
      <c r="C203" s="23"/>
      <c r="D203" s="171"/>
      <c r="E203" s="165"/>
      <c r="F203" s="166"/>
      <c r="G203" s="167"/>
      <c r="H203" s="172"/>
      <c r="I203" s="166"/>
    </row>
    <row r="204" spans="1:9">
      <c r="A204" s="68"/>
      <c r="B204" s="170"/>
      <c r="C204" s="23"/>
      <c r="D204" s="171"/>
      <c r="E204" s="165"/>
      <c r="F204" s="166"/>
      <c r="G204" s="167"/>
      <c r="H204" s="172"/>
      <c r="I204" s="166"/>
    </row>
    <row r="205" spans="1:9">
      <c r="A205" s="68"/>
      <c r="B205" s="170"/>
      <c r="C205" s="23"/>
      <c r="D205" s="171"/>
      <c r="E205" s="165"/>
      <c r="F205" s="166"/>
      <c r="G205" s="167"/>
      <c r="H205" s="172"/>
      <c r="I205" s="166"/>
    </row>
    <row r="206" spans="1:9">
      <c r="A206" s="68"/>
      <c r="B206" s="170"/>
      <c r="C206" s="23"/>
      <c r="D206" s="171"/>
      <c r="E206" s="165"/>
      <c r="F206" s="166"/>
      <c r="G206" s="167"/>
      <c r="H206" s="172"/>
      <c r="I206" s="166"/>
    </row>
    <row r="207" spans="1:9">
      <c r="A207" s="68"/>
      <c r="B207" s="170"/>
      <c r="C207" s="23"/>
      <c r="D207" s="171"/>
      <c r="E207" s="165"/>
      <c r="F207" s="166"/>
      <c r="G207" s="167"/>
      <c r="H207" s="172"/>
      <c r="I207" s="166"/>
    </row>
    <row r="208" spans="1:9">
      <c r="A208" s="68"/>
      <c r="B208" s="170"/>
      <c r="C208" s="23"/>
      <c r="D208" s="171"/>
      <c r="E208" s="165"/>
      <c r="F208" s="166"/>
      <c r="G208" s="167"/>
      <c r="H208" s="172"/>
      <c r="I208" s="166"/>
    </row>
    <row r="209" spans="1:9">
      <c r="A209" s="68"/>
      <c r="B209" s="170"/>
      <c r="C209" s="23"/>
      <c r="D209" s="171"/>
      <c r="E209" s="165"/>
      <c r="F209" s="166"/>
      <c r="G209" s="167"/>
      <c r="H209" s="172"/>
      <c r="I209" s="166"/>
    </row>
    <row r="210" spans="1:9">
      <c r="A210" s="68"/>
      <c r="B210" s="170"/>
      <c r="C210" s="23"/>
      <c r="D210" s="171"/>
      <c r="E210" s="165"/>
      <c r="F210" s="166"/>
      <c r="G210" s="167"/>
      <c r="H210" s="172"/>
      <c r="I210" s="166"/>
    </row>
    <row r="211" spans="1:9">
      <c r="A211" s="68"/>
      <c r="B211" s="170"/>
      <c r="C211" s="23"/>
      <c r="D211" s="171"/>
      <c r="E211" s="165"/>
      <c r="F211" s="166"/>
      <c r="G211" s="167"/>
      <c r="H211" s="172"/>
      <c r="I211" s="166"/>
    </row>
    <row r="212" spans="1:9">
      <c r="A212" s="68"/>
      <c r="B212" s="170"/>
      <c r="C212" s="23"/>
      <c r="D212" s="171"/>
      <c r="E212" s="165"/>
      <c r="F212" s="166"/>
      <c r="G212" s="167"/>
      <c r="H212" s="172"/>
      <c r="I212" s="166"/>
    </row>
    <row r="213" spans="1:9">
      <c r="A213" s="68"/>
      <c r="B213" s="170"/>
      <c r="C213" s="23"/>
      <c r="D213" s="171"/>
      <c r="E213" s="165"/>
      <c r="F213" s="166"/>
      <c r="G213" s="167"/>
      <c r="H213" s="172"/>
      <c r="I213" s="166"/>
    </row>
    <row r="214" spans="1:9">
      <c r="A214" s="68"/>
      <c r="B214" s="170"/>
      <c r="C214" s="23"/>
      <c r="D214" s="171"/>
      <c r="E214" s="165"/>
      <c r="F214" s="166"/>
      <c r="G214" s="167"/>
      <c r="H214" s="172"/>
      <c r="I214" s="166"/>
    </row>
    <row r="215" spans="1:9">
      <c r="A215" s="68"/>
      <c r="B215" s="170"/>
      <c r="C215" s="23"/>
      <c r="D215" s="171"/>
      <c r="E215" s="165"/>
      <c r="F215" s="166"/>
      <c r="G215" s="167"/>
      <c r="H215" s="172"/>
      <c r="I215" s="166"/>
    </row>
    <row r="216" spans="1:9">
      <c r="A216" s="68"/>
      <c r="B216" s="170"/>
      <c r="C216" s="23"/>
      <c r="D216" s="171"/>
      <c r="E216" s="165"/>
      <c r="F216" s="166"/>
      <c r="G216" s="167"/>
      <c r="H216" s="172"/>
      <c r="I216" s="166"/>
    </row>
    <row r="217" spans="1:9">
      <c r="A217" s="68"/>
      <c r="B217" s="170"/>
      <c r="C217" s="23"/>
      <c r="D217" s="171"/>
      <c r="E217" s="165"/>
      <c r="F217" s="166"/>
      <c r="G217" s="167"/>
      <c r="H217" s="172"/>
      <c r="I217" s="166"/>
    </row>
    <row r="218" spans="1:9">
      <c r="A218" s="68"/>
      <c r="B218" s="170"/>
      <c r="C218" s="23"/>
      <c r="D218" s="171"/>
      <c r="E218" s="165"/>
      <c r="F218" s="166"/>
      <c r="G218" s="167"/>
      <c r="H218" s="172"/>
      <c r="I218" s="166"/>
    </row>
    <row r="219" spans="1:9">
      <c r="A219" s="68"/>
      <c r="B219" s="170"/>
      <c r="C219" s="23"/>
      <c r="D219" s="171"/>
      <c r="E219" s="165"/>
      <c r="F219" s="166"/>
      <c r="G219" s="167"/>
      <c r="H219" s="172"/>
      <c r="I219" s="166"/>
    </row>
    <row r="220" spans="1:9">
      <c r="A220" s="68"/>
      <c r="B220" s="170"/>
      <c r="C220" s="23"/>
      <c r="D220" s="171"/>
      <c r="E220" s="165"/>
      <c r="F220" s="166"/>
      <c r="G220" s="167"/>
      <c r="H220" s="172"/>
      <c r="I220" s="166"/>
    </row>
    <row r="221" spans="1:9">
      <c r="A221" s="68"/>
      <c r="B221" s="170"/>
      <c r="C221" s="23"/>
      <c r="D221" s="171"/>
      <c r="E221" s="165"/>
      <c r="F221" s="166"/>
      <c r="G221" s="167"/>
      <c r="H221" s="172"/>
      <c r="I221" s="166"/>
    </row>
    <row r="222" spans="1:9">
      <c r="A222" s="68"/>
      <c r="B222" s="170"/>
      <c r="C222" s="23"/>
      <c r="D222" s="171"/>
      <c r="E222" s="165"/>
      <c r="F222" s="166"/>
      <c r="G222" s="167"/>
      <c r="H222" s="172"/>
      <c r="I222" s="166"/>
    </row>
    <row r="223" spans="1:9">
      <c r="A223" s="68"/>
      <c r="B223" s="170"/>
      <c r="C223" s="23"/>
      <c r="D223" s="171"/>
      <c r="E223" s="165"/>
      <c r="F223" s="166"/>
      <c r="G223" s="167"/>
      <c r="H223" s="172"/>
      <c r="I223" s="166"/>
    </row>
    <row r="224" spans="1:9">
      <c r="A224" s="68"/>
      <c r="B224" s="170"/>
      <c r="C224" s="23"/>
      <c r="D224" s="171"/>
      <c r="E224" s="165"/>
      <c r="F224" s="166"/>
      <c r="G224" s="167"/>
      <c r="H224" s="172"/>
      <c r="I224" s="166"/>
    </row>
    <row r="225" spans="1:9">
      <c r="A225" s="68"/>
      <c r="B225" s="170"/>
      <c r="C225" s="23"/>
      <c r="D225" s="171"/>
      <c r="E225" s="165"/>
      <c r="F225" s="166"/>
      <c r="G225" s="167"/>
      <c r="H225" s="172"/>
      <c r="I225" s="166"/>
    </row>
    <row r="226" spans="1:9">
      <c r="A226" s="68"/>
      <c r="B226" s="170"/>
      <c r="C226" s="23"/>
      <c r="D226" s="171"/>
      <c r="E226" s="165"/>
      <c r="F226" s="166"/>
      <c r="G226" s="167"/>
      <c r="H226" s="172"/>
      <c r="I226" s="166"/>
    </row>
    <row r="227" spans="1:9">
      <c r="A227" s="68"/>
      <c r="B227" s="170"/>
      <c r="C227" s="23"/>
      <c r="D227" s="171"/>
      <c r="E227" s="165"/>
      <c r="F227" s="166"/>
      <c r="G227" s="167"/>
      <c r="H227" s="172"/>
      <c r="I227" s="166"/>
    </row>
    <row r="228" spans="1:9">
      <c r="A228" s="68"/>
      <c r="B228" s="170"/>
      <c r="C228" s="23"/>
      <c r="D228" s="171"/>
      <c r="E228" s="165"/>
      <c r="F228" s="166"/>
      <c r="G228" s="167"/>
      <c r="H228" s="172"/>
      <c r="I228" s="166"/>
    </row>
    <row r="229" spans="1:9">
      <c r="A229" s="68"/>
      <c r="B229" s="170"/>
      <c r="C229" s="23"/>
      <c r="D229" s="171"/>
      <c r="E229" s="165"/>
      <c r="F229" s="166"/>
      <c r="G229" s="167"/>
      <c r="H229" s="172"/>
      <c r="I229" s="166"/>
    </row>
    <row r="230" spans="1:9">
      <c r="A230" s="68"/>
      <c r="B230" s="170"/>
      <c r="C230" s="23"/>
      <c r="D230" s="171"/>
      <c r="E230" s="165"/>
      <c r="F230" s="166"/>
      <c r="G230" s="167"/>
      <c r="H230" s="172"/>
      <c r="I230" s="166"/>
    </row>
    <row r="231" spans="1:9">
      <c r="A231" s="68"/>
      <c r="B231" s="170"/>
      <c r="C231" s="23"/>
      <c r="D231" s="171"/>
      <c r="E231" s="165"/>
      <c r="F231" s="166"/>
      <c r="G231" s="167"/>
      <c r="H231" s="172"/>
      <c r="I231" s="166"/>
    </row>
    <row r="232" spans="1:9">
      <c r="A232" s="68"/>
      <c r="B232" s="170"/>
      <c r="C232" s="23"/>
      <c r="D232" s="171"/>
      <c r="E232" s="165"/>
      <c r="F232" s="166"/>
      <c r="G232" s="167"/>
      <c r="H232" s="172"/>
      <c r="I232" s="166"/>
    </row>
    <row r="233" spans="1:9">
      <c r="A233" s="68"/>
      <c r="B233" s="170"/>
      <c r="C233" s="23"/>
      <c r="D233" s="171"/>
      <c r="E233" s="165"/>
      <c r="F233" s="166"/>
      <c r="G233" s="167"/>
      <c r="H233" s="172"/>
      <c r="I233" s="166"/>
    </row>
    <row r="234" spans="1:9">
      <c r="A234" s="68"/>
      <c r="B234" s="170"/>
      <c r="C234" s="23"/>
      <c r="D234" s="171"/>
      <c r="E234" s="165"/>
      <c r="F234" s="166"/>
      <c r="G234" s="167"/>
      <c r="H234" s="172"/>
      <c r="I234" s="166"/>
    </row>
    <row r="235" spans="1:9">
      <c r="A235" s="68"/>
      <c r="B235" s="170"/>
      <c r="C235" s="23"/>
      <c r="D235" s="171"/>
      <c r="E235" s="165"/>
      <c r="F235" s="166"/>
      <c r="G235" s="167"/>
      <c r="H235" s="172"/>
      <c r="I235" s="166"/>
    </row>
    <row r="236" spans="1:9">
      <c r="A236" s="68"/>
      <c r="B236" s="170"/>
      <c r="C236" s="23"/>
      <c r="D236" s="171"/>
      <c r="E236" s="165"/>
      <c r="F236" s="166"/>
      <c r="G236" s="167"/>
      <c r="H236" s="172"/>
      <c r="I236" s="166"/>
    </row>
    <row r="237" spans="1:9">
      <c r="A237" s="68"/>
      <c r="B237" s="170"/>
      <c r="C237" s="23"/>
      <c r="D237" s="171"/>
      <c r="E237" s="165"/>
      <c r="F237" s="166"/>
      <c r="G237" s="167"/>
      <c r="H237" s="172"/>
      <c r="I237" s="166"/>
    </row>
    <row r="238" spans="1:9">
      <c r="A238" s="68"/>
      <c r="B238" s="170"/>
      <c r="C238" s="23"/>
      <c r="D238" s="171"/>
      <c r="E238" s="165"/>
      <c r="F238" s="166"/>
      <c r="G238" s="167"/>
      <c r="H238" s="172"/>
      <c r="I238" s="166"/>
    </row>
    <row r="239" spans="1:9">
      <c r="A239" s="68"/>
      <c r="B239" s="170"/>
      <c r="C239" s="23"/>
      <c r="D239" s="171"/>
      <c r="E239" s="165"/>
      <c r="F239" s="166"/>
      <c r="G239" s="167"/>
      <c r="H239" s="172"/>
      <c r="I239" s="166"/>
    </row>
    <row r="240" spans="1:9">
      <c r="A240" s="68"/>
      <c r="B240" s="170"/>
      <c r="C240" s="23"/>
      <c r="D240" s="171"/>
      <c r="E240" s="165"/>
      <c r="F240" s="166"/>
      <c r="G240" s="167"/>
      <c r="H240" s="172"/>
      <c r="I240" s="166"/>
    </row>
    <row r="241" spans="1:9">
      <c r="A241" s="68"/>
      <c r="B241" s="170"/>
      <c r="C241" s="23"/>
      <c r="D241" s="171"/>
      <c r="E241" s="165"/>
      <c r="F241" s="166"/>
      <c r="G241" s="167"/>
      <c r="H241" s="172"/>
      <c r="I241" s="166"/>
    </row>
    <row r="242" spans="1:9">
      <c r="A242" s="68"/>
      <c r="B242" s="170"/>
      <c r="C242" s="23"/>
      <c r="D242" s="171"/>
      <c r="E242" s="165"/>
      <c r="F242" s="166"/>
      <c r="G242" s="167"/>
      <c r="H242" s="172"/>
      <c r="I242" s="166"/>
    </row>
    <row r="243" spans="1:9">
      <c r="A243" s="68"/>
      <c r="B243" s="170"/>
      <c r="C243" s="23"/>
      <c r="D243" s="171"/>
      <c r="E243" s="165"/>
      <c r="F243" s="166"/>
      <c r="G243" s="167"/>
      <c r="H243" s="172"/>
      <c r="I243" s="166"/>
    </row>
    <row r="244" spans="1:9">
      <c r="A244" s="68"/>
      <c r="B244" s="170"/>
      <c r="C244" s="23"/>
      <c r="D244" s="171"/>
      <c r="E244" s="165"/>
      <c r="F244" s="166"/>
      <c r="G244" s="167"/>
      <c r="H244" s="172"/>
      <c r="I244" s="166"/>
    </row>
    <row r="245" spans="1:9">
      <c r="A245" s="68"/>
      <c r="B245" s="170"/>
      <c r="C245" s="23"/>
      <c r="D245" s="171"/>
      <c r="E245" s="165"/>
      <c r="F245" s="166"/>
      <c r="G245" s="167"/>
      <c r="H245" s="172"/>
      <c r="I245" s="166"/>
    </row>
    <row r="246" spans="1:9">
      <c r="A246" s="68"/>
      <c r="B246" s="170"/>
      <c r="C246" s="23"/>
      <c r="D246" s="171"/>
      <c r="E246" s="165"/>
      <c r="F246" s="166"/>
      <c r="G246" s="167"/>
      <c r="H246" s="172"/>
      <c r="I246" s="166"/>
    </row>
    <row r="247" spans="1:9">
      <c r="A247" s="68"/>
      <c r="B247" s="170"/>
      <c r="C247" s="23"/>
      <c r="D247" s="171"/>
      <c r="E247" s="165"/>
      <c r="F247" s="166"/>
      <c r="G247" s="167"/>
      <c r="H247" s="172"/>
      <c r="I247" s="166"/>
    </row>
    <row r="248" spans="1:9">
      <c r="A248" s="68"/>
      <c r="B248" s="170"/>
      <c r="C248" s="23"/>
      <c r="D248" s="171"/>
      <c r="E248" s="165"/>
      <c r="F248" s="166"/>
      <c r="G248" s="167"/>
      <c r="H248" s="172"/>
      <c r="I248" s="166"/>
    </row>
    <row r="249" spans="1:9">
      <c r="A249" s="68"/>
      <c r="B249" s="170"/>
      <c r="C249" s="23"/>
      <c r="D249" s="171"/>
      <c r="E249" s="165"/>
      <c r="F249" s="166"/>
      <c r="G249" s="167"/>
      <c r="H249" s="172"/>
      <c r="I249" s="166"/>
    </row>
    <row r="250" spans="1:9">
      <c r="A250" s="68"/>
      <c r="B250" s="170"/>
      <c r="C250" s="23"/>
      <c r="D250" s="171"/>
      <c r="E250" s="165"/>
      <c r="F250" s="166"/>
      <c r="G250" s="167"/>
      <c r="H250" s="172"/>
      <c r="I250" s="166"/>
    </row>
    <row r="251" spans="1:9">
      <c r="A251" s="68"/>
      <c r="B251" s="170"/>
      <c r="C251" s="23"/>
      <c r="D251" s="171"/>
      <c r="E251" s="165"/>
      <c r="F251" s="166"/>
      <c r="G251" s="167"/>
      <c r="H251" s="172"/>
      <c r="I251" s="166"/>
    </row>
    <row r="252" spans="1:9">
      <c r="A252" s="68"/>
      <c r="B252" s="170"/>
      <c r="C252" s="23"/>
      <c r="D252" s="171"/>
      <c r="E252" s="165"/>
      <c r="F252" s="166"/>
      <c r="G252" s="167"/>
      <c r="H252" s="172"/>
      <c r="I252" s="166"/>
    </row>
    <row r="253" spans="1:9">
      <c r="A253" s="68"/>
      <c r="B253" s="170"/>
      <c r="C253" s="23"/>
      <c r="D253" s="171"/>
      <c r="E253" s="165"/>
      <c r="F253" s="166"/>
      <c r="G253" s="167"/>
      <c r="H253" s="172"/>
      <c r="I253" s="166"/>
    </row>
    <row r="254" spans="1:9">
      <c r="A254" s="68"/>
      <c r="B254" s="170"/>
      <c r="C254" s="23"/>
      <c r="D254" s="171"/>
      <c r="E254" s="165"/>
      <c r="F254" s="166"/>
      <c r="G254" s="167"/>
      <c r="H254" s="172"/>
      <c r="I254" s="166"/>
    </row>
    <row r="255" spans="1:9">
      <c r="A255" s="68"/>
      <c r="B255" s="170"/>
      <c r="C255" s="23"/>
      <c r="D255" s="171"/>
      <c r="E255" s="165"/>
      <c r="F255" s="166"/>
      <c r="G255" s="167"/>
      <c r="H255" s="172"/>
      <c r="I255" s="166"/>
    </row>
    <row r="256" spans="1:9">
      <c r="A256" s="68"/>
      <c r="B256" s="170"/>
      <c r="C256" s="23"/>
      <c r="D256" s="171"/>
      <c r="E256" s="165"/>
      <c r="F256" s="166"/>
      <c r="G256" s="167"/>
      <c r="H256" s="172"/>
      <c r="I256" s="166"/>
    </row>
    <row r="257" spans="1:9">
      <c r="A257" s="68"/>
      <c r="B257" s="170"/>
      <c r="C257" s="23"/>
      <c r="D257" s="171"/>
      <c r="E257" s="165"/>
      <c r="F257" s="166"/>
      <c r="G257" s="167"/>
      <c r="H257" s="172"/>
      <c r="I257" s="166"/>
    </row>
    <row r="258" spans="1:9">
      <c r="A258" s="68"/>
      <c r="B258" s="170"/>
      <c r="C258" s="23"/>
      <c r="D258" s="171"/>
      <c r="E258" s="165"/>
      <c r="F258" s="166"/>
      <c r="G258" s="167"/>
      <c r="H258" s="172"/>
      <c r="I258" s="166"/>
    </row>
    <row r="259" spans="1:9">
      <c r="A259" s="68"/>
      <c r="B259" s="170"/>
      <c r="C259" s="23"/>
      <c r="D259" s="171"/>
      <c r="E259" s="165"/>
      <c r="F259" s="166"/>
      <c r="G259" s="167"/>
      <c r="H259" s="172"/>
      <c r="I259" s="166"/>
    </row>
    <row r="260" spans="1:9">
      <c r="A260" s="68"/>
      <c r="B260" s="170"/>
      <c r="C260" s="23"/>
      <c r="D260" s="171"/>
      <c r="E260" s="165"/>
      <c r="F260" s="166"/>
      <c r="G260" s="167"/>
      <c r="H260" s="172"/>
      <c r="I260" s="166"/>
    </row>
    <row r="261" spans="1:9">
      <c r="A261" s="68"/>
      <c r="B261" s="170"/>
      <c r="C261" s="23"/>
      <c r="D261" s="171"/>
      <c r="E261" s="165"/>
      <c r="F261" s="166"/>
      <c r="G261" s="167"/>
      <c r="H261" s="172"/>
      <c r="I261" s="166"/>
    </row>
    <row r="262" spans="1:9">
      <c r="A262" s="68"/>
      <c r="B262" s="170"/>
      <c r="C262" s="23"/>
      <c r="D262" s="171"/>
      <c r="E262" s="165"/>
      <c r="F262" s="166"/>
      <c r="G262" s="167"/>
      <c r="H262" s="172"/>
      <c r="I262" s="166"/>
    </row>
    <row r="263" spans="1:9">
      <c r="A263" s="68"/>
      <c r="B263" s="170"/>
      <c r="C263" s="23"/>
      <c r="D263" s="171"/>
      <c r="E263" s="165"/>
      <c r="F263" s="166"/>
      <c r="G263" s="167"/>
      <c r="H263" s="172"/>
      <c r="I263" s="166"/>
    </row>
    <row r="264" spans="1:9">
      <c r="A264" s="68"/>
      <c r="B264" s="170"/>
      <c r="C264" s="23"/>
      <c r="D264" s="171"/>
      <c r="E264" s="165"/>
      <c r="F264" s="166"/>
      <c r="G264" s="167"/>
      <c r="H264" s="172"/>
      <c r="I264" s="166"/>
    </row>
    <row r="265" spans="1:9">
      <c r="A265" s="68"/>
      <c r="B265" s="170"/>
      <c r="C265" s="23"/>
      <c r="D265" s="171"/>
      <c r="E265" s="165"/>
      <c r="F265" s="166"/>
      <c r="G265" s="167"/>
      <c r="H265" s="172"/>
      <c r="I265" s="166"/>
    </row>
    <row r="266" spans="1:9">
      <c r="A266" s="68"/>
      <c r="B266" s="170"/>
      <c r="C266" s="23"/>
      <c r="D266" s="171"/>
      <c r="E266" s="165"/>
      <c r="F266" s="166"/>
      <c r="G266" s="167"/>
      <c r="H266" s="172"/>
      <c r="I266" s="166"/>
    </row>
    <row r="267" spans="1:9">
      <c r="A267" s="68"/>
      <c r="B267" s="170"/>
      <c r="C267" s="23"/>
      <c r="D267" s="171"/>
      <c r="E267" s="165"/>
      <c r="F267" s="166"/>
      <c r="G267" s="167"/>
      <c r="H267" s="172"/>
      <c r="I267" s="166"/>
    </row>
    <row r="268" spans="1:9">
      <c r="A268" s="68"/>
      <c r="B268" s="170"/>
      <c r="C268" s="23"/>
      <c r="D268" s="171"/>
      <c r="E268" s="165"/>
      <c r="F268" s="166"/>
      <c r="G268" s="167"/>
      <c r="H268" s="172"/>
      <c r="I268" s="166"/>
    </row>
    <row r="269" spans="1:9">
      <c r="A269" s="68"/>
      <c r="B269" s="170"/>
      <c r="C269" s="23"/>
      <c r="D269" s="171"/>
      <c r="E269" s="165"/>
      <c r="F269" s="166"/>
      <c r="G269" s="167"/>
      <c r="H269" s="172"/>
      <c r="I269" s="166"/>
    </row>
    <row r="270" spans="1:9">
      <c r="A270" s="68"/>
      <c r="B270" s="170"/>
      <c r="C270" s="23"/>
      <c r="D270" s="171"/>
      <c r="E270" s="165"/>
      <c r="F270" s="166"/>
      <c r="G270" s="167"/>
      <c r="H270" s="172"/>
      <c r="I270" s="166"/>
    </row>
    <row r="271" spans="1:9">
      <c r="A271" s="68"/>
      <c r="B271" s="170"/>
      <c r="C271" s="23"/>
      <c r="D271" s="171"/>
      <c r="E271" s="165"/>
      <c r="F271" s="166"/>
      <c r="G271" s="167"/>
      <c r="H271" s="172"/>
      <c r="I271" s="166"/>
    </row>
    <row r="272" spans="1:9">
      <c r="A272" s="68"/>
      <c r="B272" s="170"/>
      <c r="C272" s="23"/>
      <c r="D272" s="171"/>
      <c r="E272" s="165"/>
      <c r="F272" s="166"/>
      <c r="G272" s="167"/>
      <c r="H272" s="172"/>
      <c r="I272" s="166"/>
    </row>
    <row r="273" spans="1:9">
      <c r="A273" s="68"/>
      <c r="B273" s="170"/>
      <c r="C273" s="23"/>
      <c r="D273" s="171"/>
      <c r="E273" s="165"/>
      <c r="F273" s="166"/>
      <c r="G273" s="167"/>
      <c r="H273" s="172"/>
      <c r="I273" s="166"/>
    </row>
    <row r="274" spans="1:9">
      <c r="A274" s="68"/>
      <c r="B274" s="170"/>
      <c r="C274" s="23"/>
      <c r="D274" s="171"/>
      <c r="E274" s="165"/>
      <c r="F274" s="166"/>
      <c r="G274" s="167"/>
      <c r="H274" s="172"/>
      <c r="I274" s="166"/>
    </row>
    <row r="275" spans="1:9">
      <c r="A275" s="68"/>
      <c r="B275" s="170"/>
      <c r="C275" s="23"/>
      <c r="D275" s="171"/>
      <c r="E275" s="165"/>
      <c r="F275" s="166"/>
      <c r="G275" s="167"/>
      <c r="H275" s="172"/>
      <c r="I275" s="166"/>
    </row>
    <row r="276" spans="1:9">
      <c r="A276" s="68"/>
      <c r="B276" s="170"/>
      <c r="C276" s="23"/>
      <c r="D276" s="171"/>
      <c r="E276" s="165"/>
      <c r="F276" s="166"/>
      <c r="G276" s="167"/>
      <c r="H276" s="172"/>
      <c r="I276" s="166"/>
    </row>
    <row r="277" spans="1:9">
      <c r="A277" s="68"/>
      <c r="B277" s="170"/>
      <c r="C277" s="23"/>
      <c r="D277" s="171"/>
      <c r="E277" s="165"/>
      <c r="F277" s="166"/>
      <c r="G277" s="167"/>
      <c r="H277" s="172"/>
      <c r="I277" s="166"/>
    </row>
    <row r="278" spans="1:9">
      <c r="A278" s="68"/>
      <c r="B278" s="170"/>
      <c r="C278" s="23"/>
      <c r="D278" s="171"/>
      <c r="E278" s="165"/>
      <c r="F278" s="166"/>
      <c r="G278" s="167"/>
      <c r="H278" s="172"/>
      <c r="I278" s="166"/>
    </row>
    <row r="279" spans="1:9">
      <c r="A279" s="68"/>
      <c r="B279" s="170"/>
      <c r="C279" s="23"/>
      <c r="D279" s="171"/>
      <c r="E279" s="165"/>
      <c r="F279" s="166"/>
      <c r="G279" s="167"/>
      <c r="H279" s="172"/>
      <c r="I279" s="166"/>
    </row>
    <row r="280" spans="1:9">
      <c r="A280" s="68"/>
      <c r="B280" s="170"/>
      <c r="C280" s="23"/>
      <c r="D280" s="171"/>
      <c r="E280" s="165"/>
      <c r="F280" s="166"/>
      <c r="G280" s="167"/>
      <c r="H280" s="172"/>
      <c r="I280" s="166"/>
    </row>
    <row r="281" spans="1:9">
      <c r="A281" s="68"/>
      <c r="B281" s="170"/>
      <c r="C281" s="23"/>
      <c r="D281" s="171"/>
      <c r="E281" s="165"/>
      <c r="F281" s="166"/>
      <c r="G281" s="167"/>
      <c r="H281" s="172"/>
      <c r="I281" s="166"/>
    </row>
    <row r="282" spans="1:9">
      <c r="A282" s="68"/>
      <c r="B282" s="170"/>
      <c r="C282" s="23"/>
      <c r="D282" s="171"/>
      <c r="E282" s="165"/>
      <c r="F282" s="166"/>
      <c r="G282" s="167"/>
      <c r="H282" s="172"/>
      <c r="I282" s="166"/>
    </row>
    <row r="283" spans="1:9">
      <c r="A283" s="68"/>
      <c r="B283" s="170"/>
      <c r="C283" s="23"/>
      <c r="D283" s="171"/>
      <c r="E283" s="165"/>
      <c r="F283" s="166"/>
      <c r="G283" s="167"/>
      <c r="H283" s="172"/>
      <c r="I283" s="166"/>
    </row>
    <row r="284" spans="1:9">
      <c r="A284" s="68"/>
      <c r="B284" s="170"/>
      <c r="C284" s="23"/>
      <c r="D284" s="171"/>
      <c r="E284" s="165"/>
      <c r="F284" s="166"/>
      <c r="G284" s="167"/>
      <c r="H284" s="172"/>
      <c r="I284" s="166"/>
    </row>
    <row r="285" spans="1:9">
      <c r="A285" s="68"/>
      <c r="B285" s="170"/>
      <c r="C285" s="23"/>
      <c r="D285" s="171"/>
      <c r="E285" s="165"/>
      <c r="F285" s="166"/>
      <c r="G285" s="167"/>
      <c r="H285" s="172"/>
      <c r="I285" s="166"/>
    </row>
    <row r="286" spans="1:9">
      <c r="A286" s="68"/>
      <c r="B286" s="170"/>
      <c r="C286" s="23"/>
      <c r="D286" s="171"/>
      <c r="E286" s="165"/>
      <c r="F286" s="166"/>
      <c r="G286" s="167"/>
      <c r="H286" s="172"/>
      <c r="I286" s="166"/>
    </row>
    <row r="287" spans="1:9">
      <c r="A287" s="68"/>
      <c r="B287" s="170"/>
      <c r="C287" s="23"/>
      <c r="D287" s="171"/>
      <c r="E287" s="165"/>
      <c r="F287" s="166"/>
      <c r="G287" s="167"/>
      <c r="H287" s="172"/>
      <c r="I287" s="166"/>
    </row>
    <row r="288" spans="1:9">
      <c r="A288" s="68"/>
      <c r="B288" s="170"/>
      <c r="C288" s="23"/>
      <c r="D288" s="171"/>
      <c r="E288" s="165"/>
      <c r="F288" s="166"/>
      <c r="G288" s="167"/>
      <c r="H288" s="172"/>
      <c r="I288" s="166"/>
    </row>
    <row r="289" spans="1:9">
      <c r="A289" s="68"/>
      <c r="B289" s="170"/>
      <c r="C289" s="23"/>
      <c r="D289" s="171"/>
      <c r="E289" s="165"/>
      <c r="F289" s="166"/>
      <c r="G289" s="167"/>
      <c r="H289" s="172"/>
      <c r="I289" s="166"/>
    </row>
    <row r="290" spans="1:9">
      <c r="A290" s="68"/>
      <c r="B290" s="170"/>
      <c r="C290" s="23"/>
      <c r="D290" s="171"/>
      <c r="E290" s="165"/>
      <c r="F290" s="166"/>
      <c r="G290" s="167"/>
      <c r="H290" s="172"/>
      <c r="I290" s="166"/>
    </row>
    <row r="291" spans="1:9">
      <c r="A291" s="68"/>
      <c r="B291" s="170"/>
      <c r="C291" s="23"/>
      <c r="D291" s="171"/>
      <c r="E291" s="165"/>
      <c r="F291" s="166"/>
      <c r="G291" s="167"/>
      <c r="H291" s="172"/>
      <c r="I291" s="166"/>
    </row>
    <row r="292" spans="1:9">
      <c r="A292" s="68"/>
      <c r="B292" s="170"/>
      <c r="C292" s="23"/>
      <c r="D292" s="171"/>
      <c r="E292" s="165"/>
      <c r="F292" s="166"/>
      <c r="G292" s="167"/>
      <c r="H292" s="172"/>
      <c r="I292" s="166"/>
    </row>
    <row r="293" spans="1:9">
      <c r="A293" s="68"/>
      <c r="B293" s="170"/>
      <c r="C293" s="23"/>
      <c r="D293" s="171"/>
      <c r="E293" s="165"/>
      <c r="F293" s="166"/>
      <c r="G293" s="167"/>
      <c r="H293" s="172"/>
      <c r="I293" s="166"/>
    </row>
    <row r="294" spans="1:9">
      <c r="A294" s="68"/>
      <c r="B294" s="170"/>
      <c r="C294" s="23"/>
      <c r="D294" s="171"/>
      <c r="E294" s="165"/>
      <c r="F294" s="166"/>
      <c r="G294" s="167"/>
      <c r="H294" s="172"/>
      <c r="I294" s="166"/>
    </row>
    <row r="295" spans="1:9">
      <c r="A295" s="68"/>
      <c r="B295" s="170"/>
      <c r="C295" s="23"/>
      <c r="D295" s="171"/>
      <c r="E295" s="165"/>
      <c r="F295" s="166"/>
      <c r="G295" s="167"/>
      <c r="H295" s="172"/>
      <c r="I295" s="166"/>
    </row>
    <row r="296" spans="1:9">
      <c r="A296" s="68"/>
      <c r="B296" s="170"/>
      <c r="C296" s="23"/>
      <c r="D296" s="171"/>
      <c r="E296" s="165"/>
      <c r="F296" s="166"/>
      <c r="G296" s="167"/>
      <c r="H296" s="172"/>
      <c r="I296" s="166"/>
    </row>
    <row r="297" spans="1:9">
      <c r="A297" s="68"/>
      <c r="B297" s="170"/>
      <c r="C297" s="23"/>
      <c r="D297" s="171"/>
      <c r="E297" s="165"/>
      <c r="F297" s="166"/>
      <c r="G297" s="167"/>
      <c r="H297" s="172"/>
      <c r="I297" s="166"/>
    </row>
    <row r="298" spans="1:9">
      <c r="A298" s="68"/>
      <c r="B298" s="170"/>
      <c r="C298" s="23"/>
      <c r="D298" s="171"/>
      <c r="E298" s="165"/>
      <c r="F298" s="166"/>
      <c r="G298" s="167"/>
      <c r="H298" s="172"/>
      <c r="I298" s="166"/>
    </row>
    <row r="299" spans="1:9">
      <c r="A299" s="68"/>
      <c r="B299" s="170"/>
      <c r="C299" s="23"/>
      <c r="D299" s="171"/>
      <c r="E299" s="165"/>
      <c r="F299" s="166"/>
      <c r="G299" s="167"/>
      <c r="H299" s="172"/>
      <c r="I299" s="166"/>
    </row>
    <row r="300" spans="1:9">
      <c r="A300" s="68"/>
      <c r="B300" s="170"/>
      <c r="C300" s="23"/>
      <c r="D300" s="171"/>
      <c r="E300" s="165"/>
      <c r="F300" s="166"/>
      <c r="G300" s="167"/>
      <c r="H300" s="172"/>
      <c r="I300" s="166"/>
    </row>
    <row r="301" spans="1:9">
      <c r="A301" s="68"/>
      <c r="B301" s="170"/>
      <c r="C301" s="23"/>
      <c r="D301" s="171"/>
      <c r="E301" s="165"/>
      <c r="F301" s="166"/>
      <c r="G301" s="167"/>
      <c r="H301" s="172"/>
      <c r="I301" s="166"/>
    </row>
    <row r="302" spans="1:9">
      <c r="A302" s="68"/>
      <c r="B302" s="170"/>
      <c r="C302" s="23"/>
      <c r="D302" s="171"/>
      <c r="E302" s="165"/>
      <c r="F302" s="166"/>
      <c r="G302" s="167"/>
      <c r="H302" s="172"/>
      <c r="I302" s="166"/>
    </row>
    <row r="303" spans="1:9">
      <c r="A303" s="68"/>
      <c r="B303" s="170"/>
      <c r="C303" s="23"/>
      <c r="D303" s="171"/>
      <c r="E303" s="165"/>
      <c r="F303" s="166"/>
      <c r="G303" s="167"/>
      <c r="H303" s="172"/>
      <c r="I303" s="166"/>
    </row>
    <row r="304" spans="1:9">
      <c r="A304" s="68"/>
      <c r="B304" s="170"/>
      <c r="C304" s="23"/>
      <c r="D304" s="171"/>
      <c r="E304" s="165"/>
      <c r="F304" s="166"/>
      <c r="G304" s="167"/>
      <c r="H304" s="172"/>
      <c r="I304" s="166"/>
    </row>
    <row r="305" spans="1:9">
      <c r="A305" s="68"/>
      <c r="B305" s="170"/>
      <c r="C305" s="23"/>
      <c r="D305" s="171"/>
      <c r="E305" s="165"/>
      <c r="F305" s="166"/>
      <c r="G305" s="167"/>
      <c r="H305" s="172"/>
      <c r="I305" s="166"/>
    </row>
    <row r="306" spans="1:9">
      <c r="A306" s="68"/>
      <c r="B306" s="170"/>
      <c r="C306" s="23"/>
      <c r="D306" s="171"/>
      <c r="E306" s="165"/>
      <c r="F306" s="166"/>
      <c r="G306" s="167"/>
      <c r="H306" s="172"/>
      <c r="I306" s="166"/>
    </row>
    <row r="307" spans="1:9">
      <c r="A307" s="68"/>
      <c r="B307" s="170"/>
      <c r="C307" s="23"/>
      <c r="D307" s="171"/>
      <c r="E307" s="165"/>
      <c r="F307" s="166"/>
      <c r="G307" s="167"/>
      <c r="H307" s="172"/>
      <c r="I307" s="166"/>
    </row>
    <row r="308" spans="1:9">
      <c r="A308" s="68"/>
      <c r="B308" s="170"/>
      <c r="C308" s="23"/>
      <c r="D308" s="171"/>
      <c r="E308" s="165"/>
      <c r="F308" s="166"/>
      <c r="G308" s="167"/>
      <c r="H308" s="172"/>
      <c r="I308" s="166"/>
    </row>
    <row r="309" spans="1:9">
      <c r="A309" s="68"/>
      <c r="B309" s="170"/>
      <c r="C309" s="23"/>
      <c r="D309" s="171"/>
      <c r="E309" s="165"/>
      <c r="F309" s="166"/>
      <c r="G309" s="167"/>
      <c r="H309" s="172"/>
      <c r="I309" s="166"/>
    </row>
    <row r="310" spans="1:9">
      <c r="A310" s="68"/>
      <c r="B310" s="170"/>
      <c r="C310" s="23"/>
      <c r="D310" s="171"/>
      <c r="E310" s="165"/>
      <c r="F310" s="166"/>
      <c r="G310" s="167"/>
      <c r="H310" s="172"/>
      <c r="I310" s="166"/>
    </row>
    <row r="311" spans="1:9">
      <c r="A311" s="68"/>
      <c r="B311" s="170"/>
      <c r="C311" s="23"/>
      <c r="D311" s="171"/>
      <c r="E311" s="165"/>
      <c r="F311" s="166"/>
      <c r="G311" s="167"/>
      <c r="H311" s="172"/>
      <c r="I311" s="166"/>
    </row>
    <row r="312" spans="1:9">
      <c r="A312" s="68"/>
      <c r="B312" s="170"/>
      <c r="C312" s="23"/>
      <c r="D312" s="171"/>
      <c r="E312" s="165"/>
      <c r="F312" s="166"/>
      <c r="G312" s="167"/>
      <c r="H312" s="172"/>
      <c r="I312" s="166"/>
    </row>
    <row r="313" spans="1:9">
      <c r="A313" s="68"/>
      <c r="B313" s="170"/>
      <c r="C313" s="23"/>
      <c r="D313" s="171"/>
      <c r="E313" s="165"/>
      <c r="F313" s="166"/>
      <c r="G313" s="167"/>
      <c r="H313" s="172"/>
      <c r="I313" s="166"/>
    </row>
    <row r="314" spans="1:9">
      <c r="A314" s="68"/>
      <c r="B314" s="170"/>
      <c r="C314" s="23"/>
      <c r="D314" s="171"/>
      <c r="E314" s="165"/>
      <c r="F314" s="166"/>
      <c r="G314" s="167"/>
      <c r="H314" s="172"/>
      <c r="I314" s="166"/>
    </row>
    <row r="315" spans="1:9">
      <c r="A315" s="68"/>
      <c r="B315" s="170"/>
      <c r="C315" s="23"/>
      <c r="D315" s="171"/>
      <c r="E315" s="165"/>
      <c r="F315" s="166"/>
      <c r="G315" s="167"/>
      <c r="H315" s="172"/>
      <c r="I315" s="166"/>
    </row>
    <row r="316" spans="1:9">
      <c r="A316" s="68"/>
      <c r="B316" s="170"/>
      <c r="C316" s="23"/>
      <c r="D316" s="171"/>
      <c r="E316" s="165"/>
      <c r="F316" s="166"/>
      <c r="G316" s="167"/>
      <c r="H316" s="172"/>
      <c r="I316" s="166"/>
    </row>
    <row r="317" spans="1:9">
      <c r="A317" s="68"/>
      <c r="B317" s="170"/>
      <c r="C317" s="23"/>
      <c r="D317" s="171"/>
      <c r="E317" s="165"/>
      <c r="F317" s="166"/>
      <c r="G317" s="167"/>
      <c r="H317" s="172"/>
      <c r="I317" s="166"/>
    </row>
    <row r="318" spans="1:9">
      <c r="A318" s="68"/>
      <c r="B318" s="170"/>
      <c r="C318" s="23"/>
      <c r="D318" s="171"/>
      <c r="E318" s="165"/>
      <c r="F318" s="166"/>
      <c r="G318" s="167"/>
      <c r="H318" s="172"/>
      <c r="I318" s="166"/>
    </row>
    <row r="319" spans="1:9">
      <c r="A319" s="68"/>
      <c r="B319" s="170"/>
      <c r="C319" s="23"/>
      <c r="D319" s="171"/>
      <c r="E319" s="165"/>
      <c r="F319" s="166"/>
      <c r="G319" s="167"/>
      <c r="H319" s="172"/>
      <c r="I319" s="166"/>
    </row>
    <row r="320" spans="1:9">
      <c r="A320" s="68"/>
      <c r="B320" s="170"/>
      <c r="C320" s="23"/>
      <c r="D320" s="171"/>
      <c r="E320" s="165"/>
      <c r="F320" s="166"/>
      <c r="G320" s="167"/>
      <c r="H320" s="172"/>
      <c r="I320" s="166"/>
    </row>
    <row r="321" spans="1:9">
      <c r="A321" s="68"/>
      <c r="B321" s="170"/>
      <c r="C321" s="23"/>
      <c r="D321" s="171"/>
      <c r="E321" s="165"/>
      <c r="F321" s="166"/>
      <c r="G321" s="167"/>
      <c r="H321" s="172"/>
      <c r="I321" s="166"/>
    </row>
    <row r="322" spans="1:9">
      <c r="A322" s="68"/>
      <c r="B322" s="170"/>
      <c r="C322" s="23"/>
      <c r="D322" s="171"/>
      <c r="E322" s="165"/>
      <c r="F322" s="166"/>
      <c r="G322" s="167"/>
      <c r="H322" s="172"/>
      <c r="I322" s="166"/>
    </row>
    <row r="323" spans="1:9">
      <c r="A323" s="68"/>
      <c r="B323" s="170"/>
      <c r="C323" s="23"/>
      <c r="D323" s="171"/>
      <c r="E323" s="165"/>
      <c r="F323" s="166"/>
      <c r="G323" s="167"/>
      <c r="H323" s="172"/>
      <c r="I323" s="166"/>
    </row>
    <row r="324" spans="1:9">
      <c r="A324" s="68"/>
      <c r="B324" s="170"/>
      <c r="C324" s="23"/>
      <c r="D324" s="171"/>
      <c r="E324" s="165"/>
      <c r="F324" s="166"/>
      <c r="G324" s="167"/>
      <c r="H324" s="172"/>
      <c r="I324" s="166"/>
    </row>
    <row r="325" spans="1:9">
      <c r="A325" s="68"/>
      <c r="B325" s="170"/>
      <c r="C325" s="23"/>
      <c r="D325" s="171"/>
      <c r="E325" s="165"/>
      <c r="F325" s="166"/>
      <c r="G325" s="167"/>
      <c r="H325" s="172"/>
      <c r="I325" s="166"/>
    </row>
    <row r="326" spans="1:9">
      <c r="A326" s="68"/>
      <c r="B326" s="170"/>
      <c r="C326" s="23"/>
      <c r="D326" s="171"/>
      <c r="E326" s="165"/>
      <c r="F326" s="166"/>
      <c r="G326" s="167"/>
      <c r="H326" s="172"/>
      <c r="I326" s="166"/>
    </row>
    <row r="327" spans="1:9">
      <c r="A327" s="68"/>
      <c r="B327" s="170"/>
      <c r="C327" s="23"/>
      <c r="D327" s="171"/>
      <c r="E327" s="165"/>
      <c r="F327" s="166"/>
      <c r="G327" s="167"/>
      <c r="H327" s="172"/>
      <c r="I327" s="166"/>
    </row>
    <row r="328" spans="1:9">
      <c r="A328" s="68"/>
      <c r="B328" s="170"/>
      <c r="C328" s="23"/>
      <c r="D328" s="171"/>
      <c r="E328" s="165"/>
      <c r="F328" s="166"/>
      <c r="G328" s="167"/>
      <c r="H328" s="172"/>
      <c r="I328" s="166"/>
    </row>
    <row r="329" spans="1:9">
      <c r="A329" s="68"/>
      <c r="B329" s="170"/>
      <c r="C329" s="23"/>
      <c r="D329" s="171"/>
      <c r="E329" s="165"/>
      <c r="F329" s="166"/>
      <c r="G329" s="167"/>
      <c r="H329" s="172"/>
      <c r="I329" s="166"/>
    </row>
    <row r="330" spans="1:9">
      <c r="A330" s="68"/>
      <c r="B330" s="170"/>
      <c r="C330" s="23"/>
      <c r="D330" s="171"/>
      <c r="E330" s="165"/>
      <c r="F330" s="166"/>
      <c r="G330" s="167"/>
      <c r="H330" s="172"/>
      <c r="I330" s="166"/>
    </row>
    <row r="331" spans="1:9">
      <c r="A331" s="68"/>
      <c r="B331" s="170"/>
      <c r="C331" s="23"/>
      <c r="D331" s="171"/>
      <c r="E331" s="165"/>
      <c r="F331" s="166"/>
      <c r="G331" s="167"/>
      <c r="H331" s="172"/>
      <c r="I331" s="166"/>
    </row>
    <row r="332" spans="1:9">
      <c r="A332" s="68"/>
      <c r="B332" s="170"/>
      <c r="C332" s="23"/>
      <c r="D332" s="171"/>
      <c r="E332" s="165"/>
      <c r="F332" s="166"/>
      <c r="G332" s="167"/>
      <c r="H332" s="172"/>
      <c r="I332" s="166"/>
    </row>
    <row r="333" spans="1:9">
      <c r="A333" s="68"/>
      <c r="B333" s="170"/>
      <c r="C333" s="23"/>
      <c r="D333" s="171"/>
      <c r="E333" s="165"/>
      <c r="F333" s="166"/>
      <c r="G333" s="167"/>
      <c r="H333" s="172"/>
      <c r="I333" s="166"/>
    </row>
    <row r="334" spans="1:9">
      <c r="A334" s="68"/>
      <c r="B334" s="170"/>
      <c r="C334" s="23"/>
      <c r="D334" s="171"/>
      <c r="E334" s="165"/>
      <c r="F334" s="166"/>
      <c r="G334" s="167"/>
      <c r="H334" s="172"/>
      <c r="I334" s="166"/>
    </row>
    <row r="335" spans="1:9">
      <c r="A335" s="68"/>
      <c r="B335" s="170"/>
      <c r="C335" s="23"/>
      <c r="D335" s="171"/>
      <c r="E335" s="165"/>
      <c r="F335" s="166"/>
      <c r="G335" s="167"/>
      <c r="H335" s="172"/>
      <c r="I335" s="166"/>
    </row>
    <row r="336" spans="1:9">
      <c r="A336" s="68"/>
      <c r="B336" s="170"/>
      <c r="C336" s="23"/>
      <c r="D336" s="171"/>
      <c r="E336" s="165"/>
      <c r="F336" s="166"/>
      <c r="G336" s="167"/>
      <c r="H336" s="172"/>
      <c r="I336" s="166"/>
    </row>
    <row r="337" spans="1:9">
      <c r="A337" s="68"/>
      <c r="B337" s="170"/>
      <c r="C337" s="23"/>
      <c r="D337" s="171"/>
      <c r="E337" s="165"/>
      <c r="F337" s="166"/>
      <c r="G337" s="167"/>
      <c r="H337" s="172"/>
      <c r="I337" s="166"/>
    </row>
    <row r="338" spans="1:9">
      <c r="A338" s="68"/>
      <c r="B338" s="170"/>
      <c r="C338" s="23"/>
      <c r="D338" s="171"/>
      <c r="E338" s="165"/>
      <c r="F338" s="166"/>
      <c r="G338" s="167"/>
      <c r="H338" s="172"/>
      <c r="I338" s="166"/>
    </row>
    <row r="339" spans="1:9">
      <c r="A339" s="68"/>
      <c r="B339" s="170"/>
      <c r="C339" s="23"/>
      <c r="D339" s="171"/>
      <c r="E339" s="165"/>
      <c r="F339" s="166"/>
      <c r="G339" s="167"/>
      <c r="H339" s="172"/>
      <c r="I339" s="166"/>
    </row>
    <row r="340" spans="1:9">
      <c r="A340" s="68"/>
      <c r="B340" s="170"/>
      <c r="C340" s="23"/>
      <c r="D340" s="171"/>
      <c r="E340" s="165"/>
      <c r="F340" s="166"/>
      <c r="G340" s="167"/>
      <c r="H340" s="172"/>
      <c r="I340" s="166"/>
    </row>
    <row r="341" spans="1:9">
      <c r="A341" s="68"/>
      <c r="B341" s="170"/>
      <c r="C341" s="23"/>
      <c r="D341" s="171"/>
      <c r="E341" s="165"/>
      <c r="F341" s="166"/>
      <c r="G341" s="167"/>
      <c r="H341" s="172"/>
      <c r="I341" s="166"/>
    </row>
    <row r="342" spans="1:9">
      <c r="A342" s="68"/>
      <c r="B342" s="170"/>
      <c r="C342" s="23"/>
      <c r="D342" s="171"/>
      <c r="E342" s="165"/>
      <c r="F342" s="166"/>
      <c r="G342" s="167"/>
      <c r="H342" s="172"/>
      <c r="I342" s="166"/>
    </row>
    <row r="343" spans="1:9">
      <c r="A343" s="68"/>
      <c r="B343" s="170"/>
      <c r="C343" s="23"/>
      <c r="D343" s="171"/>
      <c r="E343" s="165"/>
      <c r="F343" s="166"/>
      <c r="G343" s="167"/>
      <c r="H343" s="172"/>
      <c r="I343" s="166"/>
    </row>
    <row r="344" spans="1:9">
      <c r="A344" s="68"/>
      <c r="B344" s="170"/>
      <c r="C344" s="23"/>
      <c r="D344" s="171"/>
      <c r="E344" s="165"/>
      <c r="F344" s="166"/>
      <c r="G344" s="167"/>
      <c r="H344" s="172"/>
      <c r="I344" s="166"/>
    </row>
    <row r="345" spans="1:9">
      <c r="A345" s="68"/>
      <c r="B345" s="170"/>
      <c r="C345" s="23"/>
      <c r="D345" s="171"/>
      <c r="E345" s="165"/>
      <c r="F345" s="166"/>
      <c r="G345" s="167"/>
      <c r="H345" s="172"/>
      <c r="I345" s="166"/>
    </row>
    <row r="346" spans="1:9">
      <c r="A346" s="68"/>
      <c r="B346" s="170"/>
      <c r="C346" s="23"/>
      <c r="D346" s="171"/>
      <c r="E346" s="165"/>
      <c r="F346" s="166"/>
      <c r="G346" s="167"/>
      <c r="H346" s="172"/>
      <c r="I346" s="166"/>
    </row>
    <row r="347" spans="1:9">
      <c r="A347" s="68"/>
      <c r="B347" s="170"/>
      <c r="C347" s="23"/>
      <c r="D347" s="171"/>
      <c r="E347" s="165"/>
      <c r="F347" s="166"/>
      <c r="G347" s="167"/>
      <c r="H347" s="172"/>
      <c r="I347" s="166"/>
    </row>
    <row r="348" spans="1:9">
      <c r="A348" s="68"/>
      <c r="B348" s="170"/>
      <c r="C348" s="23"/>
      <c r="D348" s="171"/>
      <c r="E348" s="165"/>
      <c r="F348" s="166"/>
      <c r="G348" s="167"/>
      <c r="H348" s="172"/>
      <c r="I348" s="166"/>
    </row>
    <row r="349" spans="1:9">
      <c r="A349" s="68"/>
      <c r="B349" s="170"/>
      <c r="C349" s="23"/>
      <c r="D349" s="171"/>
      <c r="E349" s="165"/>
      <c r="F349" s="166"/>
      <c r="G349" s="167"/>
      <c r="H349" s="172"/>
      <c r="I349" s="166"/>
    </row>
    <row r="350" spans="1:9">
      <c r="A350" s="68"/>
      <c r="B350" s="170"/>
      <c r="C350" s="23"/>
      <c r="D350" s="171"/>
      <c r="E350" s="165"/>
      <c r="F350" s="166"/>
      <c r="G350" s="167"/>
      <c r="H350" s="172"/>
      <c r="I350" s="166"/>
    </row>
    <row r="351" spans="1:9">
      <c r="A351" s="68"/>
      <c r="B351" s="170"/>
      <c r="C351" s="23"/>
      <c r="D351" s="171"/>
      <c r="E351" s="165"/>
      <c r="F351" s="166"/>
      <c r="G351" s="167"/>
      <c r="H351" s="172"/>
      <c r="I351" s="166"/>
    </row>
    <row r="352" spans="1:9">
      <c r="A352" s="68"/>
      <c r="B352" s="170"/>
      <c r="C352" s="23"/>
      <c r="D352" s="171"/>
      <c r="E352" s="165"/>
      <c r="F352" s="166"/>
      <c r="G352" s="167"/>
      <c r="H352" s="172"/>
      <c r="I352" s="166"/>
    </row>
    <row r="353" spans="1:9">
      <c r="A353" s="68"/>
      <c r="B353" s="170"/>
      <c r="C353" s="23"/>
      <c r="D353" s="171"/>
      <c r="E353" s="165"/>
      <c r="F353" s="166"/>
      <c r="G353" s="167"/>
      <c r="H353" s="172"/>
      <c r="I353" s="166"/>
    </row>
    <row r="354" spans="1:9">
      <c r="A354" s="68"/>
      <c r="B354" s="170"/>
      <c r="C354" s="23"/>
      <c r="D354" s="171"/>
      <c r="E354" s="165"/>
      <c r="F354" s="166"/>
      <c r="G354" s="167"/>
      <c r="H354" s="172"/>
      <c r="I354" s="166"/>
    </row>
    <row r="355" spans="1:9">
      <c r="A355" s="68"/>
      <c r="B355" s="170"/>
      <c r="C355" s="23"/>
      <c r="D355" s="171"/>
      <c r="E355" s="165"/>
      <c r="F355" s="166"/>
      <c r="G355" s="167"/>
      <c r="H355" s="172"/>
      <c r="I355" s="166"/>
    </row>
    <row r="356" spans="1:9">
      <c r="A356" s="68"/>
      <c r="B356" s="170"/>
      <c r="C356" s="23"/>
      <c r="D356" s="171"/>
      <c r="E356" s="165"/>
      <c r="F356" s="166"/>
      <c r="G356" s="167"/>
      <c r="H356" s="172"/>
      <c r="I356" s="166"/>
    </row>
    <row r="357" spans="1:9">
      <c r="A357" s="68"/>
      <c r="B357" s="170"/>
      <c r="C357" s="23"/>
      <c r="D357" s="171"/>
      <c r="E357" s="165"/>
      <c r="F357" s="166"/>
      <c r="G357" s="167"/>
      <c r="H357" s="172"/>
      <c r="I357" s="166"/>
    </row>
    <row r="358" spans="1:9">
      <c r="A358" s="68"/>
      <c r="B358" s="170"/>
      <c r="C358" s="23"/>
      <c r="D358" s="171"/>
      <c r="E358" s="165"/>
      <c r="F358" s="166"/>
      <c r="G358" s="167"/>
      <c r="H358" s="172"/>
      <c r="I358" s="166"/>
    </row>
    <row r="359" spans="1:9">
      <c r="A359" s="68"/>
      <c r="B359" s="170"/>
      <c r="C359" s="23"/>
      <c r="D359" s="171"/>
      <c r="E359" s="165"/>
      <c r="F359" s="166"/>
      <c r="G359" s="167"/>
      <c r="H359" s="172"/>
      <c r="I359" s="166"/>
    </row>
    <row r="360" spans="1:9">
      <c r="A360" s="68"/>
      <c r="B360" s="170"/>
      <c r="C360" s="23"/>
      <c r="D360" s="171"/>
      <c r="E360" s="165"/>
      <c r="F360" s="166"/>
      <c r="G360" s="167"/>
      <c r="H360" s="172"/>
      <c r="I360" s="166"/>
    </row>
    <row r="361" spans="1:9">
      <c r="A361" s="68"/>
      <c r="B361" s="170"/>
      <c r="C361" s="23"/>
      <c r="D361" s="171"/>
      <c r="E361" s="165"/>
      <c r="F361" s="166"/>
      <c r="G361" s="167"/>
      <c r="H361" s="172"/>
      <c r="I361" s="166"/>
    </row>
    <row r="362" spans="1:9">
      <c r="A362" s="68"/>
      <c r="B362" s="170"/>
      <c r="C362" s="23"/>
      <c r="D362" s="171"/>
      <c r="E362" s="165"/>
      <c r="F362" s="166"/>
      <c r="G362" s="167"/>
      <c r="H362" s="172"/>
      <c r="I362" s="166"/>
    </row>
    <row r="363" spans="1:9">
      <c r="A363" s="68"/>
      <c r="B363" s="170"/>
      <c r="C363" s="23"/>
      <c r="D363" s="171"/>
      <c r="E363" s="165"/>
      <c r="F363" s="166"/>
      <c r="G363" s="167"/>
      <c r="H363" s="172"/>
      <c r="I363" s="166"/>
    </row>
    <row r="364" spans="1:9">
      <c r="A364" s="68"/>
      <c r="B364" s="170"/>
      <c r="C364" s="23"/>
      <c r="D364" s="171"/>
      <c r="E364" s="165"/>
      <c r="F364" s="166"/>
      <c r="G364" s="167"/>
      <c r="H364" s="172"/>
      <c r="I364" s="166"/>
    </row>
    <row r="365" spans="1:9">
      <c r="A365" s="68"/>
      <c r="B365" s="170"/>
      <c r="C365" s="23"/>
      <c r="D365" s="171"/>
      <c r="E365" s="165"/>
      <c r="F365" s="166"/>
      <c r="G365" s="167"/>
      <c r="H365" s="172"/>
      <c r="I365" s="166"/>
    </row>
    <row r="366" spans="1:9">
      <c r="A366" s="68"/>
      <c r="B366" s="170"/>
      <c r="C366" s="23"/>
      <c r="D366" s="171"/>
      <c r="E366" s="165"/>
      <c r="F366" s="166"/>
      <c r="G366" s="167"/>
      <c r="H366" s="172"/>
      <c r="I366" s="166"/>
    </row>
    <row r="367" spans="1:9">
      <c r="A367" s="68"/>
      <c r="B367" s="170"/>
      <c r="C367" s="23"/>
      <c r="D367" s="171"/>
      <c r="E367" s="165"/>
      <c r="F367" s="166"/>
      <c r="G367" s="167"/>
      <c r="H367" s="172"/>
      <c r="I367" s="166"/>
    </row>
    <row r="368" spans="1:9">
      <c r="A368" s="68"/>
      <c r="B368" s="170"/>
      <c r="C368" s="23"/>
      <c r="D368" s="171"/>
      <c r="E368" s="165"/>
      <c r="F368" s="166"/>
      <c r="G368" s="167"/>
      <c r="H368" s="172"/>
      <c r="I368" s="166"/>
    </row>
    <row r="369" spans="1:9">
      <c r="A369" s="68"/>
      <c r="B369" s="170"/>
      <c r="C369" s="23"/>
      <c r="D369" s="171"/>
      <c r="E369" s="165"/>
      <c r="F369" s="166"/>
      <c r="G369" s="167"/>
      <c r="H369" s="172"/>
      <c r="I369" s="166"/>
    </row>
    <row r="370" spans="1:9">
      <c r="A370" s="68"/>
      <c r="B370" s="170"/>
      <c r="C370" s="23"/>
      <c r="D370" s="171"/>
      <c r="E370" s="165"/>
      <c r="F370" s="166"/>
      <c r="G370" s="167"/>
      <c r="H370" s="172"/>
      <c r="I370" s="166"/>
    </row>
    <row r="371" spans="1:9">
      <c r="A371" s="68"/>
      <c r="B371" s="170"/>
      <c r="C371" s="23"/>
      <c r="D371" s="171"/>
      <c r="E371" s="165"/>
      <c r="F371" s="166"/>
      <c r="G371" s="167"/>
      <c r="H371" s="172"/>
      <c r="I371" s="166"/>
    </row>
    <row r="372" spans="1:9">
      <c r="A372" s="68"/>
      <c r="B372" s="170"/>
      <c r="C372" s="23"/>
      <c r="D372" s="171"/>
      <c r="E372" s="165"/>
      <c r="F372" s="166"/>
      <c r="G372" s="167"/>
      <c r="H372" s="172"/>
      <c r="I372" s="166"/>
    </row>
    <row r="373" spans="1:9">
      <c r="A373" s="68"/>
      <c r="B373" s="170"/>
      <c r="C373" s="23"/>
      <c r="D373" s="171"/>
      <c r="E373" s="165"/>
      <c r="F373" s="166"/>
      <c r="G373" s="167"/>
      <c r="H373" s="172"/>
      <c r="I373" s="166"/>
    </row>
    <row r="374" spans="1:9">
      <c r="A374" s="68"/>
      <c r="B374" s="170"/>
      <c r="C374" s="23"/>
      <c r="D374" s="171"/>
      <c r="E374" s="165"/>
      <c r="F374" s="166"/>
      <c r="G374" s="167"/>
      <c r="H374" s="172"/>
      <c r="I374" s="166"/>
    </row>
    <row r="375" spans="1:9">
      <c r="A375" s="68"/>
      <c r="B375" s="170"/>
      <c r="C375" s="23"/>
      <c r="D375" s="171"/>
      <c r="E375" s="165"/>
      <c r="F375" s="166"/>
      <c r="G375" s="167"/>
      <c r="H375" s="172"/>
      <c r="I375" s="166"/>
    </row>
    <row r="376" spans="1:9">
      <c r="A376" s="68"/>
      <c r="B376" s="170"/>
      <c r="C376" s="23"/>
      <c r="D376" s="171"/>
      <c r="E376" s="165"/>
      <c r="F376" s="166"/>
      <c r="G376" s="167"/>
      <c r="H376" s="172"/>
      <c r="I376" s="166"/>
    </row>
    <row r="377" spans="1:9">
      <c r="A377" s="68"/>
      <c r="B377" s="170"/>
      <c r="C377" s="23"/>
      <c r="D377" s="171"/>
      <c r="E377" s="165"/>
      <c r="F377" s="166"/>
      <c r="G377" s="167"/>
      <c r="H377" s="172"/>
      <c r="I377" s="166"/>
    </row>
    <row r="378" spans="1:9">
      <c r="A378" s="68"/>
      <c r="B378" s="170"/>
      <c r="C378" s="23"/>
      <c r="D378" s="171"/>
      <c r="E378" s="165"/>
      <c r="F378" s="166"/>
      <c r="G378" s="167"/>
      <c r="H378" s="172"/>
      <c r="I378" s="166"/>
    </row>
    <row r="379" spans="1:9">
      <c r="A379" s="68"/>
      <c r="B379" s="170"/>
      <c r="C379" s="23"/>
      <c r="D379" s="171"/>
      <c r="E379" s="165"/>
      <c r="F379" s="166"/>
      <c r="G379" s="167"/>
      <c r="H379" s="172"/>
      <c r="I379" s="166"/>
    </row>
    <row r="380" spans="1:9">
      <c r="A380" s="68"/>
      <c r="B380" s="170"/>
      <c r="C380" s="23"/>
      <c r="D380" s="171"/>
      <c r="E380" s="165"/>
      <c r="F380" s="166"/>
      <c r="G380" s="167"/>
      <c r="H380" s="172"/>
      <c r="I380" s="166"/>
    </row>
    <row r="381" spans="1:9">
      <c r="A381" s="68"/>
      <c r="B381" s="170"/>
      <c r="C381" s="23"/>
      <c r="D381" s="171"/>
      <c r="E381" s="165"/>
      <c r="F381" s="166"/>
      <c r="G381" s="167"/>
      <c r="H381" s="172"/>
      <c r="I381" s="166"/>
    </row>
    <row r="382" spans="1:9">
      <c r="A382" s="68"/>
      <c r="B382" s="170"/>
      <c r="C382" s="23"/>
      <c r="D382" s="171"/>
      <c r="E382" s="165"/>
      <c r="F382" s="166"/>
      <c r="G382" s="167"/>
      <c r="H382" s="172"/>
      <c r="I382" s="166"/>
    </row>
    <row r="383" spans="1:9">
      <c r="A383" s="68"/>
      <c r="B383" s="170"/>
      <c r="C383" s="23"/>
      <c r="D383" s="171"/>
      <c r="E383" s="165"/>
      <c r="F383" s="166"/>
      <c r="G383" s="167"/>
      <c r="H383" s="172"/>
      <c r="I383" s="166"/>
    </row>
    <row r="384" spans="1:9">
      <c r="A384" s="68"/>
      <c r="B384" s="170"/>
      <c r="C384" s="23"/>
      <c r="D384" s="171"/>
      <c r="E384" s="165"/>
      <c r="F384" s="166"/>
      <c r="G384" s="167"/>
      <c r="H384" s="172"/>
      <c r="I384" s="166"/>
    </row>
    <row r="385" spans="1:9">
      <c r="A385" s="68"/>
      <c r="B385" s="170"/>
      <c r="C385" s="23"/>
      <c r="D385" s="171"/>
      <c r="E385" s="165"/>
      <c r="F385" s="166"/>
      <c r="G385" s="167"/>
      <c r="H385" s="172"/>
      <c r="I385" s="166"/>
    </row>
    <row r="386" spans="1:9">
      <c r="A386" s="68"/>
      <c r="B386" s="170"/>
      <c r="C386" s="23"/>
      <c r="D386" s="171"/>
      <c r="E386" s="165"/>
      <c r="F386" s="166"/>
      <c r="G386" s="167"/>
      <c r="H386" s="172"/>
      <c r="I386" s="166"/>
    </row>
    <row r="387" spans="1:9">
      <c r="A387" s="68"/>
      <c r="B387" s="170"/>
      <c r="C387" s="23"/>
      <c r="D387" s="171"/>
      <c r="E387" s="165"/>
      <c r="F387" s="166"/>
      <c r="G387" s="167"/>
      <c r="H387" s="172"/>
      <c r="I387" s="166"/>
    </row>
    <row r="388" spans="1:9">
      <c r="A388" s="68"/>
      <c r="B388" s="170"/>
      <c r="C388" s="23"/>
      <c r="D388" s="171"/>
      <c r="E388" s="165"/>
      <c r="F388" s="166"/>
      <c r="G388" s="167"/>
      <c r="H388" s="172"/>
      <c r="I388" s="166"/>
    </row>
    <row r="389" spans="1:9">
      <c r="A389" s="68"/>
      <c r="B389" s="170"/>
      <c r="C389" s="23"/>
      <c r="D389" s="171"/>
      <c r="E389" s="165"/>
      <c r="F389" s="166"/>
      <c r="G389" s="167"/>
      <c r="H389" s="172"/>
      <c r="I389" s="166"/>
    </row>
    <row r="390" spans="1:9">
      <c r="A390" s="68"/>
      <c r="B390" s="170"/>
      <c r="C390" s="23"/>
      <c r="D390" s="171"/>
      <c r="E390" s="165"/>
      <c r="F390" s="166"/>
      <c r="G390" s="167"/>
      <c r="H390" s="172"/>
      <c r="I390" s="166"/>
    </row>
    <row r="391" spans="1:9">
      <c r="A391" s="68"/>
      <c r="B391" s="170"/>
      <c r="C391" s="23"/>
      <c r="D391" s="171"/>
      <c r="E391" s="165"/>
      <c r="F391" s="166"/>
      <c r="G391" s="167"/>
      <c r="H391" s="172"/>
      <c r="I391" s="166"/>
    </row>
    <row r="392" spans="1:9">
      <c r="A392" s="68"/>
      <c r="B392" s="170"/>
      <c r="C392" s="23"/>
      <c r="D392" s="171"/>
      <c r="E392" s="165"/>
      <c r="F392" s="166"/>
      <c r="G392" s="167"/>
      <c r="H392" s="172"/>
      <c r="I392" s="166"/>
    </row>
    <row r="393" spans="1:9">
      <c r="A393" s="68"/>
      <c r="B393" s="170"/>
      <c r="C393" s="23"/>
      <c r="D393" s="171"/>
      <c r="E393" s="165"/>
      <c r="F393" s="166"/>
      <c r="G393" s="167"/>
      <c r="H393" s="172"/>
      <c r="I393" s="166"/>
    </row>
    <row r="394" spans="1:9">
      <c r="A394" s="68"/>
      <c r="B394" s="170"/>
      <c r="C394" s="23"/>
      <c r="D394" s="171"/>
      <c r="E394" s="165"/>
      <c r="F394" s="166"/>
      <c r="G394" s="167"/>
      <c r="H394" s="172"/>
      <c r="I394" s="166"/>
    </row>
    <row r="395" spans="1:9">
      <c r="A395" s="68"/>
      <c r="B395" s="170"/>
      <c r="C395" s="23"/>
      <c r="D395" s="171"/>
      <c r="E395" s="165"/>
      <c r="F395" s="166"/>
      <c r="G395" s="167"/>
      <c r="H395" s="172"/>
      <c r="I395" s="166"/>
    </row>
    <row r="396" spans="1:9">
      <c r="A396" s="68"/>
      <c r="B396" s="170"/>
      <c r="C396" s="23"/>
      <c r="D396" s="171"/>
      <c r="E396" s="165"/>
      <c r="F396" s="166"/>
      <c r="G396" s="167"/>
      <c r="H396" s="172"/>
      <c r="I396" s="166"/>
    </row>
    <row r="397" spans="1:9">
      <c r="A397" s="68"/>
      <c r="B397" s="170"/>
      <c r="C397" s="23"/>
      <c r="D397" s="171"/>
      <c r="E397" s="165"/>
      <c r="F397" s="166"/>
      <c r="G397" s="167"/>
      <c r="H397" s="172"/>
      <c r="I397" s="166"/>
    </row>
    <row r="398" spans="1:9">
      <c r="A398" s="68"/>
      <c r="B398" s="170"/>
      <c r="C398" s="23"/>
      <c r="D398" s="171"/>
      <c r="E398" s="165"/>
      <c r="F398" s="166"/>
      <c r="G398" s="167"/>
      <c r="H398" s="172"/>
      <c r="I398" s="166"/>
    </row>
    <row r="399" spans="1:9">
      <c r="A399" s="68"/>
      <c r="B399" s="170"/>
      <c r="C399" s="23"/>
      <c r="D399" s="171"/>
      <c r="E399" s="165"/>
      <c r="F399" s="166"/>
      <c r="G399" s="167"/>
      <c r="H399" s="172"/>
      <c r="I399" s="166"/>
    </row>
    <row r="400" spans="1:9">
      <c r="A400" s="68"/>
      <c r="B400" s="170"/>
      <c r="C400" s="23"/>
      <c r="D400" s="171"/>
      <c r="E400" s="165"/>
      <c r="F400" s="166"/>
      <c r="G400" s="167"/>
      <c r="H400" s="172"/>
      <c r="I400" s="166"/>
    </row>
    <row r="401" spans="1:9">
      <c r="A401" s="68"/>
      <c r="B401" s="170"/>
      <c r="C401" s="23"/>
      <c r="D401" s="171"/>
      <c r="E401" s="165"/>
      <c r="F401" s="166"/>
      <c r="G401" s="167"/>
      <c r="H401" s="172"/>
      <c r="I401" s="166"/>
    </row>
    <row r="402" spans="1:9">
      <c r="A402" s="68"/>
      <c r="B402" s="170"/>
      <c r="C402" s="23"/>
      <c r="D402" s="171"/>
      <c r="E402" s="165"/>
      <c r="F402" s="166"/>
      <c r="G402" s="167"/>
      <c r="H402" s="172"/>
      <c r="I402" s="166"/>
    </row>
    <row r="403" spans="1:9">
      <c r="A403" s="68"/>
      <c r="B403" s="170"/>
      <c r="C403" s="23"/>
      <c r="D403" s="171"/>
      <c r="E403" s="165"/>
      <c r="F403" s="166"/>
      <c r="G403" s="167"/>
      <c r="H403" s="172"/>
      <c r="I403" s="166"/>
    </row>
    <row r="404" spans="1:9">
      <c r="A404" s="68"/>
      <c r="B404" s="170"/>
      <c r="C404" s="23"/>
      <c r="D404" s="171"/>
      <c r="E404" s="165"/>
      <c r="F404" s="166"/>
      <c r="G404" s="167"/>
      <c r="H404" s="172"/>
      <c r="I404" s="166"/>
    </row>
    <row r="405" spans="1:9">
      <c r="A405" s="68"/>
      <c r="B405" s="170"/>
      <c r="C405" s="23"/>
      <c r="D405" s="171"/>
      <c r="E405" s="165"/>
      <c r="F405" s="166"/>
      <c r="G405" s="167"/>
      <c r="H405" s="172"/>
      <c r="I405" s="166"/>
    </row>
    <row r="406" spans="1:9">
      <c r="A406" s="68"/>
      <c r="B406" s="170"/>
      <c r="C406" s="23"/>
      <c r="D406" s="171"/>
      <c r="E406" s="165"/>
      <c r="F406" s="166"/>
      <c r="G406" s="167"/>
      <c r="H406" s="172"/>
      <c r="I406" s="166"/>
    </row>
    <row r="407" spans="1:9">
      <c r="A407" s="68"/>
      <c r="B407" s="170"/>
      <c r="C407" s="23"/>
      <c r="D407" s="171"/>
      <c r="E407" s="165"/>
      <c r="F407" s="166"/>
      <c r="G407" s="167"/>
      <c r="H407" s="172"/>
      <c r="I407" s="166"/>
    </row>
    <row r="408" spans="1:9">
      <c r="A408" s="68"/>
      <c r="B408" s="170"/>
      <c r="C408" s="23"/>
      <c r="D408" s="171"/>
      <c r="E408" s="165"/>
      <c r="F408" s="166"/>
      <c r="G408" s="167"/>
      <c r="H408" s="172"/>
      <c r="I408" s="166"/>
    </row>
    <row r="409" spans="1:9">
      <c r="A409" s="68"/>
      <c r="B409" s="170"/>
      <c r="C409" s="23"/>
      <c r="D409" s="171"/>
      <c r="E409" s="165"/>
      <c r="F409" s="166"/>
      <c r="G409" s="167"/>
      <c r="H409" s="172"/>
      <c r="I409" s="166"/>
    </row>
    <row r="410" spans="1:9">
      <c r="A410" s="68"/>
      <c r="B410" s="170"/>
      <c r="C410" s="23"/>
      <c r="D410" s="171"/>
      <c r="E410" s="165"/>
      <c r="F410" s="166"/>
      <c r="G410" s="167"/>
      <c r="H410" s="172"/>
      <c r="I410" s="166"/>
    </row>
    <row r="411" spans="1:9">
      <c r="A411" s="68"/>
      <c r="B411" s="170"/>
      <c r="C411" s="23"/>
      <c r="D411" s="171"/>
      <c r="E411" s="165"/>
      <c r="F411" s="166"/>
      <c r="G411" s="167"/>
      <c r="H411" s="172"/>
      <c r="I411" s="166"/>
    </row>
    <row r="412" spans="1:9">
      <c r="A412" s="68"/>
      <c r="B412" s="170"/>
      <c r="C412" s="23"/>
      <c r="D412" s="171"/>
      <c r="E412" s="165"/>
      <c r="F412" s="166"/>
      <c r="G412" s="167"/>
      <c r="H412" s="172"/>
      <c r="I412" s="166"/>
    </row>
    <row r="413" spans="1:9">
      <c r="A413" s="68"/>
      <c r="B413" s="170"/>
      <c r="C413" s="23"/>
      <c r="D413" s="171"/>
      <c r="E413" s="165"/>
      <c r="F413" s="166"/>
      <c r="G413" s="167"/>
      <c r="H413" s="172"/>
      <c r="I413" s="166"/>
    </row>
    <row r="414" spans="1:9">
      <c r="A414" s="68"/>
      <c r="B414" s="170"/>
      <c r="C414" s="23"/>
      <c r="D414" s="171"/>
      <c r="E414" s="165"/>
      <c r="F414" s="166"/>
      <c r="G414" s="167"/>
      <c r="H414" s="172"/>
      <c r="I414" s="166"/>
    </row>
    <row r="415" spans="1:9">
      <c r="A415" s="68"/>
      <c r="B415" s="170"/>
      <c r="C415" s="23"/>
      <c r="D415" s="171"/>
      <c r="E415" s="165"/>
      <c r="F415" s="166"/>
      <c r="G415" s="167"/>
      <c r="H415" s="172"/>
      <c r="I415" s="166"/>
    </row>
    <row r="416" spans="1:9">
      <c r="A416" s="68"/>
      <c r="B416" s="170"/>
      <c r="C416" s="23"/>
      <c r="D416" s="171"/>
      <c r="E416" s="165"/>
      <c r="F416" s="166"/>
      <c r="G416" s="167"/>
      <c r="H416" s="172"/>
      <c r="I416" s="166"/>
    </row>
    <row r="417" spans="1:9">
      <c r="A417" s="68"/>
      <c r="B417" s="170"/>
      <c r="C417" s="23"/>
      <c r="D417" s="171"/>
      <c r="E417" s="165"/>
      <c r="F417" s="166"/>
      <c r="G417" s="167"/>
      <c r="H417" s="172"/>
      <c r="I417" s="166"/>
    </row>
    <row r="418" spans="1:9">
      <c r="A418" s="68"/>
      <c r="B418" s="170"/>
      <c r="C418" s="23"/>
      <c r="D418" s="171"/>
      <c r="E418" s="165"/>
      <c r="F418" s="166"/>
      <c r="G418" s="167"/>
      <c r="H418" s="172"/>
      <c r="I418" s="166"/>
    </row>
    <row r="419" spans="1:9">
      <c r="A419" s="68"/>
      <c r="B419" s="170"/>
      <c r="C419" s="23"/>
      <c r="D419" s="171"/>
      <c r="E419" s="165"/>
      <c r="F419" s="166"/>
      <c r="G419" s="167"/>
      <c r="H419" s="172"/>
      <c r="I419" s="166"/>
    </row>
    <row r="420" spans="1:9">
      <c r="A420" s="68"/>
      <c r="B420" s="170"/>
      <c r="C420" s="23"/>
      <c r="D420" s="171"/>
      <c r="E420" s="165"/>
      <c r="F420" s="166"/>
      <c r="G420" s="167"/>
      <c r="H420" s="172"/>
      <c r="I420" s="166"/>
    </row>
    <row r="421" spans="1:9">
      <c r="A421" s="68"/>
      <c r="B421" s="170"/>
      <c r="C421" s="23"/>
      <c r="D421" s="171"/>
      <c r="E421" s="165"/>
      <c r="F421" s="166"/>
      <c r="G421" s="167"/>
      <c r="H421" s="172"/>
      <c r="I421" s="166"/>
    </row>
    <row r="422" spans="1:9">
      <c r="A422" s="68"/>
      <c r="B422" s="170"/>
      <c r="C422" s="23"/>
      <c r="D422" s="171"/>
      <c r="E422" s="165"/>
      <c r="F422" s="166"/>
      <c r="G422" s="167"/>
      <c r="H422" s="172"/>
      <c r="I422" s="166"/>
    </row>
    <row r="423" spans="1:9">
      <c r="A423" s="68"/>
      <c r="B423" s="170"/>
      <c r="C423" s="23"/>
      <c r="D423" s="171"/>
      <c r="E423" s="165"/>
      <c r="F423" s="166"/>
      <c r="G423" s="167"/>
      <c r="H423" s="172"/>
      <c r="I423" s="166"/>
    </row>
    <row r="424" spans="1:9">
      <c r="A424" s="68"/>
      <c r="B424" s="170"/>
      <c r="C424" s="23"/>
      <c r="D424" s="171"/>
      <c r="E424" s="165"/>
      <c r="F424" s="166"/>
      <c r="G424" s="167"/>
      <c r="H424" s="172"/>
      <c r="I424" s="166"/>
    </row>
    <row r="425" spans="1:9">
      <c r="A425" s="68"/>
      <c r="B425" s="170"/>
      <c r="C425" s="23"/>
      <c r="D425" s="171"/>
      <c r="E425" s="165"/>
      <c r="F425" s="166"/>
      <c r="G425" s="167"/>
      <c r="H425" s="172"/>
      <c r="I425" s="166"/>
    </row>
    <row r="426" spans="1:9">
      <c r="A426" s="68"/>
      <c r="B426" s="170"/>
      <c r="C426" s="23"/>
      <c r="D426" s="171"/>
      <c r="E426" s="165"/>
      <c r="F426" s="166"/>
      <c r="G426" s="167"/>
      <c r="H426" s="172"/>
      <c r="I426" s="166"/>
    </row>
    <row r="427" spans="1:9">
      <c r="A427" s="68"/>
      <c r="B427" s="170"/>
      <c r="C427" s="23"/>
      <c r="D427" s="171"/>
      <c r="E427" s="165"/>
      <c r="F427" s="166"/>
      <c r="G427" s="167"/>
      <c r="H427" s="172"/>
      <c r="I427" s="166"/>
    </row>
    <row r="428" spans="1:9">
      <c r="A428" s="68"/>
      <c r="B428" s="170"/>
      <c r="C428" s="23"/>
      <c r="D428" s="171"/>
      <c r="E428" s="165"/>
      <c r="F428" s="166"/>
      <c r="G428" s="167"/>
      <c r="H428" s="172"/>
      <c r="I428" s="166"/>
    </row>
    <row r="429" spans="1:9">
      <c r="A429" s="68"/>
      <c r="B429" s="170"/>
      <c r="C429" s="23"/>
      <c r="D429" s="171"/>
      <c r="E429" s="165"/>
      <c r="F429" s="166"/>
      <c r="G429" s="167"/>
      <c r="H429" s="172"/>
      <c r="I429" s="166"/>
    </row>
    <row r="430" spans="1:9">
      <c r="A430" s="68"/>
      <c r="B430" s="170"/>
      <c r="C430" s="23"/>
      <c r="D430" s="171"/>
      <c r="E430" s="165"/>
      <c r="F430" s="166"/>
      <c r="G430" s="167"/>
      <c r="H430" s="172"/>
      <c r="I430" s="166"/>
    </row>
    <row r="431" spans="1:9">
      <c r="A431" s="68"/>
      <c r="B431" s="170"/>
      <c r="C431" s="23"/>
      <c r="D431" s="171"/>
      <c r="E431" s="165"/>
      <c r="F431" s="166"/>
      <c r="G431" s="167"/>
      <c r="H431" s="172"/>
      <c r="I431" s="166"/>
    </row>
    <row r="432" spans="1:9">
      <c r="A432" s="68"/>
      <c r="B432" s="170"/>
      <c r="C432" s="23"/>
      <c r="D432" s="171"/>
      <c r="E432" s="165"/>
      <c r="F432" s="166"/>
      <c r="G432" s="167"/>
      <c r="H432" s="172"/>
      <c r="I432" s="166"/>
    </row>
    <row r="433" spans="1:9">
      <c r="A433" s="68"/>
      <c r="B433" s="170"/>
      <c r="C433" s="23"/>
      <c r="D433" s="171"/>
      <c r="E433" s="165"/>
      <c r="F433" s="166"/>
      <c r="G433" s="167"/>
      <c r="H433" s="172"/>
      <c r="I433" s="166"/>
    </row>
    <row r="434" spans="1:9">
      <c r="A434" s="68"/>
      <c r="B434" s="170"/>
      <c r="C434" s="23"/>
      <c r="D434" s="171"/>
      <c r="E434" s="165"/>
      <c r="F434" s="166"/>
      <c r="G434" s="167"/>
      <c r="H434" s="172"/>
      <c r="I434" s="166"/>
    </row>
    <row r="435" spans="1:9">
      <c r="A435" s="68"/>
      <c r="B435" s="170"/>
      <c r="C435" s="23"/>
      <c r="D435" s="171"/>
      <c r="E435" s="165"/>
      <c r="F435" s="166"/>
      <c r="G435" s="167"/>
      <c r="H435" s="172"/>
      <c r="I435" s="166"/>
    </row>
    <row r="436" spans="1:9">
      <c r="A436" s="68"/>
      <c r="B436" s="170"/>
      <c r="C436" s="23"/>
      <c r="D436" s="171"/>
      <c r="E436" s="165"/>
      <c r="F436" s="166"/>
      <c r="G436" s="167"/>
      <c r="H436" s="172"/>
      <c r="I436" s="166"/>
    </row>
    <row r="437" spans="1:9">
      <c r="A437" s="68"/>
      <c r="B437" s="170"/>
      <c r="C437" s="23"/>
      <c r="D437" s="171"/>
      <c r="E437" s="165"/>
      <c r="F437" s="166"/>
      <c r="G437" s="167"/>
      <c r="H437" s="172"/>
      <c r="I437" s="166"/>
    </row>
    <row r="438" spans="1:9">
      <c r="A438" s="68"/>
      <c r="B438" s="170"/>
      <c r="C438" s="23"/>
      <c r="D438" s="171"/>
      <c r="E438" s="165"/>
      <c r="F438" s="166"/>
      <c r="G438" s="167"/>
      <c r="H438" s="172"/>
      <c r="I438" s="166"/>
    </row>
    <row r="439" spans="1:9">
      <c r="A439" s="68"/>
      <c r="B439" s="170"/>
      <c r="C439" s="23"/>
      <c r="D439" s="171"/>
      <c r="E439" s="165"/>
      <c r="F439" s="166"/>
      <c r="G439" s="167"/>
      <c r="H439" s="172"/>
      <c r="I439" s="166"/>
    </row>
    <row r="440" spans="1:9">
      <c r="A440" s="68"/>
      <c r="B440" s="170"/>
      <c r="C440" s="23"/>
      <c r="D440" s="171"/>
      <c r="E440" s="165"/>
      <c r="F440" s="166"/>
      <c r="G440" s="167"/>
      <c r="H440" s="172"/>
      <c r="I440" s="166"/>
    </row>
    <row r="441" spans="1:9">
      <c r="A441" s="68"/>
      <c r="B441" s="170"/>
      <c r="C441" s="23"/>
      <c r="D441" s="171"/>
      <c r="E441" s="165"/>
      <c r="F441" s="166"/>
      <c r="G441" s="167"/>
      <c r="H441" s="172"/>
      <c r="I441" s="166"/>
    </row>
    <row r="442" spans="1:9">
      <c r="A442" s="68"/>
      <c r="B442" s="170"/>
      <c r="C442" s="23"/>
      <c r="D442" s="171"/>
      <c r="E442" s="165"/>
      <c r="F442" s="166"/>
      <c r="G442" s="167"/>
      <c r="H442" s="172"/>
      <c r="I442" s="166"/>
    </row>
    <row r="443" spans="1:9">
      <c r="A443" s="68"/>
      <c r="B443" s="170"/>
      <c r="C443" s="23"/>
      <c r="D443" s="171"/>
      <c r="E443" s="165"/>
      <c r="F443" s="166"/>
      <c r="G443" s="167"/>
      <c r="H443" s="172"/>
      <c r="I443" s="166"/>
    </row>
    <row r="444" spans="1:9">
      <c r="A444" s="68"/>
      <c r="B444" s="170"/>
      <c r="C444" s="23"/>
      <c r="D444" s="171"/>
      <c r="E444" s="165"/>
      <c r="F444" s="166"/>
      <c r="G444" s="167"/>
      <c r="H444" s="172"/>
      <c r="I444" s="166"/>
    </row>
    <row r="445" spans="1:9">
      <c r="A445" s="68"/>
      <c r="B445" s="170"/>
      <c r="C445" s="23"/>
      <c r="D445" s="171"/>
      <c r="E445" s="165"/>
      <c r="F445" s="166"/>
      <c r="G445" s="167"/>
      <c r="H445" s="172"/>
      <c r="I445" s="166"/>
    </row>
    <row r="446" spans="1:9">
      <c r="A446" s="68"/>
      <c r="B446" s="170"/>
      <c r="C446" s="23"/>
      <c r="D446" s="171"/>
      <c r="E446" s="165"/>
      <c r="F446" s="166"/>
      <c r="G446" s="167"/>
      <c r="H446" s="172"/>
      <c r="I446" s="166"/>
    </row>
    <row r="447" spans="1:9">
      <c r="A447" s="68"/>
      <c r="B447" s="170"/>
      <c r="C447" s="23"/>
      <c r="D447" s="171"/>
      <c r="E447" s="165"/>
      <c r="F447" s="166"/>
      <c r="G447" s="167"/>
      <c r="H447" s="172"/>
      <c r="I447" s="166"/>
    </row>
    <row r="448" spans="1:9">
      <c r="A448" s="68"/>
      <c r="B448" s="170"/>
      <c r="C448" s="23"/>
      <c r="D448" s="171"/>
      <c r="E448" s="165"/>
      <c r="F448" s="166"/>
      <c r="G448" s="167"/>
      <c r="H448" s="172"/>
      <c r="I448" s="166"/>
    </row>
    <row r="449" spans="1:9">
      <c r="A449" s="68"/>
      <c r="B449" s="170"/>
      <c r="C449" s="23"/>
      <c r="D449" s="171"/>
      <c r="E449" s="165"/>
      <c r="F449" s="166"/>
      <c r="G449" s="167"/>
      <c r="H449" s="172"/>
      <c r="I449" s="166"/>
    </row>
    <row r="450" spans="1:9">
      <c r="A450" s="68"/>
      <c r="B450" s="170"/>
      <c r="C450" s="23"/>
      <c r="D450" s="171"/>
      <c r="E450" s="165"/>
      <c r="F450" s="166"/>
      <c r="G450" s="167"/>
      <c r="H450" s="172"/>
      <c r="I450" s="166"/>
    </row>
    <row r="451" spans="1:9">
      <c r="A451" s="68"/>
      <c r="B451" s="170"/>
      <c r="C451" s="23"/>
      <c r="D451" s="171"/>
      <c r="E451" s="165"/>
      <c r="F451" s="166"/>
      <c r="G451" s="167"/>
      <c r="H451" s="172"/>
      <c r="I451" s="166"/>
    </row>
    <row r="452" spans="1:9">
      <c r="A452" s="68"/>
      <c r="B452" s="170"/>
      <c r="C452" s="23"/>
      <c r="D452" s="171"/>
      <c r="E452" s="165"/>
      <c r="F452" s="166"/>
      <c r="G452" s="167"/>
      <c r="H452" s="172"/>
      <c r="I452" s="166"/>
    </row>
    <row r="453" spans="1:9">
      <c r="A453" s="68"/>
      <c r="B453" s="170"/>
      <c r="C453" s="23"/>
      <c r="D453" s="171"/>
      <c r="E453" s="165"/>
      <c r="F453" s="166"/>
      <c r="G453" s="167"/>
      <c r="H453" s="172"/>
      <c r="I453" s="166"/>
    </row>
    <row r="454" spans="1:9">
      <c r="A454" s="68"/>
      <c r="B454" s="170"/>
      <c r="C454" s="23"/>
      <c r="D454" s="171"/>
      <c r="E454" s="165"/>
      <c r="F454" s="166"/>
      <c r="G454" s="167"/>
      <c r="H454" s="172"/>
      <c r="I454" s="166"/>
    </row>
    <row r="455" spans="1:9">
      <c r="A455" s="68"/>
      <c r="B455" s="170"/>
      <c r="C455" s="23"/>
      <c r="D455" s="171"/>
      <c r="E455" s="165"/>
      <c r="F455" s="166"/>
      <c r="G455" s="167"/>
      <c r="H455" s="172"/>
      <c r="I455" s="166"/>
    </row>
    <row r="456" spans="1:9">
      <c r="A456" s="68"/>
      <c r="B456" s="170"/>
      <c r="C456" s="23"/>
      <c r="D456" s="171"/>
      <c r="E456" s="165"/>
      <c r="F456" s="166"/>
      <c r="G456" s="167"/>
      <c r="H456" s="172"/>
      <c r="I456" s="166"/>
    </row>
    <row r="457" spans="1:9">
      <c r="A457" s="68"/>
      <c r="B457" s="170"/>
      <c r="C457" s="23"/>
      <c r="D457" s="171"/>
      <c r="E457" s="165"/>
      <c r="F457" s="166"/>
      <c r="G457" s="167"/>
      <c r="H457" s="172"/>
      <c r="I457" s="166"/>
    </row>
    <row r="458" spans="1:9">
      <c r="A458" s="68"/>
      <c r="B458" s="170"/>
      <c r="C458" s="23"/>
      <c r="D458" s="171"/>
      <c r="E458" s="165"/>
      <c r="F458" s="166"/>
      <c r="G458" s="167"/>
      <c r="H458" s="172"/>
      <c r="I458" s="166"/>
    </row>
    <row r="459" spans="1:9">
      <c r="A459" s="68"/>
      <c r="B459" s="170"/>
      <c r="C459" s="23"/>
      <c r="D459" s="171"/>
      <c r="E459" s="165"/>
      <c r="F459" s="166"/>
      <c r="G459" s="167"/>
      <c r="H459" s="172"/>
      <c r="I459" s="166"/>
    </row>
    <row r="460" spans="1:9">
      <c r="A460" s="68"/>
      <c r="B460" s="170"/>
      <c r="C460" s="23"/>
      <c r="D460" s="171"/>
      <c r="E460" s="165"/>
      <c r="F460" s="166"/>
      <c r="G460" s="167"/>
      <c r="H460" s="172"/>
      <c r="I460" s="166"/>
    </row>
    <row r="461" spans="1:9">
      <c r="A461" s="68"/>
      <c r="B461" s="170"/>
      <c r="C461" s="23"/>
      <c r="D461" s="171"/>
      <c r="E461" s="165"/>
      <c r="F461" s="166"/>
      <c r="G461" s="167"/>
      <c r="H461" s="172"/>
      <c r="I461" s="166"/>
    </row>
    <row r="462" spans="1:9">
      <c r="A462" s="68"/>
      <c r="B462" s="170"/>
      <c r="C462" s="23"/>
      <c r="D462" s="171"/>
      <c r="E462" s="165"/>
      <c r="F462" s="166"/>
      <c r="G462" s="167"/>
      <c r="H462" s="172"/>
      <c r="I462" s="166"/>
    </row>
    <row r="463" spans="1:9">
      <c r="A463" s="68"/>
      <c r="B463" s="170"/>
      <c r="C463" s="23"/>
      <c r="D463" s="171"/>
      <c r="E463" s="165"/>
      <c r="F463" s="166"/>
      <c r="G463" s="167"/>
      <c r="H463" s="172"/>
      <c r="I463" s="166"/>
    </row>
    <row r="464" spans="1:9">
      <c r="A464" s="68"/>
      <c r="B464" s="170"/>
      <c r="C464" s="23"/>
      <c r="D464" s="171"/>
      <c r="E464" s="165"/>
      <c r="F464" s="166"/>
      <c r="G464" s="167"/>
      <c r="H464" s="172"/>
      <c r="I464" s="166"/>
    </row>
    <row r="465" spans="1:9">
      <c r="A465" s="68"/>
      <c r="B465" s="170"/>
      <c r="C465" s="23"/>
      <c r="D465" s="171"/>
      <c r="E465" s="165"/>
      <c r="F465" s="166"/>
      <c r="G465" s="167"/>
      <c r="H465" s="172"/>
      <c r="I465" s="166"/>
    </row>
    <row r="466" spans="1:9">
      <c r="A466" s="68"/>
      <c r="B466" s="170"/>
      <c r="C466" s="23"/>
      <c r="D466" s="171"/>
      <c r="E466" s="165"/>
      <c r="F466" s="166"/>
      <c r="G466" s="167"/>
      <c r="H466" s="172"/>
      <c r="I466" s="166"/>
    </row>
    <row r="467" spans="1:9">
      <c r="A467" s="68"/>
      <c r="B467" s="170"/>
      <c r="C467" s="23"/>
      <c r="D467" s="171"/>
      <c r="E467" s="165"/>
      <c r="F467" s="166"/>
      <c r="G467" s="167"/>
      <c r="H467" s="172"/>
      <c r="I467" s="166"/>
    </row>
  </sheetData>
  <autoFilter ref="A1:CP74"/>
  <mergeCells count="454"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A68:A69"/>
    <mergeCell ref="B68:B69"/>
    <mergeCell ref="C68:C69"/>
    <mergeCell ref="D68:D69"/>
    <mergeCell ref="E68:E69"/>
    <mergeCell ref="F68:F69"/>
    <mergeCell ref="G68:G69"/>
    <mergeCell ref="H68:H69"/>
    <mergeCell ref="I68:I69"/>
    <mergeCell ref="A62:A63"/>
    <mergeCell ref="B62:B63"/>
    <mergeCell ref="C62:C63"/>
    <mergeCell ref="D62:D63"/>
    <mergeCell ref="F62:F63"/>
    <mergeCell ref="G62:G63"/>
    <mergeCell ref="H62:H63"/>
    <mergeCell ref="A64:A65"/>
    <mergeCell ref="B64:B65"/>
    <mergeCell ref="C64:C65"/>
    <mergeCell ref="D64:D65"/>
    <mergeCell ref="E64:E65"/>
    <mergeCell ref="F64:F65"/>
    <mergeCell ref="G64:G65"/>
    <mergeCell ref="H64:H65"/>
    <mergeCell ref="E62:E63"/>
    <mergeCell ref="I64:I65"/>
    <mergeCell ref="A66:A67"/>
    <mergeCell ref="B66:B67"/>
    <mergeCell ref="C66:C67"/>
    <mergeCell ref="D66:D67"/>
    <mergeCell ref="E66:E67"/>
    <mergeCell ref="F66:F67"/>
    <mergeCell ref="G66:G67"/>
    <mergeCell ref="H66:H67"/>
    <mergeCell ref="I66:I67"/>
    <mergeCell ref="A59:A60"/>
    <mergeCell ref="A3:A4"/>
    <mergeCell ref="A5:A6"/>
    <mergeCell ref="A7:A8"/>
    <mergeCell ref="A9:A10"/>
    <mergeCell ref="E7:E8"/>
    <mergeCell ref="E11:E12"/>
    <mergeCell ref="A11:A12"/>
    <mergeCell ref="E13:E14"/>
    <mergeCell ref="A13:A14"/>
    <mergeCell ref="A15:A16"/>
    <mergeCell ref="A17:A18"/>
    <mergeCell ref="E17:E18"/>
    <mergeCell ref="A19:A20"/>
    <mergeCell ref="A21:A22"/>
    <mergeCell ref="E23:E24"/>
    <mergeCell ref="A23:A24"/>
    <mergeCell ref="B57:B58"/>
    <mergeCell ref="C57:C58"/>
    <mergeCell ref="B59:B60"/>
    <mergeCell ref="C59:C60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25:A26"/>
    <mergeCell ref="E27:E28"/>
    <mergeCell ref="A27:A28"/>
    <mergeCell ref="A29:A30"/>
    <mergeCell ref="A31:A32"/>
    <mergeCell ref="A33:A34"/>
    <mergeCell ref="E29:E30"/>
    <mergeCell ref="A35:A36"/>
    <mergeCell ref="A37:A38"/>
    <mergeCell ref="D41:D42"/>
    <mergeCell ref="E41:E42"/>
    <mergeCell ref="B35:B36"/>
    <mergeCell ref="C35:C36"/>
    <mergeCell ref="D35:D36"/>
    <mergeCell ref="E35:E36"/>
    <mergeCell ref="B29:B30"/>
    <mergeCell ref="C29:C30"/>
    <mergeCell ref="D29:D30"/>
    <mergeCell ref="E88:H88"/>
    <mergeCell ref="E25:E26"/>
    <mergeCell ref="A73:D73"/>
    <mergeCell ref="D59:D60"/>
    <mergeCell ref="E59:E60"/>
    <mergeCell ref="F59:F60"/>
    <mergeCell ref="G59:G60"/>
    <mergeCell ref="H59:H60"/>
    <mergeCell ref="H57:H58"/>
    <mergeCell ref="D57:D58"/>
    <mergeCell ref="E57:E58"/>
    <mergeCell ref="F57:F58"/>
    <mergeCell ref="G57:G58"/>
    <mergeCell ref="B55:B56"/>
    <mergeCell ref="C55:C56"/>
    <mergeCell ref="D55:D56"/>
    <mergeCell ref="E55:E56"/>
    <mergeCell ref="F55:F56"/>
    <mergeCell ref="G55:G56"/>
    <mergeCell ref="H55:H56"/>
    <mergeCell ref="G53:G54"/>
    <mergeCell ref="H53:H54"/>
    <mergeCell ref="B53:B54"/>
    <mergeCell ref="C53:C54"/>
    <mergeCell ref="D53:D54"/>
    <mergeCell ref="E53:E54"/>
    <mergeCell ref="F53:F54"/>
    <mergeCell ref="F47:F48"/>
    <mergeCell ref="G47:G48"/>
    <mergeCell ref="H47:H48"/>
    <mergeCell ref="B47:B48"/>
    <mergeCell ref="C47:C48"/>
    <mergeCell ref="D47:D48"/>
    <mergeCell ref="E47:E48"/>
    <mergeCell ref="H51:H52"/>
    <mergeCell ref="F49:F50"/>
    <mergeCell ref="G49:G50"/>
    <mergeCell ref="H49:H50"/>
    <mergeCell ref="B51:B52"/>
    <mergeCell ref="C51:C52"/>
    <mergeCell ref="D51:D52"/>
    <mergeCell ref="E51:E52"/>
    <mergeCell ref="F51:F52"/>
    <mergeCell ref="G51:G52"/>
    <mergeCell ref="B49:B50"/>
    <mergeCell ref="C49:C50"/>
    <mergeCell ref="D49:D50"/>
    <mergeCell ref="E49:E50"/>
    <mergeCell ref="F35:F36"/>
    <mergeCell ref="G35:G36"/>
    <mergeCell ref="H35:H36"/>
    <mergeCell ref="B45:B46"/>
    <mergeCell ref="C45:C46"/>
    <mergeCell ref="D45:D46"/>
    <mergeCell ref="E45:E46"/>
    <mergeCell ref="F45:F46"/>
    <mergeCell ref="G45:G46"/>
    <mergeCell ref="H45:H46"/>
    <mergeCell ref="H43:H44"/>
    <mergeCell ref="B43:B44"/>
    <mergeCell ref="C43:C44"/>
    <mergeCell ref="D43:D44"/>
    <mergeCell ref="E43:E44"/>
    <mergeCell ref="F43:F44"/>
    <mergeCell ref="G43:G44"/>
    <mergeCell ref="B41:B42"/>
    <mergeCell ref="C41:C42"/>
    <mergeCell ref="F41:F42"/>
    <mergeCell ref="G41:G42"/>
    <mergeCell ref="H41:H42"/>
    <mergeCell ref="F29:F30"/>
    <mergeCell ref="G29:G30"/>
    <mergeCell ref="H29:H30"/>
    <mergeCell ref="H39:H40"/>
    <mergeCell ref="B39:B40"/>
    <mergeCell ref="C39:C40"/>
    <mergeCell ref="D39:D40"/>
    <mergeCell ref="E39:E40"/>
    <mergeCell ref="F39:F40"/>
    <mergeCell ref="G39:G40"/>
    <mergeCell ref="G37:G38"/>
    <mergeCell ref="H37:H38"/>
    <mergeCell ref="B37:B38"/>
    <mergeCell ref="C37:C38"/>
    <mergeCell ref="D37:D38"/>
    <mergeCell ref="E37:E38"/>
    <mergeCell ref="F37:F38"/>
    <mergeCell ref="G33:G34"/>
    <mergeCell ref="H33:H34"/>
    <mergeCell ref="B33:B34"/>
    <mergeCell ref="C33:C34"/>
    <mergeCell ref="D33:D34"/>
    <mergeCell ref="E33:E34"/>
    <mergeCell ref="F33:F34"/>
    <mergeCell ref="B31:B32"/>
    <mergeCell ref="C31:C32"/>
    <mergeCell ref="D31:D32"/>
    <mergeCell ref="E31:E32"/>
    <mergeCell ref="F31:F32"/>
    <mergeCell ref="B15:B16"/>
    <mergeCell ref="C15:C16"/>
    <mergeCell ref="D15:D16"/>
    <mergeCell ref="E15:E16"/>
    <mergeCell ref="F15:F16"/>
    <mergeCell ref="B27:B28"/>
    <mergeCell ref="C27:C28"/>
    <mergeCell ref="D27:D28"/>
    <mergeCell ref="F27:F28"/>
    <mergeCell ref="B25:B26"/>
    <mergeCell ref="C25:C26"/>
    <mergeCell ref="D25:D26"/>
    <mergeCell ref="F25:F26"/>
    <mergeCell ref="B21:B22"/>
    <mergeCell ref="C21:C22"/>
    <mergeCell ref="D21:D22"/>
    <mergeCell ref="E21:E22"/>
    <mergeCell ref="F21:F22"/>
    <mergeCell ref="B23:B24"/>
    <mergeCell ref="F23:F24"/>
    <mergeCell ref="B19:B20"/>
    <mergeCell ref="C19:C20"/>
    <mergeCell ref="D19:D20"/>
    <mergeCell ref="E19:E20"/>
    <mergeCell ref="B17:B18"/>
    <mergeCell ref="C17:C18"/>
    <mergeCell ref="D17:D18"/>
    <mergeCell ref="F17:F18"/>
    <mergeCell ref="CJ1:CJ2"/>
    <mergeCell ref="B13:B14"/>
    <mergeCell ref="C13:C14"/>
    <mergeCell ref="D13:D14"/>
    <mergeCell ref="F13:F14"/>
    <mergeCell ref="G13:G14"/>
    <mergeCell ref="H13:H14"/>
    <mergeCell ref="B11:B12"/>
    <mergeCell ref="C11:C12"/>
    <mergeCell ref="D11:D12"/>
    <mergeCell ref="F11:F12"/>
    <mergeCell ref="G11:G12"/>
    <mergeCell ref="H11:H12"/>
    <mergeCell ref="B5:B6"/>
    <mergeCell ref="C5:C6"/>
    <mergeCell ref="D5:D6"/>
    <mergeCell ref="E5:E6"/>
    <mergeCell ref="F5:F6"/>
    <mergeCell ref="G5:G6"/>
    <mergeCell ref="H5:H6"/>
    <mergeCell ref="B9:B10"/>
    <mergeCell ref="C9:C10"/>
    <mergeCell ref="D9:D10"/>
    <mergeCell ref="CE1:CE2"/>
    <mergeCell ref="CP1:CP2"/>
    <mergeCell ref="B3:B4"/>
    <mergeCell ref="C3:C4"/>
    <mergeCell ref="D3:D4"/>
    <mergeCell ref="F3:F4"/>
    <mergeCell ref="G3:G4"/>
    <mergeCell ref="E3:E4"/>
    <mergeCell ref="CL1:CL2"/>
    <mergeCell ref="CM1:CM2"/>
    <mergeCell ref="CN1:CN2"/>
    <mergeCell ref="U1:U2"/>
    <mergeCell ref="Q1:Q2"/>
    <mergeCell ref="J1:J2"/>
    <mergeCell ref="K1:K2"/>
    <mergeCell ref="L1:L2"/>
    <mergeCell ref="CO1:CO2"/>
    <mergeCell ref="CK1:CK2"/>
    <mergeCell ref="CC1:CC2"/>
    <mergeCell ref="CG1:CG2"/>
    <mergeCell ref="B1:B2"/>
    <mergeCell ref="C1:C2"/>
    <mergeCell ref="D1:D2"/>
    <mergeCell ref="E1:E2"/>
    <mergeCell ref="CD1:CD2"/>
    <mergeCell ref="CF1:CF2"/>
    <mergeCell ref="CH1:CH2"/>
    <mergeCell ref="CI1:CI2"/>
    <mergeCell ref="T1:T2"/>
    <mergeCell ref="V1:V2"/>
    <mergeCell ref="W1:W2"/>
    <mergeCell ref="CB1:CB2"/>
    <mergeCell ref="BY1:BY2"/>
    <mergeCell ref="BZ1:BZ2"/>
    <mergeCell ref="CA1:CA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AI1:AI2"/>
    <mergeCell ref="AL1:AL2"/>
    <mergeCell ref="AM1:AM2"/>
    <mergeCell ref="AN1:AN2"/>
    <mergeCell ref="AO1:AO2"/>
    <mergeCell ref="AP1:AP2"/>
    <mergeCell ref="AQ1:AQ2"/>
    <mergeCell ref="AR1:AR2"/>
    <mergeCell ref="AJ1:AJ2"/>
    <mergeCell ref="AK1:AK2"/>
    <mergeCell ref="H17:H18"/>
    <mergeCell ref="G15:G16"/>
    <mergeCell ref="H15:H16"/>
    <mergeCell ref="P1:P2"/>
    <mergeCell ref="R1:R2"/>
    <mergeCell ref="S1:S2"/>
    <mergeCell ref="G27:G28"/>
    <mergeCell ref="H27:H28"/>
    <mergeCell ref="G25:G26"/>
    <mergeCell ref="H25:H26"/>
    <mergeCell ref="G21:G22"/>
    <mergeCell ref="H21:H22"/>
    <mergeCell ref="G23:G24"/>
    <mergeCell ref="H23:H24"/>
    <mergeCell ref="H1:H2"/>
    <mergeCell ref="H7:H8"/>
    <mergeCell ref="E9:E10"/>
    <mergeCell ref="G17:G18"/>
    <mergeCell ref="C23:C24"/>
    <mergeCell ref="D23:D24"/>
    <mergeCell ref="A57:A58"/>
    <mergeCell ref="A1:A2"/>
    <mergeCell ref="M1:M2"/>
    <mergeCell ref="N1:N2"/>
    <mergeCell ref="O1:O2"/>
    <mergeCell ref="F9:F10"/>
    <mergeCell ref="G9:G10"/>
    <mergeCell ref="H9:H10"/>
    <mergeCell ref="B7:B8"/>
    <mergeCell ref="C7:C8"/>
    <mergeCell ref="D7:D8"/>
    <mergeCell ref="F7:F8"/>
    <mergeCell ref="G7:G8"/>
    <mergeCell ref="I1:I2"/>
    <mergeCell ref="H3:H4"/>
    <mergeCell ref="F19:F20"/>
    <mergeCell ref="G19:G20"/>
    <mergeCell ref="H19:H20"/>
    <mergeCell ref="G31:G32"/>
    <mergeCell ref="H31:H32"/>
    <mergeCell ref="BB1:BB2"/>
    <mergeCell ref="BT1:BT2"/>
    <mergeCell ref="BU1:BU2"/>
    <mergeCell ref="BV1:BV2"/>
    <mergeCell ref="BW1:BW2"/>
    <mergeCell ref="BX1:BX2"/>
    <mergeCell ref="BC1:BC2"/>
    <mergeCell ref="BD1:BD2"/>
    <mergeCell ref="BE1:BE2"/>
    <mergeCell ref="BF1:BF2"/>
    <mergeCell ref="BG1:BG2"/>
    <mergeCell ref="BH1:BH2"/>
    <mergeCell ref="BI1:BI2"/>
    <mergeCell ref="BJ1:BJ2"/>
    <mergeCell ref="BK1:BK2"/>
    <mergeCell ref="BL1:BL2"/>
    <mergeCell ref="BM1:BM2"/>
    <mergeCell ref="BN1:BN2"/>
    <mergeCell ref="BO1:BO2"/>
    <mergeCell ref="BP1:BP2"/>
    <mergeCell ref="BQ1:BQ2"/>
    <mergeCell ref="BR1:BR2"/>
    <mergeCell ref="BS1:BS2"/>
    <mergeCell ref="AS1:AS2"/>
    <mergeCell ref="AT1:AT2"/>
    <mergeCell ref="AU1:AU2"/>
    <mergeCell ref="AV1:AV2"/>
    <mergeCell ref="AW1:AW2"/>
    <mergeCell ref="AX1:AX2"/>
    <mergeCell ref="AY1:AY2"/>
    <mergeCell ref="AZ1:AZ2"/>
    <mergeCell ref="BA1:BA2"/>
    <mergeCell ref="BY87:CB87"/>
    <mergeCell ref="CC87:CF87"/>
    <mergeCell ref="B75:R75"/>
    <mergeCell ref="E76:H76"/>
    <mergeCell ref="I76:L76"/>
    <mergeCell ref="M76:P76"/>
    <mergeCell ref="Q76:T76"/>
    <mergeCell ref="U76:X76"/>
    <mergeCell ref="Y76:AB76"/>
    <mergeCell ref="AC76:AF76"/>
    <mergeCell ref="AG76:AJ76"/>
    <mergeCell ref="AK76:AN76"/>
    <mergeCell ref="AO76:AR76"/>
    <mergeCell ref="CG76:CJ76"/>
    <mergeCell ref="CC76:CF76"/>
    <mergeCell ref="BY76:CB76"/>
    <mergeCell ref="BU76:BX76"/>
    <mergeCell ref="BQ76:BT76"/>
    <mergeCell ref="BM76:BP76"/>
    <mergeCell ref="BI76:BL76"/>
    <mergeCell ref="CG87:CJ87"/>
    <mergeCell ref="E87:H87"/>
    <mergeCell ref="I87:L87"/>
    <mergeCell ref="M87:P87"/>
    <mergeCell ref="Q87:T87"/>
    <mergeCell ref="U87:X87"/>
    <mergeCell ref="Y87:AB87"/>
    <mergeCell ref="AC87:AF87"/>
    <mergeCell ref="AG87:AJ87"/>
    <mergeCell ref="AK87:AN87"/>
    <mergeCell ref="AO87:AR87"/>
    <mergeCell ref="AS87:AV87"/>
    <mergeCell ref="AW87:AZ87"/>
    <mergeCell ref="BA87:BD87"/>
    <mergeCell ref="BE87:BH87"/>
    <mergeCell ref="BI87:BL87"/>
    <mergeCell ref="BM87:BP87"/>
    <mergeCell ref="AS88:AV88"/>
    <mergeCell ref="AW88:AZ88"/>
    <mergeCell ref="BA88:BD88"/>
    <mergeCell ref="BE88:BH88"/>
    <mergeCell ref="BI88:BL88"/>
    <mergeCell ref="BM88:BP88"/>
    <mergeCell ref="BQ88:BT88"/>
    <mergeCell ref="BU88:BX88"/>
    <mergeCell ref="AS76:AV76"/>
    <mergeCell ref="AW76:AZ76"/>
    <mergeCell ref="BA76:BD76"/>
    <mergeCell ref="BE76:BH76"/>
    <mergeCell ref="BQ87:BT87"/>
    <mergeCell ref="BU87:BX87"/>
    <mergeCell ref="I88:L88"/>
    <mergeCell ref="M88:P88"/>
    <mergeCell ref="Q88:T88"/>
    <mergeCell ref="U88:X88"/>
    <mergeCell ref="Y88:AB88"/>
    <mergeCell ref="AC88:AF88"/>
    <mergeCell ref="AG88:AJ88"/>
    <mergeCell ref="AK88:AN88"/>
    <mergeCell ref="AO88:AR88"/>
    <mergeCell ref="BY88:CB88"/>
    <mergeCell ref="CC88:CF88"/>
    <mergeCell ref="CG88:CJ88"/>
    <mergeCell ref="E90:H90"/>
    <mergeCell ref="I90:L90"/>
    <mergeCell ref="M90:P90"/>
    <mergeCell ref="Q90:T90"/>
    <mergeCell ref="U90:X90"/>
    <mergeCell ref="Y90:AB90"/>
    <mergeCell ref="AC90:AF90"/>
    <mergeCell ref="AG90:AJ90"/>
    <mergeCell ref="AK90:AN90"/>
    <mergeCell ref="AO90:AR90"/>
    <mergeCell ref="AS90:AV90"/>
    <mergeCell ref="AW90:AZ90"/>
    <mergeCell ref="BA90:BD90"/>
    <mergeCell ref="BE90:BH90"/>
    <mergeCell ref="BI90:BL90"/>
    <mergeCell ref="BM90:BP90"/>
    <mergeCell ref="BQ90:BT90"/>
    <mergeCell ref="BU90:BX90"/>
    <mergeCell ref="BY90:CB90"/>
    <mergeCell ref="CC90:CF90"/>
    <mergeCell ref="CG90:CJ90"/>
  </mergeCells>
  <phoneticPr fontId="3" type="noConversion"/>
  <pageMargins left="0.7" right="0.7" top="0.75" bottom="0.75" header="0.3" footer="0.3"/>
  <pageSetup paperSize="9" orientation="portrait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opLeftCell="A4" workbookViewId="0">
      <selection activeCell="L27" sqref="L27"/>
    </sheetView>
  </sheetViews>
  <sheetFormatPr defaultRowHeight="14.25"/>
  <cols>
    <col min="2" max="2" width="9.25" bestFit="1" customWidth="1"/>
  </cols>
  <sheetData>
    <row r="1" spans="1:13">
      <c r="A1" s="555" t="s">
        <v>1137</v>
      </c>
      <c r="B1" s="555">
        <v>2017</v>
      </c>
      <c r="C1" s="555"/>
      <c r="D1" s="555"/>
      <c r="E1" s="555">
        <v>2016</v>
      </c>
      <c r="F1" s="555"/>
      <c r="G1" s="555"/>
      <c r="H1" s="555">
        <v>2015</v>
      </c>
      <c r="I1" s="555"/>
      <c r="J1" s="555"/>
      <c r="K1" s="555" t="s">
        <v>1138</v>
      </c>
      <c r="L1" s="555" t="s">
        <v>1139</v>
      </c>
      <c r="M1" s="276"/>
    </row>
    <row r="2" spans="1:13">
      <c r="A2" s="555"/>
      <c r="B2" s="301" t="s">
        <v>1140</v>
      </c>
      <c r="C2" s="301" t="s">
        <v>1141</v>
      </c>
      <c r="D2" s="301" t="s">
        <v>1142</v>
      </c>
      <c r="E2" s="301" t="s">
        <v>1140</v>
      </c>
      <c r="F2" s="301" t="s">
        <v>1141</v>
      </c>
      <c r="G2" s="301" t="s">
        <v>1142</v>
      </c>
      <c r="H2" s="301" t="s">
        <v>1140</v>
      </c>
      <c r="I2" s="301" t="s">
        <v>1141</v>
      </c>
      <c r="J2" s="301" t="s">
        <v>1142</v>
      </c>
      <c r="K2" s="555"/>
      <c r="L2" s="555"/>
      <c r="M2" s="276"/>
    </row>
    <row r="3" spans="1:13">
      <c r="A3" s="301" t="s">
        <v>1144</v>
      </c>
      <c r="B3" s="301"/>
      <c r="C3" s="301"/>
      <c r="D3" s="290" t="e">
        <f>C3/30/B3</f>
        <v>#DIV/0!</v>
      </c>
      <c r="E3" s="301"/>
      <c r="F3" s="301"/>
      <c r="G3" s="290" t="e">
        <f>F3/30/E3</f>
        <v>#DIV/0!</v>
      </c>
      <c r="H3" s="301"/>
      <c r="I3" s="301"/>
      <c r="J3" s="290" t="e">
        <f>I3/30/H3</f>
        <v>#DIV/0!</v>
      </c>
      <c r="K3" s="291" t="e">
        <f>D3/G3-1</f>
        <v>#DIV/0!</v>
      </c>
      <c r="L3" s="291" t="e">
        <f>G3/J3-1</f>
        <v>#DIV/0!</v>
      </c>
      <c r="M3" s="278" t="e">
        <f>ROUND(AVERAGE(K3:L3),3)</f>
        <v>#DIV/0!</v>
      </c>
    </row>
    <row r="4" spans="1:13">
      <c r="A4" s="301" t="s">
        <v>1145</v>
      </c>
      <c r="B4" s="301"/>
      <c r="C4" s="301"/>
      <c r="D4" s="290" t="e">
        <f t="shared" ref="D4:D16" si="0">C4/30/B4</f>
        <v>#DIV/0!</v>
      </c>
      <c r="E4" s="301"/>
      <c r="F4" s="301"/>
      <c r="G4" s="290" t="e">
        <f t="shared" ref="G4:G16" si="1">F4/30/E4</f>
        <v>#DIV/0!</v>
      </c>
      <c r="H4" s="301"/>
      <c r="I4" s="301"/>
      <c r="J4" s="290" t="e">
        <f t="shared" ref="J4:J16" si="2">I4/30/H4</f>
        <v>#DIV/0!</v>
      </c>
      <c r="K4" s="291" t="e">
        <f t="shared" ref="K4:K16" si="3">D4/G4-1</f>
        <v>#DIV/0!</v>
      </c>
      <c r="L4" s="291" t="e">
        <f t="shared" ref="L4:L16" si="4">G4/J4-1</f>
        <v>#DIV/0!</v>
      </c>
      <c r="M4" s="278" t="e">
        <f t="shared" ref="M4:M7" si="5">ROUND(AVERAGE(K4:L4),3)</f>
        <v>#DIV/0!</v>
      </c>
    </row>
    <row r="5" spans="1:13">
      <c r="A5" s="301" t="s">
        <v>1146</v>
      </c>
      <c r="B5" s="301"/>
      <c r="C5" s="301"/>
      <c r="D5" s="290" t="e">
        <f t="shared" si="0"/>
        <v>#DIV/0!</v>
      </c>
      <c r="E5" s="301"/>
      <c r="F5" s="301"/>
      <c r="G5" s="290" t="e">
        <f>F5/30/E5</f>
        <v>#DIV/0!</v>
      </c>
      <c r="H5" s="301"/>
      <c r="I5" s="301"/>
      <c r="J5" s="290" t="e">
        <f t="shared" si="2"/>
        <v>#DIV/0!</v>
      </c>
      <c r="K5" s="291" t="e">
        <f t="shared" si="3"/>
        <v>#DIV/0!</v>
      </c>
      <c r="L5" s="291" t="e">
        <f>G5/J5-1</f>
        <v>#DIV/0!</v>
      </c>
      <c r="M5" s="278" t="e">
        <f t="shared" si="5"/>
        <v>#DIV/0!</v>
      </c>
    </row>
    <row r="6" spans="1:13">
      <c r="A6" s="301" t="s">
        <v>1147</v>
      </c>
      <c r="B6" s="301"/>
      <c r="C6" s="301"/>
      <c r="D6" s="290" t="e">
        <f t="shared" si="0"/>
        <v>#DIV/0!</v>
      </c>
      <c r="E6" s="301"/>
      <c r="F6" s="301"/>
      <c r="G6" s="290" t="e">
        <f t="shared" si="1"/>
        <v>#DIV/0!</v>
      </c>
      <c r="H6" s="301"/>
      <c r="I6" s="301"/>
      <c r="J6" s="290" t="e">
        <f t="shared" si="2"/>
        <v>#DIV/0!</v>
      </c>
      <c r="K6" s="291" t="e">
        <f t="shared" si="3"/>
        <v>#DIV/0!</v>
      </c>
      <c r="L6" s="291" t="e">
        <f t="shared" si="4"/>
        <v>#DIV/0!</v>
      </c>
      <c r="M6" s="278" t="e">
        <f t="shared" si="5"/>
        <v>#DIV/0!</v>
      </c>
    </row>
    <row r="7" spans="1:13">
      <c r="A7" s="301" t="s">
        <v>1148</v>
      </c>
      <c r="B7" s="301"/>
      <c r="C7" s="301"/>
      <c r="D7" s="290" t="e">
        <f t="shared" si="0"/>
        <v>#DIV/0!</v>
      </c>
      <c r="E7" s="301"/>
      <c r="F7" s="301"/>
      <c r="G7" s="290" t="e">
        <f t="shared" si="1"/>
        <v>#DIV/0!</v>
      </c>
      <c r="H7" s="301"/>
      <c r="I7" s="301"/>
      <c r="J7" s="290" t="e">
        <f t="shared" si="2"/>
        <v>#DIV/0!</v>
      </c>
      <c r="K7" s="291" t="e">
        <f t="shared" si="3"/>
        <v>#DIV/0!</v>
      </c>
      <c r="L7" s="291" t="e">
        <f t="shared" si="4"/>
        <v>#DIV/0!</v>
      </c>
      <c r="M7" s="278" t="e">
        <f t="shared" si="5"/>
        <v>#DIV/0!</v>
      </c>
    </row>
    <row r="8" spans="1:13">
      <c r="A8" s="301" t="s">
        <v>1149</v>
      </c>
      <c r="B8" s="301"/>
      <c r="C8" s="301"/>
      <c r="D8" s="290"/>
      <c r="E8" s="301"/>
      <c r="F8" s="301"/>
      <c r="G8" s="290"/>
      <c r="H8" s="301"/>
      <c r="I8" s="301"/>
      <c r="J8" s="290"/>
      <c r="K8" s="291"/>
      <c r="L8" s="291"/>
      <c r="M8" s="278"/>
    </row>
    <row r="9" spans="1:13">
      <c r="A9" s="301" t="s">
        <v>1150</v>
      </c>
      <c r="B9" s="301"/>
      <c r="C9" s="301"/>
      <c r="D9" s="290" t="e">
        <f t="shared" si="0"/>
        <v>#DIV/0!</v>
      </c>
      <c r="E9" s="301"/>
      <c r="F9" s="301"/>
      <c r="G9" s="290" t="e">
        <f t="shared" si="1"/>
        <v>#DIV/0!</v>
      </c>
      <c r="H9" s="301"/>
      <c r="I9" s="301"/>
      <c r="J9" s="290" t="e">
        <f t="shared" si="2"/>
        <v>#DIV/0!</v>
      </c>
      <c r="K9" s="291" t="e">
        <f t="shared" si="3"/>
        <v>#DIV/0!</v>
      </c>
      <c r="L9" s="291" t="e">
        <f t="shared" si="4"/>
        <v>#DIV/0!</v>
      </c>
      <c r="M9" s="278" t="e">
        <f>ROUND(AVERAGE(K9:L9),3)</f>
        <v>#DIV/0!</v>
      </c>
    </row>
    <row r="10" spans="1:13">
      <c r="A10" s="301" t="s">
        <v>1151</v>
      </c>
      <c r="B10" s="301"/>
      <c r="C10" s="301"/>
      <c r="D10" s="290" t="e">
        <f t="shared" si="0"/>
        <v>#DIV/0!</v>
      </c>
      <c r="E10" s="301"/>
      <c r="F10" s="301"/>
      <c r="G10" s="290" t="e">
        <f t="shared" si="1"/>
        <v>#DIV/0!</v>
      </c>
      <c r="H10" s="301"/>
      <c r="I10" s="301"/>
      <c r="J10" s="290" t="e">
        <f t="shared" si="2"/>
        <v>#DIV/0!</v>
      </c>
      <c r="K10" s="291" t="e">
        <f t="shared" si="3"/>
        <v>#DIV/0!</v>
      </c>
      <c r="L10" s="291" t="e">
        <f t="shared" si="4"/>
        <v>#DIV/0!</v>
      </c>
      <c r="M10" s="278" t="e">
        <f t="shared" ref="M10:M13" si="6">ROUND(AVERAGE(K10:L10),3)</f>
        <v>#DIV/0!</v>
      </c>
    </row>
    <row r="11" spans="1:13">
      <c r="A11" s="301" t="s">
        <v>1152</v>
      </c>
      <c r="B11" s="301"/>
      <c r="C11" s="301"/>
      <c r="D11" s="290" t="e">
        <f t="shared" si="0"/>
        <v>#DIV/0!</v>
      </c>
      <c r="E11" s="301"/>
      <c r="F11" s="301"/>
      <c r="G11" s="290" t="e">
        <f t="shared" si="1"/>
        <v>#DIV/0!</v>
      </c>
      <c r="H11" s="301"/>
      <c r="I11" s="301"/>
      <c r="J11" s="290" t="e">
        <f t="shared" si="2"/>
        <v>#DIV/0!</v>
      </c>
      <c r="K11" s="291" t="e">
        <f>D11/G11-1</f>
        <v>#DIV/0!</v>
      </c>
      <c r="L11" s="291" t="e">
        <f t="shared" si="4"/>
        <v>#DIV/0!</v>
      </c>
      <c r="M11" s="278" t="e">
        <f t="shared" si="6"/>
        <v>#DIV/0!</v>
      </c>
    </row>
    <row r="12" spans="1:13">
      <c r="A12" s="301" t="s">
        <v>1153</v>
      </c>
      <c r="B12" s="301"/>
      <c r="C12" s="301"/>
      <c r="D12" s="290" t="e">
        <f t="shared" si="0"/>
        <v>#DIV/0!</v>
      </c>
      <c r="E12" s="301"/>
      <c r="F12" s="301"/>
      <c r="G12" s="290" t="e">
        <f t="shared" si="1"/>
        <v>#DIV/0!</v>
      </c>
      <c r="H12" s="301"/>
      <c r="I12" s="301"/>
      <c r="J12" s="290" t="e">
        <f t="shared" si="2"/>
        <v>#DIV/0!</v>
      </c>
      <c r="K12" s="291" t="e">
        <f>D12/G12-1</f>
        <v>#DIV/0!</v>
      </c>
      <c r="L12" s="291" t="e">
        <f t="shared" si="4"/>
        <v>#DIV/0!</v>
      </c>
      <c r="M12" s="278" t="e">
        <f t="shared" si="6"/>
        <v>#DIV/0!</v>
      </c>
    </row>
    <row r="13" spans="1:13">
      <c r="A13" s="301" t="s">
        <v>1154</v>
      </c>
      <c r="B13" s="301"/>
      <c r="C13" s="301"/>
      <c r="D13" s="290" t="e">
        <f>C13/30/B13</f>
        <v>#DIV/0!</v>
      </c>
      <c r="E13" s="301"/>
      <c r="F13" s="301"/>
      <c r="G13" s="290" t="e">
        <f>G12</f>
        <v>#DIV/0!</v>
      </c>
      <c r="H13" s="301"/>
      <c r="I13" s="301"/>
      <c r="J13" s="290" t="e">
        <f>J12</f>
        <v>#DIV/0!</v>
      </c>
      <c r="K13" s="291" t="e">
        <f>D13/G13-1</f>
        <v>#DIV/0!</v>
      </c>
      <c r="L13" s="291" t="e">
        <f t="shared" si="4"/>
        <v>#DIV/0!</v>
      </c>
      <c r="M13" s="278" t="e">
        <f t="shared" si="6"/>
        <v>#DIV/0!</v>
      </c>
    </row>
    <row r="14" spans="1:13">
      <c r="A14" s="301" t="s">
        <v>1155</v>
      </c>
      <c r="B14" s="301"/>
      <c r="C14" s="301"/>
      <c r="D14" s="290" t="e">
        <f t="shared" si="0"/>
        <v>#DIV/0!</v>
      </c>
      <c r="E14" s="301"/>
      <c r="F14" s="301"/>
      <c r="G14" s="290" t="e">
        <f t="shared" si="1"/>
        <v>#DIV/0!</v>
      </c>
      <c r="H14" s="301"/>
      <c r="I14" s="301"/>
      <c r="J14" s="290" t="e">
        <f t="shared" si="2"/>
        <v>#DIV/0!</v>
      </c>
      <c r="K14" s="291" t="e">
        <f>D14/G14-1</f>
        <v>#DIV/0!</v>
      </c>
      <c r="L14" s="291" t="e">
        <f t="shared" si="4"/>
        <v>#DIV/0!</v>
      </c>
      <c r="M14" s="278" t="e">
        <f>ROUND(AVERAGE(K14:L14),3)</f>
        <v>#DIV/0!</v>
      </c>
    </row>
    <row r="15" spans="1:13">
      <c r="A15" s="301" t="s">
        <v>1156</v>
      </c>
      <c r="B15" s="301"/>
      <c r="C15" s="301"/>
      <c r="D15" s="290"/>
      <c r="E15" s="301"/>
      <c r="F15" s="301"/>
      <c r="G15" s="290"/>
      <c r="H15" s="301"/>
      <c r="I15" s="301"/>
      <c r="J15" s="290"/>
      <c r="K15" s="291"/>
      <c r="L15" s="291"/>
      <c r="M15" s="276"/>
    </row>
    <row r="16" spans="1:13">
      <c r="A16" s="301" t="s">
        <v>1157</v>
      </c>
      <c r="B16" s="301"/>
      <c r="C16" s="301"/>
      <c r="D16" s="290" t="e">
        <f t="shared" si="0"/>
        <v>#DIV/0!</v>
      </c>
      <c r="E16" s="301"/>
      <c r="F16" s="301"/>
      <c r="G16" s="290" t="e">
        <f t="shared" si="1"/>
        <v>#DIV/0!</v>
      </c>
      <c r="H16" s="301"/>
      <c r="I16" s="301"/>
      <c r="J16" s="290" t="e">
        <f t="shared" si="2"/>
        <v>#DIV/0!</v>
      </c>
      <c r="K16" s="291" t="e">
        <f t="shared" si="3"/>
        <v>#DIV/0!</v>
      </c>
      <c r="L16" s="291" t="e">
        <f t="shared" si="4"/>
        <v>#DIV/0!</v>
      </c>
      <c r="M16" s="278" t="e">
        <f>ROUND(AVERAGE(K16:L16),3)</f>
        <v>#DIV/0!</v>
      </c>
    </row>
    <row r="17" spans="1:13">
      <c r="A17" s="276"/>
      <c r="B17" s="276"/>
      <c r="C17" s="276"/>
      <c r="D17" s="276"/>
      <c r="E17" s="276"/>
      <c r="F17" s="276"/>
      <c r="G17" s="276"/>
      <c r="H17" s="276"/>
      <c r="I17" s="276"/>
      <c r="J17" s="276"/>
      <c r="K17" s="278"/>
      <c r="L17" s="278"/>
      <c r="M17" s="276"/>
    </row>
    <row r="18" spans="1:13">
      <c r="A18" s="276"/>
      <c r="B18" s="276"/>
      <c r="C18" s="276"/>
      <c r="D18" s="276"/>
      <c r="E18" s="276"/>
      <c r="F18" s="276"/>
      <c r="G18" s="276"/>
      <c r="H18" s="276"/>
      <c r="I18" s="276"/>
      <c r="J18" s="276"/>
      <c r="K18" s="278"/>
      <c r="L18" s="278"/>
      <c r="M18" s="276"/>
    </row>
    <row r="19" spans="1:13">
      <c r="A19" s="285" t="s">
        <v>1158</v>
      </c>
      <c r="B19" s="301">
        <f>B3-B23</f>
        <v>-4832.8</v>
      </c>
      <c r="C19" s="292">
        <f>C3-B24</f>
        <v>-483333.33</v>
      </c>
      <c r="D19" s="290">
        <f>C19/30/B19</f>
        <v>3.3337011670253269</v>
      </c>
      <c r="E19" s="301">
        <f>E3-B23</f>
        <v>-4832.8</v>
      </c>
      <c r="F19" s="301">
        <f>F3-B24</f>
        <v>-483333.33</v>
      </c>
      <c r="G19" s="290">
        <f>F19/30/E19</f>
        <v>3.3337011670253269</v>
      </c>
      <c r="H19" s="301">
        <f>H3-B23</f>
        <v>-4832.8</v>
      </c>
      <c r="I19" s="301">
        <f>I3-B24</f>
        <v>-483333.33</v>
      </c>
      <c r="J19" s="290">
        <f>I19/30/H19</f>
        <v>3.3337011670253269</v>
      </c>
      <c r="K19" s="291">
        <f>D19/G19-1</f>
        <v>0</v>
      </c>
      <c r="L19" s="291">
        <f t="shared" ref="L19" si="7">G19/J19-1</f>
        <v>0</v>
      </c>
      <c r="M19" s="278">
        <f>ROUND(AVERAGE(K19:L19),3)</f>
        <v>0</v>
      </c>
    </row>
    <row r="20" spans="1:13">
      <c r="A20" s="276"/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spans="1:13">
      <c r="A21" s="276"/>
      <c r="B21" s="276"/>
      <c r="C21" s="276"/>
      <c r="D21" s="276"/>
      <c r="E21" s="554" t="s">
        <v>1263</v>
      </c>
      <c r="F21" s="554"/>
      <c r="G21" s="554"/>
      <c r="H21" s="554"/>
      <c r="I21" s="276"/>
      <c r="J21" s="276"/>
      <c r="K21" s="276"/>
      <c r="L21" s="276"/>
      <c r="M21" s="276"/>
    </row>
    <row r="22" spans="1:13">
      <c r="A22" s="276"/>
      <c r="B22" s="276"/>
      <c r="C22" s="276"/>
      <c r="D22" s="276"/>
      <c r="E22" s="301"/>
      <c r="F22" s="301" t="s">
        <v>1244</v>
      </c>
      <c r="G22" s="301" t="s">
        <v>1259</v>
      </c>
      <c r="H22" s="301" t="s">
        <v>1262</v>
      </c>
      <c r="I22" s="276"/>
      <c r="J22" s="276"/>
      <c r="K22" s="276"/>
      <c r="L22" s="276"/>
      <c r="M22" s="276"/>
    </row>
    <row r="23" spans="1:13">
      <c r="A23" s="301" t="s">
        <v>1159</v>
      </c>
      <c r="B23" s="292">
        <v>4832.8</v>
      </c>
      <c r="C23" s="276"/>
      <c r="D23" s="276"/>
      <c r="E23" s="301" t="s">
        <v>1260</v>
      </c>
      <c r="F23" s="301">
        <v>4065.8</v>
      </c>
      <c r="G23" s="301">
        <v>4000000</v>
      </c>
      <c r="H23" s="301">
        <f>G23/F23/365</f>
        <v>2.6953869126836145</v>
      </c>
      <c r="I23" s="276"/>
      <c r="J23" s="276"/>
      <c r="K23" s="276"/>
      <c r="L23" s="276"/>
      <c r="M23" s="276"/>
    </row>
    <row r="24" spans="1:13">
      <c r="A24" s="301" t="s">
        <v>1160</v>
      </c>
      <c r="B24" s="292">
        <f>[2]楼盘租金明细表!G286</f>
        <v>483333.33</v>
      </c>
      <c r="C24" s="562">
        <f>B24*12</f>
        <v>5799999.96</v>
      </c>
      <c r="D24" s="563"/>
      <c r="E24" s="301" t="s">
        <v>1261</v>
      </c>
      <c r="F24" s="301">
        <v>767</v>
      </c>
      <c r="G24" s="301">
        <v>6400000</v>
      </c>
      <c r="H24" s="301">
        <f>G24/F24/365</f>
        <v>22.86081691700452</v>
      </c>
      <c r="I24" s="276"/>
      <c r="J24" s="563"/>
      <c r="K24" s="563"/>
      <c r="L24" s="276"/>
      <c r="M24" s="276"/>
    </row>
    <row r="25" spans="1:13">
      <c r="A25" s="276"/>
      <c r="B25" s="276">
        <f>B24/B23/30</f>
        <v>3.3337011670253269</v>
      </c>
      <c r="C25" s="276"/>
      <c r="D25" s="276"/>
      <c r="E25" s="301"/>
      <c r="F25" s="301">
        <f>F23+F24</f>
        <v>4832.8</v>
      </c>
      <c r="G25" s="301">
        <f>G23+G24</f>
        <v>10400000</v>
      </c>
      <c r="H25" s="301">
        <f>G25/F25/365</f>
        <v>5.8957851938692905</v>
      </c>
      <c r="I25" s="276"/>
      <c r="J25" s="276"/>
      <c r="K25" s="276"/>
      <c r="L25" s="276"/>
      <c r="M25" s="276"/>
    </row>
    <row r="26" spans="1:13">
      <c r="A26" s="276"/>
      <c r="B26" s="276"/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</row>
    <row r="27" spans="1:13">
      <c r="A27" s="555" t="s">
        <v>1240</v>
      </c>
      <c r="B27" s="555"/>
      <c r="C27" s="555"/>
      <c r="D27" s="555"/>
      <c r="E27" s="555"/>
      <c r="F27" s="276"/>
      <c r="G27" s="555" t="s">
        <v>1241</v>
      </c>
      <c r="H27" s="555"/>
      <c r="I27" s="555"/>
      <c r="J27" s="555"/>
      <c r="K27" s="276"/>
      <c r="L27" s="276"/>
      <c r="M27" s="276"/>
    </row>
    <row r="28" spans="1:13">
      <c r="A28" s="301"/>
      <c r="B28" s="301">
        <v>2017</v>
      </c>
      <c r="C28" s="301">
        <v>2016</v>
      </c>
      <c r="D28" s="301">
        <v>2015</v>
      </c>
      <c r="E28" s="301"/>
      <c r="F28" s="276"/>
      <c r="G28" s="301"/>
      <c r="H28" s="301">
        <v>2017</v>
      </c>
      <c r="I28" s="301">
        <v>2016</v>
      </c>
      <c r="J28" s="301">
        <v>2015</v>
      </c>
      <c r="K28" s="276"/>
      <c r="L28" s="276"/>
      <c r="M28" s="276"/>
    </row>
    <row r="29" spans="1:13">
      <c r="A29" s="301" t="s">
        <v>1163</v>
      </c>
      <c r="B29" s="301">
        <f>SUM(B3:B16)</f>
        <v>0</v>
      </c>
      <c r="C29" s="301">
        <f>SUM(E3:E16)</f>
        <v>0</v>
      </c>
      <c r="D29" s="301">
        <f>SUM(H3:H16)</f>
        <v>0</v>
      </c>
      <c r="E29" s="301"/>
      <c r="F29" s="276"/>
      <c r="G29" s="301" t="s">
        <v>1242</v>
      </c>
      <c r="H29" s="286">
        <f>15016437.228/10000</f>
        <v>1501.6437228</v>
      </c>
      <c r="I29" s="301">
        <f>21915135.02/10000</f>
        <v>2191.5135019999998</v>
      </c>
      <c r="J29" s="301">
        <f>25030578.57/10000</f>
        <v>2503.0578570000002</v>
      </c>
      <c r="K29" s="276"/>
      <c r="L29" s="276"/>
      <c r="M29" s="276"/>
    </row>
    <row r="30" spans="1:13">
      <c r="A30" s="301" t="s">
        <v>1164</v>
      </c>
      <c r="B30" s="301">
        <f>基础资料!H28</f>
        <v>50293.760000000002</v>
      </c>
      <c r="C30" s="301">
        <f>B30</f>
        <v>50293.760000000002</v>
      </c>
      <c r="D30" s="301">
        <f>C30</f>
        <v>50293.760000000002</v>
      </c>
      <c r="E30" s="301"/>
      <c r="F30" s="276"/>
      <c r="G30" s="301" t="s">
        <v>1243</v>
      </c>
      <c r="H30" s="301">
        <f>ROUND(AVERAGE(H29:J29),0)</f>
        <v>2065</v>
      </c>
      <c r="I30" s="301"/>
      <c r="J30" s="301"/>
      <c r="K30" s="276"/>
      <c r="L30" s="276"/>
      <c r="M30" s="276"/>
    </row>
    <row r="31" spans="1:13">
      <c r="A31" s="301" t="s">
        <v>1165</v>
      </c>
      <c r="B31" s="293">
        <f>ROUND(B29/B30,3)</f>
        <v>0</v>
      </c>
      <c r="C31" s="293">
        <f t="shared" ref="C31:D31" si="8">ROUND(C29/C30,3)</f>
        <v>0</v>
      </c>
      <c r="D31" s="293">
        <f t="shared" si="8"/>
        <v>0</v>
      </c>
      <c r="E31" s="293">
        <f>ROUND(AVERAGE(B31:D31),3)</f>
        <v>0</v>
      </c>
      <c r="F31" s="276"/>
      <c r="G31" s="276"/>
      <c r="H31" s="276"/>
      <c r="I31" s="276"/>
      <c r="J31" s="276"/>
      <c r="K31" s="276"/>
      <c r="L31" s="276"/>
      <c r="M31" s="276"/>
    </row>
    <row r="32" spans="1:13">
      <c r="A32" s="276"/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</row>
    <row r="33" spans="1:13">
      <c r="A33" s="276"/>
      <c r="B33" s="276"/>
      <c r="C33" s="276"/>
      <c r="D33" s="276"/>
      <c r="E33" s="276"/>
      <c r="F33" s="276"/>
      <c r="G33" s="294"/>
      <c r="H33" s="294" t="s">
        <v>1244</v>
      </c>
      <c r="I33" s="294" t="s">
        <v>1245</v>
      </c>
      <c r="J33" s="276"/>
      <c r="K33" s="276"/>
      <c r="L33" s="276"/>
      <c r="M33" s="276"/>
    </row>
    <row r="34" spans="1:13">
      <c r="A34" s="276"/>
      <c r="B34" s="276"/>
      <c r="C34" s="276"/>
      <c r="D34" s="276"/>
      <c r="E34" s="276"/>
      <c r="F34" s="276"/>
      <c r="G34" s="295" t="s">
        <v>597</v>
      </c>
      <c r="H34" s="296">
        <f>地下仓储现金流!F82</f>
        <v>6440.47</v>
      </c>
      <c r="I34" s="294">
        <f>ROUND(H34/H36*H29,0)</f>
        <v>195</v>
      </c>
      <c r="J34" s="276"/>
      <c r="K34" s="276"/>
      <c r="L34" s="276"/>
      <c r="M34" s="276"/>
    </row>
    <row r="35" spans="1:13">
      <c r="A35" s="276"/>
      <c r="B35" s="276"/>
      <c r="C35" s="276"/>
      <c r="D35" s="276"/>
      <c r="E35" s="276"/>
      <c r="F35" s="276"/>
      <c r="G35" s="295" t="s">
        <v>630</v>
      </c>
      <c r="H35" s="294">
        <f>地上商业现金流!F397</f>
        <v>43141.430005479444</v>
      </c>
      <c r="I35" s="294">
        <f>ROUND(H29-I34,0)</f>
        <v>1307</v>
      </c>
      <c r="J35" s="276"/>
      <c r="K35" s="276"/>
      <c r="L35" s="276"/>
      <c r="M35" s="276"/>
    </row>
    <row r="36" spans="1:13">
      <c r="A36" s="276"/>
      <c r="B36" s="276"/>
      <c r="C36" s="276"/>
      <c r="D36" s="276"/>
      <c r="E36" s="276"/>
      <c r="F36" s="276"/>
      <c r="G36" s="294" t="s">
        <v>609</v>
      </c>
      <c r="H36" s="294">
        <f>H34+H35</f>
        <v>49581.900005479445</v>
      </c>
      <c r="I36" s="294">
        <f>I34+I35</f>
        <v>1502</v>
      </c>
      <c r="J36" s="276"/>
      <c r="K36" s="276"/>
      <c r="L36" s="276"/>
      <c r="M36" s="276"/>
    </row>
  </sheetData>
  <mergeCells count="11">
    <mergeCell ref="E21:H21"/>
    <mergeCell ref="C24:D24"/>
    <mergeCell ref="J24:K24"/>
    <mergeCell ref="A27:E27"/>
    <mergeCell ref="G27:J27"/>
    <mergeCell ref="L1:L2"/>
    <mergeCell ref="A1:A2"/>
    <mergeCell ref="B1:D1"/>
    <mergeCell ref="E1:G1"/>
    <mergeCell ref="H1:J1"/>
    <mergeCell ref="K1:K2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L15"/>
  <sheetViews>
    <sheetView tabSelected="1" workbookViewId="0">
      <selection activeCell="G23" sqref="G23"/>
    </sheetView>
  </sheetViews>
  <sheetFormatPr defaultRowHeight="13.5"/>
  <cols>
    <col min="1" max="2" width="9" style="383"/>
    <col min="3" max="4" width="9.5" style="383" customWidth="1"/>
    <col min="5" max="5" width="10.75" style="383" customWidth="1"/>
    <col min="6" max="6" width="11.875" style="383" customWidth="1"/>
    <col min="7" max="7" width="9.25" style="383" customWidth="1"/>
    <col min="8" max="8" width="9" style="383"/>
    <col min="9" max="9" width="11.625" style="383" customWidth="1"/>
    <col min="10" max="10" width="11" style="383" customWidth="1"/>
    <col min="11" max="16384" width="9" style="383"/>
  </cols>
  <sheetData>
    <row r="1" spans="2:12" ht="14.25">
      <c r="B1" s="380"/>
      <c r="C1" s="433" t="s">
        <v>1427</v>
      </c>
      <c r="D1" s="433"/>
      <c r="E1" s="381"/>
      <c r="F1" s="380"/>
      <c r="G1" s="433" t="s">
        <v>1431</v>
      </c>
      <c r="H1" s="433"/>
      <c r="I1" s="382"/>
      <c r="J1" s="380"/>
      <c r="K1" s="433" t="s">
        <v>1436</v>
      </c>
      <c r="L1" s="433"/>
    </row>
    <row r="2" spans="2:12" ht="14.25">
      <c r="B2" s="380" t="s">
        <v>1425</v>
      </c>
      <c r="C2" s="380">
        <v>0.4</v>
      </c>
      <c r="D2" s="380">
        <f>1-C2</f>
        <v>0.6</v>
      </c>
      <c r="E2" s="381"/>
      <c r="F2" s="380" t="s">
        <v>1425</v>
      </c>
      <c r="G2" s="380">
        <v>0.4</v>
      </c>
      <c r="H2" s="380">
        <f>1-G2</f>
        <v>0.6</v>
      </c>
      <c r="I2" s="384"/>
      <c r="J2" s="380" t="s">
        <v>1425</v>
      </c>
      <c r="K2" s="380">
        <v>0.4</v>
      </c>
      <c r="L2" s="380">
        <f>1-K2</f>
        <v>0.6</v>
      </c>
    </row>
    <row r="3" spans="2:12" ht="14.25">
      <c r="B3" s="380" t="s">
        <v>1426</v>
      </c>
      <c r="C3" s="380" t="s">
        <v>1432</v>
      </c>
      <c r="D3" s="380" t="s">
        <v>1433</v>
      </c>
      <c r="E3" s="381"/>
      <c r="F3" s="380" t="s">
        <v>1426</v>
      </c>
      <c r="G3" s="380" t="s">
        <v>1435</v>
      </c>
      <c r="H3" s="380" t="s">
        <v>1434</v>
      </c>
      <c r="I3" s="384"/>
      <c r="J3" s="380" t="s">
        <v>1426</v>
      </c>
      <c r="K3" s="380" t="s">
        <v>1438</v>
      </c>
      <c r="L3" s="380" t="s">
        <v>1437</v>
      </c>
    </row>
    <row r="4" spans="2:12" ht="14.25">
      <c r="B4" s="380" t="s">
        <v>1428</v>
      </c>
      <c r="C4" s="380">
        <f ca="1">'[1]成本法-地下车库'!$B$2</f>
        <v>35035</v>
      </c>
      <c r="D4" s="380">
        <f>ROUND(地下车库现金流!D25/10000,0)</f>
        <v>13653</v>
      </c>
      <c r="E4" s="381"/>
      <c r="F4" s="380" t="s">
        <v>1428</v>
      </c>
      <c r="G4" s="380">
        <f ca="1">'[1]成本法-地下仓储'!$B$2</f>
        <v>25166</v>
      </c>
      <c r="H4" s="380">
        <f>ROUND(地下仓储现金流!D98/10000,0)</f>
        <v>37561</v>
      </c>
      <c r="I4" s="384"/>
      <c r="J4" s="380" t="s">
        <v>1428</v>
      </c>
      <c r="K4" s="380">
        <f>[1]典型户型修正!$S$22</f>
        <v>505303</v>
      </c>
      <c r="L4" s="380">
        <f>ROUND(地上商业现金流!D413/10000,0)</f>
        <v>250740</v>
      </c>
    </row>
    <row r="5" spans="2:12" ht="14.25">
      <c r="B5" s="380" t="s">
        <v>1429</v>
      </c>
      <c r="C5" s="380">
        <f ca="1">'[1]成本法-地下车库'!$B$3</f>
        <v>14660</v>
      </c>
      <c r="D5" s="380">
        <f>地下车库现金流!D27</f>
        <v>5713</v>
      </c>
      <c r="E5" s="381"/>
      <c r="F5" s="380" t="s">
        <v>1429</v>
      </c>
      <c r="G5" s="380">
        <f ca="1">'[1]成本法-地下仓储'!$B$3</f>
        <v>18407</v>
      </c>
      <c r="H5" s="380">
        <f>地下仓储现金流!D100</f>
        <v>27472</v>
      </c>
      <c r="I5" s="384"/>
      <c r="J5" s="380" t="s">
        <v>1429</v>
      </c>
      <c r="K5" s="380">
        <f>[1]典型户型修正!$R$22</f>
        <v>84228</v>
      </c>
      <c r="L5" s="380">
        <f>地上商业现金流!D415</f>
        <v>41795</v>
      </c>
    </row>
    <row r="6" spans="2:12" ht="14.25">
      <c r="B6" s="380" t="s">
        <v>1430</v>
      </c>
      <c r="C6" s="433">
        <f ca="1">ROUND(C4*C2+D4*D2,0)</f>
        <v>22206</v>
      </c>
      <c r="D6" s="433"/>
      <c r="E6" s="381"/>
      <c r="F6" s="380" t="s">
        <v>1430</v>
      </c>
      <c r="G6" s="433">
        <f ca="1">ROUND(G4*G2+H4*H2,0)</f>
        <v>32603</v>
      </c>
      <c r="H6" s="433"/>
      <c r="I6" s="384"/>
      <c r="J6" s="380" t="s">
        <v>1430</v>
      </c>
      <c r="K6" s="433">
        <f>ROUND(K4*K2+L4*L2,0)</f>
        <v>352565</v>
      </c>
      <c r="L6" s="433"/>
    </row>
    <row r="7" spans="2:12" ht="14.25">
      <c r="B7" s="384"/>
      <c r="C7" s="382"/>
      <c r="D7" s="382"/>
      <c r="E7" s="381"/>
      <c r="F7" s="384"/>
      <c r="G7" s="384"/>
      <c r="H7" s="384"/>
      <c r="I7" s="384"/>
      <c r="J7" s="384"/>
      <c r="K7" s="384"/>
      <c r="L7" s="384"/>
    </row>
    <row r="8" spans="2:12" ht="14.25"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</row>
    <row r="9" spans="2:12" ht="28.5">
      <c r="B9" s="385" t="s">
        <v>1419</v>
      </c>
      <c r="C9" s="385" t="s">
        <v>1420</v>
      </c>
      <c r="D9" s="386" t="s">
        <v>1421</v>
      </c>
      <c r="E9" s="385" t="s">
        <v>1422</v>
      </c>
      <c r="F9" s="385" t="s">
        <v>1423</v>
      </c>
      <c r="G9" s="385" t="s">
        <v>1424</v>
      </c>
      <c r="H9" s="381"/>
      <c r="I9" s="381"/>
      <c r="J9" s="381"/>
      <c r="K9" s="381"/>
      <c r="L9" s="381"/>
    </row>
    <row r="10" spans="2:12" ht="14.25">
      <c r="B10" s="385">
        <v>1</v>
      </c>
      <c r="C10" s="385" t="str">
        <f>C1</f>
        <v>地下车库</v>
      </c>
      <c r="D10" s="385">
        <f>ROUND(E10/$E$13*$D$15,2)</f>
        <v>3111.51</v>
      </c>
      <c r="E10" s="385">
        <f>地下车库现金流!D26</f>
        <v>23898.16</v>
      </c>
      <c r="F10" s="385">
        <f ca="1">C6</f>
        <v>22206</v>
      </c>
      <c r="G10" s="385">
        <f ca="1">ROUND(F10/E10*10000,0)</f>
        <v>9292</v>
      </c>
      <c r="H10" s="381"/>
      <c r="I10" s="381"/>
      <c r="J10" s="381">
        <f ca="1">C4+G4+K4</f>
        <v>565504</v>
      </c>
      <c r="K10" s="381"/>
      <c r="L10" s="381"/>
    </row>
    <row r="11" spans="2:12" ht="14.25">
      <c r="B11" s="385">
        <v>2</v>
      </c>
      <c r="C11" s="385" t="str">
        <f>G1</f>
        <v>地下仓储</v>
      </c>
      <c r="D11" s="387">
        <f>ROUND(E11/$E$13*$D$15,2)</f>
        <v>1780.09</v>
      </c>
      <c r="E11" s="385">
        <f>地下仓储现金流!D99</f>
        <v>13672.09</v>
      </c>
      <c r="F11" s="385">
        <f ca="1">G6</f>
        <v>32603</v>
      </c>
      <c r="G11" s="385">
        <f t="shared" ref="G11:G12" ca="1" si="0">ROUND(F11/E11*10000,0)</f>
        <v>23846</v>
      </c>
      <c r="H11" s="381"/>
      <c r="I11" s="381"/>
      <c r="J11" s="381">
        <f>D4+H4+L4</f>
        <v>301954</v>
      </c>
      <c r="K11" s="381"/>
      <c r="L11" s="381"/>
    </row>
    <row r="12" spans="2:12" ht="14.25">
      <c r="B12" s="385">
        <v>3</v>
      </c>
      <c r="C12" s="385" t="str">
        <f>K1</f>
        <v>地上商业</v>
      </c>
      <c r="D12" s="385">
        <f>D15-D10-D11</f>
        <v>7810.9499999999989</v>
      </c>
      <c r="E12" s="385">
        <f>地上商业现金流!D414</f>
        <v>59992.520000000004</v>
      </c>
      <c r="F12" s="385">
        <f>K6</f>
        <v>352565</v>
      </c>
      <c r="G12" s="385">
        <f t="shared" si="0"/>
        <v>58768</v>
      </c>
      <c r="H12" s="381"/>
      <c r="I12" s="381"/>
      <c r="J12" s="381"/>
      <c r="K12" s="381"/>
      <c r="L12" s="381"/>
    </row>
    <row r="13" spans="2:12" ht="14.25">
      <c r="B13" s="433" t="s">
        <v>609</v>
      </c>
      <c r="C13" s="433"/>
      <c r="D13" s="385">
        <f>SUM(D10:D12)</f>
        <v>12702.55</v>
      </c>
      <c r="E13" s="385">
        <f>SUM(E10:E12)</f>
        <v>97562.77</v>
      </c>
      <c r="F13" s="385">
        <f ca="1">SUM(F10:F12)</f>
        <v>407374</v>
      </c>
      <c r="G13" s="385" t="s">
        <v>1439</v>
      </c>
      <c r="H13" s="381"/>
      <c r="I13" s="381"/>
      <c r="J13" s="381"/>
      <c r="K13" s="381"/>
      <c r="L13" s="381"/>
    </row>
    <row r="15" spans="2:12">
      <c r="D15" s="383">
        <v>12702.55</v>
      </c>
    </row>
  </sheetData>
  <mergeCells count="7">
    <mergeCell ref="C1:D1"/>
    <mergeCell ref="C6:D6"/>
    <mergeCell ref="G1:H1"/>
    <mergeCell ref="K1:L1"/>
    <mergeCell ref="B13:C13"/>
    <mergeCell ref="G6:H6"/>
    <mergeCell ref="K6:L6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JH435"/>
  <sheetViews>
    <sheetView topLeftCell="ED4" workbookViewId="0">
      <selection activeCell="EK30" sqref="EK30"/>
    </sheetView>
  </sheetViews>
  <sheetFormatPr defaultColWidth="9" defaultRowHeight="13.5" outlineLevelCol="1"/>
  <cols>
    <col min="1" max="1" width="5" style="101" customWidth="1"/>
    <col min="2" max="2" width="20.625" style="102" customWidth="1"/>
    <col min="3" max="3" width="19.75" style="1" customWidth="1"/>
    <col min="4" max="4" width="15.25" style="103" customWidth="1"/>
    <col min="5" max="5" width="10.5" style="104" customWidth="1" outlineLevel="1"/>
    <col min="6" max="6" width="10.75" style="105" customWidth="1"/>
    <col min="7" max="7" width="10.625" style="106" customWidth="1"/>
    <col min="8" max="8" width="13.375" style="40" customWidth="1"/>
    <col min="9" max="9" width="12.375" style="105" customWidth="1"/>
    <col min="10" max="10" width="13.75" style="52" customWidth="1"/>
    <col min="11" max="11" width="13.75" style="40" customWidth="1"/>
    <col min="12" max="12" width="12.875" style="40" customWidth="1"/>
    <col min="13" max="16" width="13.75" style="40" bestFit="1" customWidth="1"/>
    <col min="17" max="149" width="11.625" style="40" customWidth="1"/>
    <col min="150" max="150" width="18" style="67" customWidth="1"/>
    <col min="151" max="151" width="22.75" style="58" customWidth="1"/>
    <col min="152" max="152" width="9" style="58" customWidth="1"/>
    <col min="153" max="153" width="11.75" style="58" customWidth="1"/>
    <col min="154" max="154" width="8.875" style="58" customWidth="1"/>
    <col min="155" max="155" width="12.375" style="58" customWidth="1"/>
    <col min="156" max="156" width="13" style="58" customWidth="1"/>
    <col min="157" max="157" width="12.375" style="58" customWidth="1"/>
    <col min="158" max="158" width="12.25" style="58" customWidth="1"/>
    <col min="159" max="159" width="12.125" style="58" customWidth="1"/>
    <col min="160" max="160" width="11.625" style="58" customWidth="1"/>
    <col min="161" max="161" width="12" style="58" customWidth="1"/>
    <col min="162" max="162" width="13" style="58" customWidth="1"/>
    <col min="163" max="163" width="11.625" style="58" customWidth="1"/>
    <col min="164" max="165" width="12" style="58" customWidth="1"/>
    <col min="166" max="168" width="11.625" style="58" customWidth="1"/>
    <col min="169" max="169" width="11.125" style="58" customWidth="1"/>
    <col min="170" max="170" width="12" style="58" customWidth="1"/>
    <col min="171" max="171" width="13" style="58" customWidth="1"/>
    <col min="172" max="172" width="13.625" style="58" customWidth="1"/>
    <col min="173" max="173" width="11.875" style="58" customWidth="1"/>
    <col min="174" max="175" width="11.625" style="58" customWidth="1"/>
    <col min="176" max="176" width="12" style="58" customWidth="1"/>
    <col min="177" max="177" width="12.75" style="58" customWidth="1"/>
    <col min="178" max="178" width="11.625" style="58" customWidth="1"/>
    <col min="179" max="179" width="12.125" style="58" customWidth="1"/>
    <col min="180" max="181" width="11.625" style="58" customWidth="1"/>
    <col min="182" max="182" width="12.5" style="58" customWidth="1"/>
    <col min="183" max="357" width="11.625" style="58" customWidth="1"/>
    <col min="358" max="358" width="17.75" style="58" customWidth="1"/>
    <col min="359" max="360" width="9" style="58" customWidth="1"/>
    <col min="361" max="361" width="16.25" style="58" customWidth="1"/>
    <col min="362" max="362" width="24" style="58" customWidth="1"/>
    <col min="363" max="363" width="9" style="58"/>
    <col min="364" max="364" width="11.75" style="58" customWidth="1"/>
    <col min="365" max="365" width="8.875" style="58" customWidth="1"/>
    <col min="366" max="366" width="17.375" style="58" customWidth="1"/>
    <col min="367" max="367" width="13.25" style="58" customWidth="1"/>
    <col min="368" max="368" width="25.75" style="58" customWidth="1"/>
    <col min="369" max="369" width="11.125" style="58" customWidth="1"/>
    <col min="370" max="370" width="10.75" style="58" customWidth="1"/>
    <col min="371" max="371" width="9" style="58" customWidth="1"/>
    <col min="372" max="372" width="9.75" style="58" customWidth="1"/>
    <col min="373" max="373" width="7.5" style="58" customWidth="1"/>
    <col min="374" max="374" width="13.25" style="58" customWidth="1"/>
    <col min="375" max="375" width="11.75" style="58" customWidth="1"/>
    <col min="376" max="376" width="8.875" style="58" customWidth="1"/>
    <col min="377" max="377" width="9.625" style="58" customWidth="1"/>
    <col min="378" max="379" width="11.875" style="58" customWidth="1"/>
    <col min="380" max="380" width="11.5" style="58" customWidth="1"/>
    <col min="381" max="396" width="12.25" style="58" customWidth="1"/>
    <col min="397" max="397" width="13" style="58" customWidth="1"/>
    <col min="398" max="402" width="12.375" style="58" customWidth="1"/>
    <col min="403" max="403" width="13" style="58" customWidth="1"/>
    <col min="404" max="405" width="12.375" style="58" customWidth="1"/>
    <col min="406" max="406" width="13" style="58" customWidth="1"/>
    <col min="407" max="407" width="13.125" style="58" customWidth="1"/>
    <col min="408" max="408" width="13" style="58" customWidth="1"/>
    <col min="409" max="409" width="13.125" style="58" customWidth="1"/>
    <col min="410" max="411" width="12.375" style="58" customWidth="1"/>
    <col min="412" max="412" width="13" style="58" customWidth="1"/>
    <col min="413" max="413" width="12.375" style="58" customWidth="1"/>
    <col min="414" max="414" width="12.25" style="58" customWidth="1"/>
    <col min="415" max="415" width="12.125" style="58" customWidth="1"/>
    <col min="416" max="416" width="11.625" style="58" customWidth="1"/>
    <col min="417" max="417" width="12" style="58" customWidth="1"/>
    <col min="418" max="418" width="13" style="58" customWidth="1"/>
    <col min="419" max="419" width="11.625" style="58" customWidth="1"/>
    <col min="420" max="421" width="12" style="58" customWidth="1"/>
    <col min="422" max="424" width="11.625" style="58" customWidth="1"/>
    <col min="425" max="425" width="11.125" style="58" customWidth="1"/>
    <col min="426" max="426" width="12" style="58" customWidth="1"/>
    <col min="427" max="427" width="13" style="58" customWidth="1"/>
    <col min="428" max="428" width="13.625" style="58" customWidth="1"/>
    <col min="429" max="429" width="11.875" style="58" customWidth="1"/>
    <col min="430" max="431" width="11.625" style="58" customWidth="1"/>
    <col min="432" max="432" width="12" style="58" customWidth="1"/>
    <col min="433" max="433" width="12.75" style="58" customWidth="1"/>
    <col min="434" max="434" width="11.625" style="58" customWidth="1"/>
    <col min="435" max="435" width="12.125" style="58" customWidth="1"/>
    <col min="436" max="437" width="11.625" style="58" customWidth="1"/>
    <col min="438" max="438" width="12.5" style="58" customWidth="1"/>
    <col min="439" max="613" width="11.625" style="58" customWidth="1"/>
    <col min="614" max="614" width="17.75" style="58" customWidth="1"/>
    <col min="615" max="616" width="9" style="58" customWidth="1"/>
    <col min="617" max="617" width="16.25" style="58" customWidth="1"/>
    <col min="618" max="618" width="24" style="58" customWidth="1"/>
    <col min="619" max="619" width="9" style="58"/>
    <col min="620" max="620" width="11.75" style="58" customWidth="1"/>
    <col min="621" max="621" width="8.875" style="58" customWidth="1"/>
    <col min="622" max="622" width="17.375" style="58" customWidth="1"/>
    <col min="623" max="623" width="13.25" style="58" customWidth="1"/>
    <col min="624" max="624" width="25.75" style="58" customWidth="1"/>
    <col min="625" max="625" width="11.125" style="58" customWidth="1"/>
    <col min="626" max="626" width="10.75" style="58" customWidth="1"/>
    <col min="627" max="627" width="9" style="58" customWidth="1"/>
    <col min="628" max="628" width="9.75" style="58" customWidth="1"/>
    <col min="629" max="629" width="7.5" style="58" customWidth="1"/>
    <col min="630" max="630" width="13.25" style="58" customWidth="1"/>
    <col min="631" max="631" width="11.75" style="58" customWidth="1"/>
    <col min="632" max="632" width="8.875" style="58" customWidth="1"/>
    <col min="633" max="633" width="9.625" style="58" customWidth="1"/>
    <col min="634" max="635" width="11.875" style="58" customWidth="1"/>
    <col min="636" max="636" width="11.5" style="58" customWidth="1"/>
    <col min="637" max="652" width="12.25" style="58" customWidth="1"/>
    <col min="653" max="653" width="13" style="58" customWidth="1"/>
    <col min="654" max="658" width="12.375" style="58" customWidth="1"/>
    <col min="659" max="659" width="13" style="58" customWidth="1"/>
    <col min="660" max="661" width="12.375" style="58" customWidth="1"/>
    <col min="662" max="662" width="13" style="58" customWidth="1"/>
    <col min="663" max="663" width="13.125" style="58" customWidth="1"/>
    <col min="664" max="664" width="13" style="58" customWidth="1"/>
    <col min="665" max="665" width="13.125" style="58" customWidth="1"/>
    <col min="666" max="667" width="12.375" style="58" customWidth="1"/>
    <col min="668" max="668" width="13" style="58" customWidth="1"/>
    <col min="669" max="669" width="12.375" style="58" customWidth="1"/>
    <col min="670" max="670" width="12.25" style="58" customWidth="1"/>
    <col min="671" max="671" width="12.125" style="58" customWidth="1"/>
    <col min="672" max="672" width="11.625" style="58" customWidth="1"/>
    <col min="673" max="673" width="12" style="58" customWidth="1"/>
    <col min="674" max="674" width="13" style="58" customWidth="1"/>
    <col min="675" max="675" width="11.625" style="58" customWidth="1"/>
    <col min="676" max="677" width="12" style="58" customWidth="1"/>
    <col min="678" max="680" width="11.625" style="58" customWidth="1"/>
    <col min="681" max="681" width="11.125" style="58" customWidth="1"/>
    <col min="682" max="682" width="12" style="58" customWidth="1"/>
    <col min="683" max="683" width="13" style="58" customWidth="1"/>
    <col min="684" max="684" width="13.625" style="58" customWidth="1"/>
    <col min="685" max="685" width="11.875" style="58" customWidth="1"/>
    <col min="686" max="687" width="11.625" style="58" customWidth="1"/>
    <col min="688" max="688" width="12" style="58" customWidth="1"/>
    <col min="689" max="689" width="12.75" style="58" customWidth="1"/>
    <col min="690" max="690" width="11.625" style="58" customWidth="1"/>
    <col min="691" max="691" width="12.125" style="58" customWidth="1"/>
    <col min="692" max="693" width="11.625" style="58" customWidth="1"/>
    <col min="694" max="694" width="12.5" style="58" customWidth="1"/>
    <col min="695" max="869" width="11.625" style="58" customWidth="1"/>
    <col min="870" max="870" width="17.75" style="58" customWidth="1"/>
    <col min="871" max="872" width="9" style="58" customWidth="1"/>
    <col min="873" max="873" width="16.25" style="58" customWidth="1"/>
    <col min="874" max="874" width="24" style="58" customWidth="1"/>
    <col min="875" max="875" width="9" style="58"/>
    <col min="876" max="876" width="11.75" style="58" customWidth="1"/>
    <col min="877" max="877" width="8.875" style="58" customWidth="1"/>
    <col min="878" max="878" width="17.375" style="58" customWidth="1"/>
    <col min="879" max="879" width="13.25" style="58" customWidth="1"/>
    <col min="880" max="880" width="25.75" style="58" customWidth="1"/>
    <col min="881" max="881" width="11.125" style="58" customWidth="1"/>
    <col min="882" max="882" width="10.75" style="58" customWidth="1"/>
    <col min="883" max="883" width="9" style="58" customWidth="1"/>
    <col min="884" max="884" width="9.75" style="58" customWidth="1"/>
    <col min="885" max="885" width="7.5" style="58" customWidth="1"/>
    <col min="886" max="886" width="13.25" style="58" customWidth="1"/>
    <col min="887" max="887" width="11.75" style="58" customWidth="1"/>
    <col min="888" max="888" width="8.875" style="58" customWidth="1"/>
    <col min="889" max="889" width="9.625" style="58" customWidth="1"/>
    <col min="890" max="891" width="11.875" style="58" customWidth="1"/>
    <col min="892" max="892" width="11.5" style="58" customWidth="1"/>
    <col min="893" max="908" width="12.25" style="58" customWidth="1"/>
    <col min="909" max="909" width="13" style="58" customWidth="1"/>
    <col min="910" max="914" width="12.375" style="58" customWidth="1"/>
    <col min="915" max="915" width="13" style="58" customWidth="1"/>
    <col min="916" max="917" width="12.375" style="58" customWidth="1"/>
    <col min="918" max="918" width="13" style="58" customWidth="1"/>
    <col min="919" max="919" width="13.125" style="58" customWidth="1"/>
    <col min="920" max="920" width="13" style="58" customWidth="1"/>
    <col min="921" max="921" width="13.125" style="58" customWidth="1"/>
    <col min="922" max="923" width="12.375" style="58" customWidth="1"/>
    <col min="924" max="924" width="13" style="58" customWidth="1"/>
    <col min="925" max="925" width="12.375" style="58" customWidth="1"/>
    <col min="926" max="926" width="12.25" style="58" customWidth="1"/>
    <col min="927" max="927" width="12.125" style="58" customWidth="1"/>
    <col min="928" max="928" width="11.625" style="58" customWidth="1"/>
    <col min="929" max="929" width="12" style="58" customWidth="1"/>
    <col min="930" max="930" width="13" style="58" customWidth="1"/>
    <col min="931" max="931" width="11.625" style="58" customWidth="1"/>
    <col min="932" max="933" width="12" style="58" customWidth="1"/>
    <col min="934" max="936" width="11.625" style="58" customWidth="1"/>
    <col min="937" max="937" width="11.125" style="58" customWidth="1"/>
    <col min="938" max="938" width="12" style="58" customWidth="1"/>
    <col min="939" max="939" width="13" style="58" customWidth="1"/>
    <col min="940" max="940" width="13.625" style="58" customWidth="1"/>
    <col min="941" max="941" width="11.875" style="58" customWidth="1"/>
    <col min="942" max="943" width="11.625" style="58" customWidth="1"/>
    <col min="944" max="944" width="12" style="58" customWidth="1"/>
    <col min="945" max="945" width="12.75" style="58" customWidth="1"/>
    <col min="946" max="946" width="11.625" style="58" customWidth="1"/>
    <col min="947" max="947" width="12.125" style="58" customWidth="1"/>
    <col min="948" max="949" width="11.625" style="58" customWidth="1"/>
    <col min="950" max="950" width="12.5" style="58" customWidth="1"/>
    <col min="951" max="1125" width="11.625" style="58" customWidth="1"/>
    <col min="1126" max="1126" width="17.75" style="58" customWidth="1"/>
    <col min="1127" max="1128" width="9" style="58" customWidth="1"/>
    <col min="1129" max="1129" width="16.25" style="58" customWidth="1"/>
    <col min="1130" max="1130" width="24" style="58" customWidth="1"/>
    <col min="1131" max="1131" width="9" style="58"/>
    <col min="1132" max="1132" width="11.75" style="58" customWidth="1"/>
    <col min="1133" max="1133" width="8.875" style="58" customWidth="1"/>
    <col min="1134" max="1134" width="17.375" style="58" customWidth="1"/>
    <col min="1135" max="1135" width="13.25" style="58" customWidth="1"/>
    <col min="1136" max="1136" width="25.75" style="58" customWidth="1"/>
    <col min="1137" max="1137" width="11.125" style="58" customWidth="1"/>
    <col min="1138" max="1138" width="10.75" style="58" customWidth="1"/>
    <col min="1139" max="1139" width="9" style="58" customWidth="1"/>
    <col min="1140" max="1140" width="9.75" style="58" customWidth="1"/>
    <col min="1141" max="1141" width="7.5" style="58" customWidth="1"/>
    <col min="1142" max="1142" width="13.25" style="58" customWidth="1"/>
    <col min="1143" max="1143" width="11.75" style="58" customWidth="1"/>
    <col min="1144" max="1144" width="8.875" style="58" customWidth="1"/>
    <col min="1145" max="1145" width="9.625" style="58" customWidth="1"/>
    <col min="1146" max="1147" width="11.875" style="58" customWidth="1"/>
    <col min="1148" max="1148" width="11.5" style="58" customWidth="1"/>
    <col min="1149" max="1164" width="12.25" style="58" customWidth="1"/>
    <col min="1165" max="1165" width="13" style="58" customWidth="1"/>
    <col min="1166" max="1170" width="12.375" style="58" customWidth="1"/>
    <col min="1171" max="1171" width="13" style="58" customWidth="1"/>
    <col min="1172" max="1173" width="12.375" style="58" customWidth="1"/>
    <col min="1174" max="1174" width="13" style="58" customWidth="1"/>
    <col min="1175" max="1175" width="13.125" style="58" customWidth="1"/>
    <col min="1176" max="1176" width="13" style="58" customWidth="1"/>
    <col min="1177" max="1177" width="13.125" style="58" customWidth="1"/>
    <col min="1178" max="1179" width="12.375" style="58" customWidth="1"/>
    <col min="1180" max="1180" width="13" style="58" customWidth="1"/>
    <col min="1181" max="1181" width="12.375" style="58" customWidth="1"/>
    <col min="1182" max="1182" width="12.25" style="58" customWidth="1"/>
    <col min="1183" max="1183" width="12.125" style="58" customWidth="1"/>
    <col min="1184" max="1184" width="11.625" style="58" customWidth="1"/>
    <col min="1185" max="1185" width="12" style="58" customWidth="1"/>
    <col min="1186" max="1186" width="13" style="58" customWidth="1"/>
    <col min="1187" max="1187" width="11.625" style="58" customWidth="1"/>
    <col min="1188" max="1189" width="12" style="58" customWidth="1"/>
    <col min="1190" max="1192" width="11.625" style="58" customWidth="1"/>
    <col min="1193" max="1193" width="11.125" style="58" customWidth="1"/>
    <col min="1194" max="1194" width="12" style="58" customWidth="1"/>
    <col min="1195" max="1195" width="13" style="58" customWidth="1"/>
    <col min="1196" max="1196" width="13.625" style="58" customWidth="1"/>
    <col min="1197" max="1197" width="11.875" style="58" customWidth="1"/>
    <col min="1198" max="1199" width="11.625" style="58" customWidth="1"/>
    <col min="1200" max="1200" width="12" style="58" customWidth="1"/>
    <col min="1201" max="1201" width="12.75" style="58" customWidth="1"/>
    <col min="1202" max="1202" width="11.625" style="58" customWidth="1"/>
    <col min="1203" max="1203" width="12.125" style="58" customWidth="1"/>
    <col min="1204" max="1205" width="11.625" style="58" customWidth="1"/>
    <col min="1206" max="1206" width="12.5" style="58" customWidth="1"/>
    <col min="1207" max="1381" width="11.625" style="58" customWidth="1"/>
    <col min="1382" max="1382" width="17.75" style="58" customWidth="1"/>
    <col min="1383" max="1384" width="9" style="58" customWidth="1"/>
    <col min="1385" max="1385" width="16.25" style="58" customWidth="1"/>
    <col min="1386" max="1386" width="24" style="58" customWidth="1"/>
    <col min="1387" max="1387" width="9" style="58"/>
    <col min="1388" max="1388" width="11.75" style="58" customWidth="1"/>
    <col min="1389" max="1389" width="8.875" style="58" customWidth="1"/>
    <col min="1390" max="1390" width="17.375" style="58" customWidth="1"/>
    <col min="1391" max="1391" width="13.25" style="58" customWidth="1"/>
    <col min="1392" max="1392" width="25.75" style="58" customWidth="1"/>
    <col min="1393" max="1393" width="11.125" style="58" customWidth="1"/>
    <col min="1394" max="1394" width="10.75" style="58" customWidth="1"/>
    <col min="1395" max="1395" width="9" style="58" customWidth="1"/>
    <col min="1396" max="1396" width="9.75" style="58" customWidth="1"/>
    <col min="1397" max="1397" width="7.5" style="58" customWidth="1"/>
    <col min="1398" max="1398" width="13.25" style="58" customWidth="1"/>
    <col min="1399" max="1399" width="11.75" style="58" customWidth="1"/>
    <col min="1400" max="1400" width="8.875" style="58" customWidth="1"/>
    <col min="1401" max="1401" width="9.625" style="58" customWidth="1"/>
    <col min="1402" max="1403" width="11.875" style="58" customWidth="1"/>
    <col min="1404" max="1404" width="11.5" style="58" customWidth="1"/>
    <col min="1405" max="1420" width="12.25" style="58" customWidth="1"/>
    <col min="1421" max="1421" width="13" style="58" customWidth="1"/>
    <col min="1422" max="1426" width="12.375" style="58" customWidth="1"/>
    <col min="1427" max="1427" width="13" style="58" customWidth="1"/>
    <col min="1428" max="1429" width="12.375" style="58" customWidth="1"/>
    <col min="1430" max="1430" width="13" style="58" customWidth="1"/>
    <col min="1431" max="1431" width="13.125" style="58" customWidth="1"/>
    <col min="1432" max="1432" width="13" style="58" customWidth="1"/>
    <col min="1433" max="1433" width="13.125" style="58" customWidth="1"/>
    <col min="1434" max="1435" width="12.375" style="58" customWidth="1"/>
    <col min="1436" max="1436" width="13" style="58" customWidth="1"/>
    <col min="1437" max="1437" width="12.375" style="58" customWidth="1"/>
    <col min="1438" max="1438" width="12.25" style="58" customWidth="1"/>
    <col min="1439" max="1439" width="12.125" style="58" customWidth="1"/>
    <col min="1440" max="1440" width="11.625" style="58" customWidth="1"/>
    <col min="1441" max="1441" width="12" style="58" customWidth="1"/>
    <col min="1442" max="1442" width="13" style="58" customWidth="1"/>
    <col min="1443" max="1443" width="11.625" style="58" customWidth="1"/>
    <col min="1444" max="1445" width="12" style="58" customWidth="1"/>
    <col min="1446" max="1448" width="11.625" style="58" customWidth="1"/>
    <col min="1449" max="1449" width="11.125" style="58" customWidth="1"/>
    <col min="1450" max="1450" width="12" style="58" customWidth="1"/>
    <col min="1451" max="1451" width="13" style="58" customWidth="1"/>
    <col min="1452" max="1452" width="13.625" style="58" customWidth="1"/>
    <col min="1453" max="1453" width="11.875" style="58" customWidth="1"/>
    <col min="1454" max="1455" width="11.625" style="58" customWidth="1"/>
    <col min="1456" max="1456" width="12" style="58" customWidth="1"/>
    <col min="1457" max="1457" width="12.75" style="58" customWidth="1"/>
    <col min="1458" max="1458" width="11.625" style="58" customWidth="1"/>
    <col min="1459" max="1459" width="12.125" style="58" customWidth="1"/>
    <col min="1460" max="1461" width="11.625" style="58" customWidth="1"/>
    <col min="1462" max="1462" width="12.5" style="58" customWidth="1"/>
    <col min="1463" max="1637" width="11.625" style="58" customWidth="1"/>
    <col min="1638" max="1638" width="17.75" style="58" customWidth="1"/>
    <col min="1639" max="1640" width="9" style="58" customWidth="1"/>
    <col min="1641" max="1641" width="16.25" style="58" customWidth="1"/>
    <col min="1642" max="1642" width="24" style="58" customWidth="1"/>
    <col min="1643" max="1643" width="9" style="58"/>
    <col min="1644" max="1644" width="11.75" style="58" customWidth="1"/>
    <col min="1645" max="1645" width="8.875" style="58" customWidth="1"/>
    <col min="1646" max="1646" width="17.375" style="58" customWidth="1"/>
    <col min="1647" max="1647" width="13.25" style="58" customWidth="1"/>
    <col min="1648" max="1648" width="25.75" style="58" customWidth="1"/>
    <col min="1649" max="1649" width="11.125" style="58" customWidth="1"/>
    <col min="1650" max="1650" width="10.75" style="58" customWidth="1"/>
    <col min="1651" max="1651" width="9" style="58" customWidth="1"/>
    <col min="1652" max="1652" width="9.75" style="58" customWidth="1"/>
    <col min="1653" max="1653" width="7.5" style="58" customWidth="1"/>
    <col min="1654" max="1654" width="13.25" style="58" customWidth="1"/>
    <col min="1655" max="1655" width="11.75" style="58" customWidth="1"/>
    <col min="1656" max="1656" width="8.875" style="58" customWidth="1"/>
    <col min="1657" max="1657" width="9.625" style="58" customWidth="1"/>
    <col min="1658" max="1659" width="11.875" style="58" customWidth="1"/>
    <col min="1660" max="1660" width="11.5" style="58" customWidth="1"/>
    <col min="1661" max="1676" width="12.25" style="58" customWidth="1"/>
    <col min="1677" max="1677" width="13" style="58" customWidth="1"/>
    <col min="1678" max="1682" width="12.375" style="58" customWidth="1"/>
    <col min="1683" max="1683" width="13" style="58" customWidth="1"/>
    <col min="1684" max="1685" width="12.375" style="58" customWidth="1"/>
    <col min="1686" max="1686" width="13" style="58" customWidth="1"/>
    <col min="1687" max="1687" width="13.125" style="58" customWidth="1"/>
    <col min="1688" max="1688" width="13" style="58" customWidth="1"/>
    <col min="1689" max="1689" width="13.125" style="58" customWidth="1"/>
    <col min="1690" max="1691" width="12.375" style="58" customWidth="1"/>
    <col min="1692" max="1692" width="13" style="58" customWidth="1"/>
    <col min="1693" max="1693" width="12.375" style="58" customWidth="1"/>
    <col min="1694" max="1694" width="12.25" style="58" customWidth="1"/>
    <col min="1695" max="1695" width="12.125" style="58" customWidth="1"/>
    <col min="1696" max="1696" width="11.625" style="58" customWidth="1"/>
    <col min="1697" max="1697" width="12" style="58" customWidth="1"/>
    <col min="1698" max="1698" width="13" style="58" customWidth="1"/>
    <col min="1699" max="1699" width="11.625" style="58" customWidth="1"/>
    <col min="1700" max="1701" width="12" style="58" customWidth="1"/>
    <col min="1702" max="1704" width="11.625" style="58" customWidth="1"/>
    <col min="1705" max="1705" width="11.125" style="58" customWidth="1"/>
    <col min="1706" max="1706" width="12" style="58" customWidth="1"/>
    <col min="1707" max="1707" width="13" style="58" customWidth="1"/>
    <col min="1708" max="1708" width="13.625" style="58" customWidth="1"/>
    <col min="1709" max="1709" width="11.875" style="58" customWidth="1"/>
    <col min="1710" max="1711" width="11.625" style="58" customWidth="1"/>
    <col min="1712" max="1712" width="12" style="58" customWidth="1"/>
    <col min="1713" max="1713" width="12.75" style="58" customWidth="1"/>
    <col min="1714" max="1714" width="11.625" style="58" customWidth="1"/>
    <col min="1715" max="1715" width="12.125" style="58" customWidth="1"/>
    <col min="1716" max="1717" width="11.625" style="58" customWidth="1"/>
    <col min="1718" max="1718" width="12.5" style="58" customWidth="1"/>
    <col min="1719" max="1893" width="11.625" style="58" customWidth="1"/>
    <col min="1894" max="1894" width="17.75" style="58" customWidth="1"/>
    <col min="1895" max="1896" width="9" style="58" customWidth="1"/>
    <col min="1897" max="1897" width="16.25" style="58" customWidth="1"/>
    <col min="1898" max="1898" width="24" style="58" customWidth="1"/>
    <col min="1899" max="1899" width="9" style="58"/>
    <col min="1900" max="1900" width="11.75" style="58" customWidth="1"/>
    <col min="1901" max="1901" width="8.875" style="58" customWidth="1"/>
    <col min="1902" max="1902" width="17.375" style="58" customWidth="1"/>
    <col min="1903" max="1903" width="13.25" style="58" customWidth="1"/>
    <col min="1904" max="1904" width="25.75" style="58" customWidth="1"/>
    <col min="1905" max="1905" width="11.125" style="58" customWidth="1"/>
    <col min="1906" max="1906" width="10.75" style="58" customWidth="1"/>
    <col min="1907" max="1907" width="9" style="58" customWidth="1"/>
    <col min="1908" max="1908" width="9.75" style="58" customWidth="1"/>
    <col min="1909" max="1909" width="7.5" style="58" customWidth="1"/>
    <col min="1910" max="1910" width="13.25" style="58" customWidth="1"/>
    <col min="1911" max="1911" width="11.75" style="58" customWidth="1"/>
    <col min="1912" max="1912" width="8.875" style="58" customWidth="1"/>
    <col min="1913" max="1913" width="9.625" style="58" customWidth="1"/>
    <col min="1914" max="1915" width="11.875" style="58" customWidth="1"/>
    <col min="1916" max="1916" width="11.5" style="58" customWidth="1"/>
    <col min="1917" max="1932" width="12.25" style="58" customWidth="1"/>
    <col min="1933" max="1933" width="13" style="58" customWidth="1"/>
    <col min="1934" max="1938" width="12.375" style="58" customWidth="1"/>
    <col min="1939" max="1939" width="13" style="58" customWidth="1"/>
    <col min="1940" max="1941" width="12.375" style="58" customWidth="1"/>
    <col min="1942" max="1942" width="13" style="58" customWidth="1"/>
    <col min="1943" max="1943" width="13.125" style="58" customWidth="1"/>
    <col min="1944" max="1944" width="13" style="58" customWidth="1"/>
    <col min="1945" max="1945" width="13.125" style="58" customWidth="1"/>
    <col min="1946" max="1947" width="12.375" style="58" customWidth="1"/>
    <col min="1948" max="1948" width="13" style="58" customWidth="1"/>
    <col min="1949" max="1949" width="12.375" style="58" customWidth="1"/>
    <col min="1950" max="1950" width="12.25" style="58" customWidth="1"/>
    <col min="1951" max="1951" width="12.125" style="58" customWidth="1"/>
    <col min="1952" max="1952" width="11.625" style="58" customWidth="1"/>
    <col min="1953" max="1953" width="12" style="58" customWidth="1"/>
    <col min="1954" max="1954" width="13" style="58" customWidth="1"/>
    <col min="1955" max="1955" width="11.625" style="58" customWidth="1"/>
    <col min="1956" max="1957" width="12" style="58" customWidth="1"/>
    <col min="1958" max="1960" width="11.625" style="58" customWidth="1"/>
    <col min="1961" max="1961" width="11.125" style="58" customWidth="1"/>
    <col min="1962" max="1962" width="12" style="58" customWidth="1"/>
    <col min="1963" max="1963" width="13" style="58" customWidth="1"/>
    <col min="1964" max="1964" width="13.625" style="58" customWidth="1"/>
    <col min="1965" max="1965" width="11.875" style="58" customWidth="1"/>
    <col min="1966" max="1967" width="11.625" style="58" customWidth="1"/>
    <col min="1968" max="1968" width="12" style="58" customWidth="1"/>
    <col min="1969" max="1969" width="12.75" style="58" customWidth="1"/>
    <col min="1970" max="1970" width="11.625" style="58" customWidth="1"/>
    <col min="1971" max="1971" width="12.125" style="58" customWidth="1"/>
    <col min="1972" max="1973" width="11.625" style="58" customWidth="1"/>
    <col min="1974" max="1974" width="12.5" style="58" customWidth="1"/>
    <col min="1975" max="2149" width="11.625" style="58" customWidth="1"/>
    <col min="2150" max="2150" width="17.75" style="58" customWidth="1"/>
    <col min="2151" max="2152" width="9" style="58" customWidth="1"/>
    <col min="2153" max="2153" width="16.25" style="58" customWidth="1"/>
    <col min="2154" max="2154" width="24" style="58" customWidth="1"/>
    <col min="2155" max="2155" width="9" style="58"/>
    <col min="2156" max="2156" width="11.75" style="58" customWidth="1"/>
    <col min="2157" max="2157" width="8.875" style="58" customWidth="1"/>
    <col min="2158" max="2158" width="17.375" style="58" customWidth="1"/>
    <col min="2159" max="2159" width="13.25" style="58" customWidth="1"/>
    <col min="2160" max="2160" width="25.75" style="58" customWidth="1"/>
    <col min="2161" max="2161" width="11.125" style="58" customWidth="1"/>
    <col min="2162" max="2162" width="10.75" style="58" customWidth="1"/>
    <col min="2163" max="2163" width="9" style="58" customWidth="1"/>
    <col min="2164" max="2164" width="9.75" style="58" customWidth="1"/>
    <col min="2165" max="2165" width="7.5" style="58" customWidth="1"/>
    <col min="2166" max="2166" width="13.25" style="58" customWidth="1"/>
    <col min="2167" max="2167" width="11.75" style="58" customWidth="1"/>
    <col min="2168" max="2168" width="8.875" style="58" customWidth="1"/>
    <col min="2169" max="2169" width="9.625" style="58" customWidth="1"/>
    <col min="2170" max="2171" width="11.875" style="58" customWidth="1"/>
    <col min="2172" max="2172" width="11.5" style="58" customWidth="1"/>
    <col min="2173" max="2188" width="12.25" style="58" customWidth="1"/>
    <col min="2189" max="2189" width="13" style="58" customWidth="1"/>
    <col min="2190" max="2194" width="12.375" style="58" customWidth="1"/>
    <col min="2195" max="2195" width="13" style="58" customWidth="1"/>
    <col min="2196" max="2197" width="12.375" style="58" customWidth="1"/>
    <col min="2198" max="2198" width="13" style="58" customWidth="1"/>
    <col min="2199" max="2199" width="13.125" style="58" customWidth="1"/>
    <col min="2200" max="2200" width="13" style="58" customWidth="1"/>
    <col min="2201" max="2201" width="13.125" style="58" customWidth="1"/>
    <col min="2202" max="2203" width="12.375" style="58" customWidth="1"/>
    <col min="2204" max="2204" width="13" style="58" customWidth="1"/>
    <col min="2205" max="2205" width="12.375" style="58" customWidth="1"/>
    <col min="2206" max="2206" width="12.25" style="58" customWidth="1"/>
    <col min="2207" max="2207" width="12.125" style="58" customWidth="1"/>
    <col min="2208" max="2208" width="11.625" style="58" customWidth="1"/>
    <col min="2209" max="2209" width="12" style="58" customWidth="1"/>
    <col min="2210" max="2210" width="13" style="58" customWidth="1"/>
    <col min="2211" max="2211" width="11.625" style="58" customWidth="1"/>
    <col min="2212" max="2213" width="12" style="58" customWidth="1"/>
    <col min="2214" max="2216" width="11.625" style="58" customWidth="1"/>
    <col min="2217" max="2217" width="11.125" style="58" customWidth="1"/>
    <col min="2218" max="2218" width="12" style="58" customWidth="1"/>
    <col min="2219" max="2219" width="13" style="58" customWidth="1"/>
    <col min="2220" max="2220" width="13.625" style="58" customWidth="1"/>
    <col min="2221" max="2221" width="11.875" style="58" customWidth="1"/>
    <col min="2222" max="2223" width="11.625" style="58" customWidth="1"/>
    <col min="2224" max="2224" width="12" style="58" customWidth="1"/>
    <col min="2225" max="2225" width="12.75" style="58" customWidth="1"/>
    <col min="2226" max="2226" width="11.625" style="58" customWidth="1"/>
    <col min="2227" max="2227" width="12.125" style="58" customWidth="1"/>
    <col min="2228" max="2229" width="11.625" style="58" customWidth="1"/>
    <col min="2230" max="2230" width="12.5" style="58" customWidth="1"/>
    <col min="2231" max="2405" width="11.625" style="58" customWidth="1"/>
    <col min="2406" max="2406" width="17.75" style="58" customWidth="1"/>
    <col min="2407" max="2408" width="9" style="58" customWidth="1"/>
    <col min="2409" max="2409" width="16.25" style="58" customWidth="1"/>
    <col min="2410" max="2410" width="24" style="58" customWidth="1"/>
    <col min="2411" max="2411" width="9" style="58"/>
    <col min="2412" max="2412" width="11.75" style="58" customWidth="1"/>
    <col min="2413" max="2413" width="8.875" style="58" customWidth="1"/>
    <col min="2414" max="2414" width="17.375" style="58" customWidth="1"/>
    <col min="2415" max="2415" width="13.25" style="58" customWidth="1"/>
    <col min="2416" max="2416" width="25.75" style="58" customWidth="1"/>
    <col min="2417" max="2417" width="11.125" style="58" customWidth="1"/>
    <col min="2418" max="2418" width="10.75" style="58" customWidth="1"/>
    <col min="2419" max="2419" width="9" style="58" customWidth="1"/>
    <col min="2420" max="2420" width="9.75" style="58" customWidth="1"/>
    <col min="2421" max="2421" width="7.5" style="58" customWidth="1"/>
    <col min="2422" max="2422" width="13.25" style="58" customWidth="1"/>
    <col min="2423" max="2423" width="11.75" style="58" customWidth="1"/>
    <col min="2424" max="2424" width="8.875" style="58" customWidth="1"/>
    <col min="2425" max="2425" width="9.625" style="58" customWidth="1"/>
    <col min="2426" max="2427" width="11.875" style="58" customWidth="1"/>
    <col min="2428" max="2428" width="11.5" style="58" customWidth="1"/>
    <col min="2429" max="2444" width="12.25" style="58" customWidth="1"/>
    <col min="2445" max="2445" width="13" style="58" customWidth="1"/>
    <col min="2446" max="2450" width="12.375" style="58" customWidth="1"/>
    <col min="2451" max="2451" width="13" style="58" customWidth="1"/>
    <col min="2452" max="2453" width="12.375" style="58" customWidth="1"/>
    <col min="2454" max="2454" width="13" style="58" customWidth="1"/>
    <col min="2455" max="2455" width="13.125" style="58" customWidth="1"/>
    <col min="2456" max="2456" width="13" style="58" customWidth="1"/>
    <col min="2457" max="2457" width="13.125" style="58" customWidth="1"/>
    <col min="2458" max="2459" width="12.375" style="58" customWidth="1"/>
    <col min="2460" max="2460" width="13" style="58" customWidth="1"/>
    <col min="2461" max="2461" width="12.375" style="58" customWidth="1"/>
    <col min="2462" max="2462" width="12.25" style="58" customWidth="1"/>
    <col min="2463" max="2463" width="12.125" style="58" customWidth="1"/>
    <col min="2464" max="2464" width="11.625" style="58" customWidth="1"/>
    <col min="2465" max="2465" width="12" style="58" customWidth="1"/>
    <col min="2466" max="2466" width="13" style="58" customWidth="1"/>
    <col min="2467" max="2467" width="11.625" style="58" customWidth="1"/>
    <col min="2468" max="2469" width="12" style="58" customWidth="1"/>
    <col min="2470" max="2472" width="11.625" style="58" customWidth="1"/>
    <col min="2473" max="2473" width="11.125" style="58" customWidth="1"/>
    <col min="2474" max="2474" width="12" style="58" customWidth="1"/>
    <col min="2475" max="2475" width="13" style="58" customWidth="1"/>
    <col min="2476" max="2476" width="13.625" style="58" customWidth="1"/>
    <col min="2477" max="2477" width="11.875" style="58" customWidth="1"/>
    <col min="2478" max="2479" width="11.625" style="58" customWidth="1"/>
    <col min="2480" max="2480" width="12" style="58" customWidth="1"/>
    <col min="2481" max="2481" width="12.75" style="58" customWidth="1"/>
    <col min="2482" max="2482" width="11.625" style="58" customWidth="1"/>
    <col min="2483" max="2483" width="12.125" style="58" customWidth="1"/>
    <col min="2484" max="2485" width="11.625" style="58" customWidth="1"/>
    <col min="2486" max="2486" width="12.5" style="58" customWidth="1"/>
    <col min="2487" max="2661" width="11.625" style="58" customWidth="1"/>
    <col min="2662" max="2662" width="17.75" style="58" customWidth="1"/>
    <col min="2663" max="2664" width="9" style="58" customWidth="1"/>
    <col min="2665" max="2665" width="16.25" style="58" customWidth="1"/>
    <col min="2666" max="2666" width="24" style="58" customWidth="1"/>
    <col min="2667" max="2667" width="9" style="58"/>
    <col min="2668" max="2668" width="11.75" style="58" customWidth="1"/>
    <col min="2669" max="2669" width="8.875" style="58" customWidth="1"/>
    <col min="2670" max="2670" width="17.375" style="58" customWidth="1"/>
    <col min="2671" max="2671" width="13.25" style="58" customWidth="1"/>
    <col min="2672" max="2672" width="25.75" style="58" customWidth="1"/>
    <col min="2673" max="2673" width="11.125" style="58" customWidth="1"/>
    <col min="2674" max="2674" width="10.75" style="58" customWidth="1"/>
    <col min="2675" max="2675" width="9" style="58" customWidth="1"/>
    <col min="2676" max="2676" width="9.75" style="58" customWidth="1"/>
    <col min="2677" max="2677" width="7.5" style="58" customWidth="1"/>
    <col min="2678" max="2678" width="13.25" style="58" customWidth="1"/>
    <col min="2679" max="2679" width="11.75" style="58" customWidth="1"/>
    <col min="2680" max="2680" width="8.875" style="58" customWidth="1"/>
    <col min="2681" max="2681" width="9.625" style="58" customWidth="1"/>
    <col min="2682" max="2683" width="11.875" style="58" customWidth="1"/>
    <col min="2684" max="2684" width="11.5" style="58" customWidth="1"/>
    <col min="2685" max="2700" width="12.25" style="58" customWidth="1"/>
    <col min="2701" max="2701" width="13" style="58" customWidth="1"/>
    <col min="2702" max="2706" width="12.375" style="58" customWidth="1"/>
    <col min="2707" max="2707" width="13" style="58" customWidth="1"/>
    <col min="2708" max="2709" width="12.375" style="58" customWidth="1"/>
    <col min="2710" max="2710" width="13" style="58" customWidth="1"/>
    <col min="2711" max="2711" width="13.125" style="58" customWidth="1"/>
    <col min="2712" max="2712" width="13" style="58" customWidth="1"/>
    <col min="2713" max="2713" width="13.125" style="58" customWidth="1"/>
    <col min="2714" max="2715" width="12.375" style="58" customWidth="1"/>
    <col min="2716" max="2716" width="13" style="58" customWidth="1"/>
    <col min="2717" max="2717" width="12.375" style="58" customWidth="1"/>
    <col min="2718" max="2718" width="12.25" style="58" customWidth="1"/>
    <col min="2719" max="2719" width="12.125" style="58" customWidth="1"/>
    <col min="2720" max="2720" width="11.625" style="58" customWidth="1"/>
    <col min="2721" max="2721" width="12" style="58" customWidth="1"/>
    <col min="2722" max="2722" width="13" style="58" customWidth="1"/>
    <col min="2723" max="2723" width="11.625" style="58" customWidth="1"/>
    <col min="2724" max="2725" width="12" style="58" customWidth="1"/>
    <col min="2726" max="2728" width="11.625" style="58" customWidth="1"/>
    <col min="2729" max="2729" width="11.125" style="58" customWidth="1"/>
    <col min="2730" max="2730" width="12" style="58" customWidth="1"/>
    <col min="2731" max="2731" width="13" style="58" customWidth="1"/>
    <col min="2732" max="2732" width="13.625" style="58" customWidth="1"/>
    <col min="2733" max="2733" width="11.875" style="58" customWidth="1"/>
    <col min="2734" max="2735" width="11.625" style="58" customWidth="1"/>
    <col min="2736" max="2736" width="12" style="58" customWidth="1"/>
    <col min="2737" max="2737" width="12.75" style="58" customWidth="1"/>
    <col min="2738" max="2738" width="11.625" style="58" customWidth="1"/>
    <col min="2739" max="2739" width="12.125" style="58" customWidth="1"/>
    <col min="2740" max="2741" width="11.625" style="58" customWidth="1"/>
    <col min="2742" max="2742" width="12.5" style="58" customWidth="1"/>
    <col min="2743" max="2917" width="11.625" style="58" customWidth="1"/>
    <col min="2918" max="2918" width="17.75" style="58" customWidth="1"/>
    <col min="2919" max="2920" width="9" style="58" customWidth="1"/>
    <col min="2921" max="2921" width="16.25" style="58" customWidth="1"/>
    <col min="2922" max="2922" width="24" style="58" customWidth="1"/>
    <col min="2923" max="2923" width="9" style="58"/>
    <col min="2924" max="2924" width="11.75" style="58" customWidth="1"/>
    <col min="2925" max="2925" width="8.875" style="58" customWidth="1"/>
    <col min="2926" max="2926" width="17.375" style="58" customWidth="1"/>
    <col min="2927" max="2927" width="13.25" style="58" customWidth="1"/>
    <col min="2928" max="2928" width="25.75" style="58" customWidth="1"/>
    <col min="2929" max="2929" width="11.125" style="58" customWidth="1"/>
    <col min="2930" max="2930" width="10.75" style="58" customWidth="1"/>
    <col min="2931" max="2931" width="9" style="58" customWidth="1"/>
    <col min="2932" max="2932" width="9.75" style="58" customWidth="1"/>
    <col min="2933" max="2933" width="7.5" style="58" customWidth="1"/>
    <col min="2934" max="2934" width="13.25" style="58" customWidth="1"/>
    <col min="2935" max="2935" width="11.75" style="58" customWidth="1"/>
    <col min="2936" max="2936" width="8.875" style="58" customWidth="1"/>
    <col min="2937" max="2937" width="9.625" style="58" customWidth="1"/>
    <col min="2938" max="2939" width="11.875" style="58" customWidth="1"/>
    <col min="2940" max="2940" width="11.5" style="58" customWidth="1"/>
    <col min="2941" max="2956" width="12.25" style="58" customWidth="1"/>
    <col min="2957" max="2957" width="13" style="58" customWidth="1"/>
    <col min="2958" max="2962" width="12.375" style="58" customWidth="1"/>
    <col min="2963" max="2963" width="13" style="58" customWidth="1"/>
    <col min="2964" max="2965" width="12.375" style="58" customWidth="1"/>
    <col min="2966" max="2966" width="13" style="58" customWidth="1"/>
    <col min="2967" max="2967" width="13.125" style="58" customWidth="1"/>
    <col min="2968" max="2968" width="13" style="58" customWidth="1"/>
    <col min="2969" max="2969" width="13.125" style="58" customWidth="1"/>
    <col min="2970" max="2971" width="12.375" style="58" customWidth="1"/>
    <col min="2972" max="2972" width="13" style="58" customWidth="1"/>
    <col min="2973" max="2973" width="12.375" style="58" customWidth="1"/>
    <col min="2974" max="2974" width="12.25" style="58" customWidth="1"/>
    <col min="2975" max="2975" width="12.125" style="58" customWidth="1"/>
    <col min="2976" max="2976" width="11.625" style="58" customWidth="1"/>
    <col min="2977" max="2977" width="12" style="58" customWidth="1"/>
    <col min="2978" max="2978" width="13" style="58" customWidth="1"/>
    <col min="2979" max="2979" width="11.625" style="58" customWidth="1"/>
    <col min="2980" max="2981" width="12" style="58" customWidth="1"/>
    <col min="2982" max="2984" width="11.625" style="58" customWidth="1"/>
    <col min="2985" max="2985" width="11.125" style="58" customWidth="1"/>
    <col min="2986" max="2986" width="12" style="58" customWidth="1"/>
    <col min="2987" max="2987" width="13" style="58" customWidth="1"/>
    <col min="2988" max="2988" width="13.625" style="58" customWidth="1"/>
    <col min="2989" max="2989" width="11.875" style="58" customWidth="1"/>
    <col min="2990" max="2991" width="11.625" style="58" customWidth="1"/>
    <col min="2992" max="2992" width="12" style="58" customWidth="1"/>
    <col min="2993" max="2993" width="12.75" style="58" customWidth="1"/>
    <col min="2994" max="2994" width="11.625" style="58" customWidth="1"/>
    <col min="2995" max="2995" width="12.125" style="58" customWidth="1"/>
    <col min="2996" max="2997" width="11.625" style="58" customWidth="1"/>
    <col min="2998" max="2998" width="12.5" style="58" customWidth="1"/>
    <col min="2999" max="3173" width="11.625" style="58" customWidth="1"/>
    <col min="3174" max="3174" width="17.75" style="58" customWidth="1"/>
    <col min="3175" max="3176" width="9" style="58" customWidth="1"/>
    <col min="3177" max="3177" width="16.25" style="58" customWidth="1"/>
    <col min="3178" max="3178" width="24" style="58" customWidth="1"/>
    <col min="3179" max="3179" width="9" style="58"/>
    <col min="3180" max="3180" width="11.75" style="58" customWidth="1"/>
    <col min="3181" max="3181" width="8.875" style="58" customWidth="1"/>
    <col min="3182" max="3182" width="17.375" style="58" customWidth="1"/>
    <col min="3183" max="3183" width="13.25" style="58" customWidth="1"/>
    <col min="3184" max="3184" width="25.75" style="58" customWidth="1"/>
    <col min="3185" max="3185" width="11.125" style="58" customWidth="1"/>
    <col min="3186" max="3186" width="10.75" style="58" customWidth="1"/>
    <col min="3187" max="3187" width="9" style="58" customWidth="1"/>
    <col min="3188" max="3188" width="9.75" style="58" customWidth="1"/>
    <col min="3189" max="3189" width="7.5" style="58" customWidth="1"/>
    <col min="3190" max="3190" width="13.25" style="58" customWidth="1"/>
    <col min="3191" max="3191" width="11.75" style="58" customWidth="1"/>
    <col min="3192" max="3192" width="8.875" style="58" customWidth="1"/>
    <col min="3193" max="3193" width="9.625" style="58" customWidth="1"/>
    <col min="3194" max="3195" width="11.875" style="58" customWidth="1"/>
    <col min="3196" max="3196" width="11.5" style="58" customWidth="1"/>
    <col min="3197" max="3212" width="12.25" style="58" customWidth="1"/>
    <col min="3213" max="3213" width="13" style="58" customWidth="1"/>
    <col min="3214" max="3218" width="12.375" style="58" customWidth="1"/>
    <col min="3219" max="3219" width="13" style="58" customWidth="1"/>
    <col min="3220" max="3221" width="12.375" style="58" customWidth="1"/>
    <col min="3222" max="3222" width="13" style="58" customWidth="1"/>
    <col min="3223" max="3223" width="13.125" style="58" customWidth="1"/>
    <col min="3224" max="3224" width="13" style="58" customWidth="1"/>
    <col min="3225" max="3225" width="13.125" style="58" customWidth="1"/>
    <col min="3226" max="3227" width="12.375" style="58" customWidth="1"/>
    <col min="3228" max="3228" width="13" style="58" customWidth="1"/>
    <col min="3229" max="3229" width="12.375" style="58" customWidth="1"/>
    <col min="3230" max="3230" width="12.25" style="58" customWidth="1"/>
    <col min="3231" max="3231" width="12.125" style="58" customWidth="1"/>
    <col min="3232" max="3232" width="11.625" style="58" customWidth="1"/>
    <col min="3233" max="3233" width="12" style="58" customWidth="1"/>
    <col min="3234" max="3234" width="13" style="58" customWidth="1"/>
    <col min="3235" max="3235" width="11.625" style="58" customWidth="1"/>
    <col min="3236" max="3237" width="12" style="58" customWidth="1"/>
    <col min="3238" max="3240" width="11.625" style="58" customWidth="1"/>
    <col min="3241" max="3241" width="11.125" style="58" customWidth="1"/>
    <col min="3242" max="3242" width="12" style="58" customWidth="1"/>
    <col min="3243" max="3243" width="13" style="58" customWidth="1"/>
    <col min="3244" max="3244" width="13.625" style="58" customWidth="1"/>
    <col min="3245" max="3245" width="11.875" style="58" customWidth="1"/>
    <col min="3246" max="3247" width="11.625" style="58" customWidth="1"/>
    <col min="3248" max="3248" width="12" style="58" customWidth="1"/>
    <col min="3249" max="3249" width="12.75" style="58" customWidth="1"/>
    <col min="3250" max="3250" width="11.625" style="58" customWidth="1"/>
    <col min="3251" max="3251" width="12.125" style="58" customWidth="1"/>
    <col min="3252" max="3253" width="11.625" style="58" customWidth="1"/>
    <col min="3254" max="3254" width="12.5" style="58" customWidth="1"/>
    <col min="3255" max="3429" width="11.625" style="58" customWidth="1"/>
    <col min="3430" max="3430" width="17.75" style="58" customWidth="1"/>
    <col min="3431" max="3432" width="9" style="58" customWidth="1"/>
    <col min="3433" max="3433" width="16.25" style="58" customWidth="1"/>
    <col min="3434" max="3434" width="24" style="58" customWidth="1"/>
    <col min="3435" max="3435" width="9" style="58"/>
    <col min="3436" max="3436" width="11.75" style="58" customWidth="1"/>
    <col min="3437" max="3437" width="8.875" style="58" customWidth="1"/>
    <col min="3438" max="3438" width="17.375" style="58" customWidth="1"/>
    <col min="3439" max="3439" width="13.25" style="58" customWidth="1"/>
    <col min="3440" max="3440" width="25.75" style="58" customWidth="1"/>
    <col min="3441" max="3441" width="11.125" style="58" customWidth="1"/>
    <col min="3442" max="3442" width="10.75" style="58" customWidth="1"/>
    <col min="3443" max="3443" width="9" style="58" customWidth="1"/>
    <col min="3444" max="3444" width="9.75" style="58" customWidth="1"/>
    <col min="3445" max="3445" width="7.5" style="58" customWidth="1"/>
    <col min="3446" max="3446" width="13.25" style="58" customWidth="1"/>
    <col min="3447" max="3447" width="11.75" style="58" customWidth="1"/>
    <col min="3448" max="3448" width="8.875" style="58" customWidth="1"/>
    <col min="3449" max="3449" width="9.625" style="58" customWidth="1"/>
    <col min="3450" max="3451" width="11.875" style="58" customWidth="1"/>
    <col min="3452" max="3452" width="11.5" style="58" customWidth="1"/>
    <col min="3453" max="3468" width="12.25" style="58" customWidth="1"/>
    <col min="3469" max="3469" width="13" style="58" customWidth="1"/>
    <col min="3470" max="3474" width="12.375" style="58" customWidth="1"/>
    <col min="3475" max="3475" width="13" style="58" customWidth="1"/>
    <col min="3476" max="3477" width="12.375" style="58" customWidth="1"/>
    <col min="3478" max="3478" width="13" style="58" customWidth="1"/>
    <col min="3479" max="3479" width="13.125" style="58" customWidth="1"/>
    <col min="3480" max="3480" width="13" style="58" customWidth="1"/>
    <col min="3481" max="3481" width="13.125" style="58" customWidth="1"/>
    <col min="3482" max="3483" width="12.375" style="58" customWidth="1"/>
    <col min="3484" max="3484" width="13" style="58" customWidth="1"/>
    <col min="3485" max="3485" width="12.375" style="58" customWidth="1"/>
    <col min="3486" max="3486" width="12.25" style="58" customWidth="1"/>
    <col min="3487" max="3487" width="12.125" style="58" customWidth="1"/>
    <col min="3488" max="3488" width="11.625" style="58" customWidth="1"/>
    <col min="3489" max="3489" width="12" style="58" customWidth="1"/>
    <col min="3490" max="3490" width="13" style="58" customWidth="1"/>
    <col min="3491" max="3491" width="11.625" style="58" customWidth="1"/>
    <col min="3492" max="3493" width="12" style="58" customWidth="1"/>
    <col min="3494" max="3496" width="11.625" style="58" customWidth="1"/>
    <col min="3497" max="3497" width="11.125" style="58" customWidth="1"/>
    <col min="3498" max="3498" width="12" style="58" customWidth="1"/>
    <col min="3499" max="3499" width="13" style="58" customWidth="1"/>
    <col min="3500" max="3500" width="13.625" style="58" customWidth="1"/>
    <col min="3501" max="3501" width="11.875" style="58" customWidth="1"/>
    <col min="3502" max="3503" width="11.625" style="58" customWidth="1"/>
    <col min="3504" max="3504" width="12" style="58" customWidth="1"/>
    <col min="3505" max="3505" width="12.75" style="58" customWidth="1"/>
    <col min="3506" max="3506" width="11.625" style="58" customWidth="1"/>
    <col min="3507" max="3507" width="12.125" style="58" customWidth="1"/>
    <col min="3508" max="3509" width="11.625" style="58" customWidth="1"/>
    <col min="3510" max="3510" width="12.5" style="58" customWidth="1"/>
    <col min="3511" max="3685" width="11.625" style="58" customWidth="1"/>
    <col min="3686" max="3686" width="17.75" style="58" customWidth="1"/>
    <col min="3687" max="3688" width="9" style="58" customWidth="1"/>
    <col min="3689" max="3689" width="16.25" style="58" customWidth="1"/>
    <col min="3690" max="3690" width="24" style="58" customWidth="1"/>
    <col min="3691" max="3691" width="9" style="58"/>
    <col min="3692" max="3692" width="11.75" style="58" customWidth="1"/>
    <col min="3693" max="3693" width="8.875" style="58" customWidth="1"/>
    <col min="3694" max="3694" width="17.375" style="58" customWidth="1"/>
    <col min="3695" max="3695" width="13.25" style="58" customWidth="1"/>
    <col min="3696" max="3696" width="25.75" style="58" customWidth="1"/>
    <col min="3697" max="3697" width="11.125" style="58" customWidth="1"/>
    <col min="3698" max="3698" width="10.75" style="58" customWidth="1"/>
    <col min="3699" max="3699" width="9" style="58" customWidth="1"/>
    <col min="3700" max="3700" width="9.75" style="58" customWidth="1"/>
    <col min="3701" max="3701" width="7.5" style="58" customWidth="1"/>
    <col min="3702" max="3702" width="13.25" style="58" customWidth="1"/>
    <col min="3703" max="3703" width="11.75" style="58" customWidth="1"/>
    <col min="3704" max="3704" width="8.875" style="58" customWidth="1"/>
    <col min="3705" max="3705" width="9.625" style="58" customWidth="1"/>
    <col min="3706" max="3707" width="11.875" style="58" customWidth="1"/>
    <col min="3708" max="3708" width="11.5" style="58" customWidth="1"/>
    <col min="3709" max="3724" width="12.25" style="58" customWidth="1"/>
    <col min="3725" max="3725" width="13" style="58" customWidth="1"/>
    <col min="3726" max="3730" width="12.375" style="58" customWidth="1"/>
    <col min="3731" max="3731" width="13" style="58" customWidth="1"/>
    <col min="3732" max="3733" width="12.375" style="58" customWidth="1"/>
    <col min="3734" max="3734" width="13" style="58" customWidth="1"/>
    <col min="3735" max="3735" width="13.125" style="58" customWidth="1"/>
    <col min="3736" max="3736" width="13" style="58" customWidth="1"/>
    <col min="3737" max="3737" width="13.125" style="58" customWidth="1"/>
    <col min="3738" max="3739" width="12.375" style="58" customWidth="1"/>
    <col min="3740" max="3740" width="13" style="58" customWidth="1"/>
    <col min="3741" max="3741" width="12.375" style="58" customWidth="1"/>
    <col min="3742" max="3742" width="12.25" style="58" customWidth="1"/>
    <col min="3743" max="3743" width="12.125" style="58" customWidth="1"/>
    <col min="3744" max="3744" width="11.625" style="58" customWidth="1"/>
    <col min="3745" max="3745" width="12" style="58" customWidth="1"/>
    <col min="3746" max="3746" width="13" style="58" customWidth="1"/>
    <col min="3747" max="3747" width="11.625" style="58" customWidth="1"/>
    <col min="3748" max="3749" width="12" style="58" customWidth="1"/>
    <col min="3750" max="3752" width="11.625" style="58" customWidth="1"/>
    <col min="3753" max="3753" width="11.125" style="58" customWidth="1"/>
    <col min="3754" max="3754" width="12" style="58" customWidth="1"/>
    <col min="3755" max="3755" width="13" style="58" customWidth="1"/>
    <col min="3756" max="3756" width="13.625" style="58" customWidth="1"/>
    <col min="3757" max="3757" width="11.875" style="58" customWidth="1"/>
    <col min="3758" max="3759" width="11.625" style="58" customWidth="1"/>
    <col min="3760" max="3760" width="12" style="58" customWidth="1"/>
    <col min="3761" max="3761" width="12.75" style="58" customWidth="1"/>
    <col min="3762" max="3762" width="11.625" style="58" customWidth="1"/>
    <col min="3763" max="3763" width="12.125" style="58" customWidth="1"/>
    <col min="3764" max="3765" width="11.625" style="58" customWidth="1"/>
    <col min="3766" max="3766" width="12.5" style="58" customWidth="1"/>
    <col min="3767" max="3941" width="11.625" style="58" customWidth="1"/>
    <col min="3942" max="3942" width="17.75" style="58" customWidth="1"/>
    <col min="3943" max="3944" width="9" style="58" customWidth="1"/>
    <col min="3945" max="3945" width="16.25" style="58" customWidth="1"/>
    <col min="3946" max="3946" width="24" style="58" customWidth="1"/>
    <col min="3947" max="3947" width="9" style="58"/>
    <col min="3948" max="3948" width="11.75" style="58" customWidth="1"/>
    <col min="3949" max="3949" width="8.875" style="58" customWidth="1"/>
    <col min="3950" max="3950" width="17.375" style="58" customWidth="1"/>
    <col min="3951" max="3951" width="13.25" style="58" customWidth="1"/>
    <col min="3952" max="3952" width="25.75" style="58" customWidth="1"/>
    <col min="3953" max="3953" width="11.125" style="58" customWidth="1"/>
    <col min="3954" max="3954" width="10.75" style="58" customWidth="1"/>
    <col min="3955" max="3955" width="9" style="58" customWidth="1"/>
    <col min="3956" max="3956" width="9.75" style="58" customWidth="1"/>
    <col min="3957" max="3957" width="7.5" style="58" customWidth="1"/>
    <col min="3958" max="3958" width="13.25" style="58" customWidth="1"/>
    <col min="3959" max="3959" width="11.75" style="58" customWidth="1"/>
    <col min="3960" max="3960" width="8.875" style="58" customWidth="1"/>
    <col min="3961" max="3961" width="9.625" style="58" customWidth="1"/>
    <col min="3962" max="3963" width="11.875" style="58" customWidth="1"/>
    <col min="3964" max="3964" width="11.5" style="58" customWidth="1"/>
    <col min="3965" max="3980" width="12.25" style="58" customWidth="1"/>
    <col min="3981" max="3981" width="13" style="58" customWidth="1"/>
    <col min="3982" max="3986" width="12.375" style="58" customWidth="1"/>
    <col min="3987" max="3987" width="13" style="58" customWidth="1"/>
    <col min="3988" max="3989" width="12.375" style="58" customWidth="1"/>
    <col min="3990" max="3990" width="13" style="58" customWidth="1"/>
    <col min="3991" max="3991" width="13.125" style="58" customWidth="1"/>
    <col min="3992" max="3992" width="13" style="58" customWidth="1"/>
    <col min="3993" max="3993" width="13.125" style="58" customWidth="1"/>
    <col min="3994" max="3995" width="12.375" style="58" customWidth="1"/>
    <col min="3996" max="3996" width="13" style="58" customWidth="1"/>
    <col min="3997" max="3997" width="12.375" style="58" customWidth="1"/>
    <col min="3998" max="3998" width="12.25" style="58" customWidth="1"/>
    <col min="3999" max="3999" width="12.125" style="58" customWidth="1"/>
    <col min="4000" max="4000" width="11.625" style="58" customWidth="1"/>
    <col min="4001" max="4001" width="12" style="58" customWidth="1"/>
    <col min="4002" max="4002" width="13" style="58" customWidth="1"/>
    <col min="4003" max="4003" width="11.625" style="58" customWidth="1"/>
    <col min="4004" max="4005" width="12" style="58" customWidth="1"/>
    <col min="4006" max="4008" width="11.625" style="58" customWidth="1"/>
    <col min="4009" max="4009" width="11.125" style="58" customWidth="1"/>
    <col min="4010" max="4010" width="12" style="58" customWidth="1"/>
    <col min="4011" max="4011" width="13" style="58" customWidth="1"/>
    <col min="4012" max="4012" width="13.625" style="58" customWidth="1"/>
    <col min="4013" max="4013" width="11.875" style="58" customWidth="1"/>
    <col min="4014" max="4015" width="11.625" style="58" customWidth="1"/>
    <col min="4016" max="4016" width="12" style="58" customWidth="1"/>
    <col min="4017" max="4017" width="12.75" style="58" customWidth="1"/>
    <col min="4018" max="4018" width="11.625" style="58" customWidth="1"/>
    <col min="4019" max="4019" width="12.125" style="58" customWidth="1"/>
    <col min="4020" max="4021" width="11.625" style="58" customWidth="1"/>
    <col min="4022" max="4022" width="12.5" style="58" customWidth="1"/>
    <col min="4023" max="4197" width="11.625" style="58" customWidth="1"/>
    <col min="4198" max="4198" width="17.75" style="58" customWidth="1"/>
    <col min="4199" max="4200" width="9" style="58" customWidth="1"/>
    <col min="4201" max="4201" width="16.25" style="58" customWidth="1"/>
    <col min="4202" max="4202" width="24" style="58" customWidth="1"/>
    <col min="4203" max="4203" width="9" style="58"/>
    <col min="4204" max="4204" width="11.75" style="58" customWidth="1"/>
    <col min="4205" max="4205" width="8.875" style="58" customWidth="1"/>
    <col min="4206" max="4206" width="17.375" style="58" customWidth="1"/>
    <col min="4207" max="4207" width="13.25" style="58" customWidth="1"/>
    <col min="4208" max="4208" width="25.75" style="58" customWidth="1"/>
    <col min="4209" max="4209" width="11.125" style="58" customWidth="1"/>
    <col min="4210" max="4210" width="10.75" style="58" customWidth="1"/>
    <col min="4211" max="4211" width="9" style="58" customWidth="1"/>
    <col min="4212" max="4212" width="9.75" style="58" customWidth="1"/>
    <col min="4213" max="4213" width="7.5" style="58" customWidth="1"/>
    <col min="4214" max="4214" width="13.25" style="58" customWidth="1"/>
    <col min="4215" max="4215" width="11.75" style="58" customWidth="1"/>
    <col min="4216" max="4216" width="8.875" style="58" customWidth="1"/>
    <col min="4217" max="4217" width="9.625" style="58" customWidth="1"/>
    <col min="4218" max="4219" width="11.875" style="58" customWidth="1"/>
    <col min="4220" max="4220" width="11.5" style="58" customWidth="1"/>
    <col min="4221" max="4236" width="12.25" style="58" customWidth="1"/>
    <col min="4237" max="4237" width="13" style="58" customWidth="1"/>
    <col min="4238" max="4242" width="12.375" style="58" customWidth="1"/>
    <col min="4243" max="4243" width="13" style="58" customWidth="1"/>
    <col min="4244" max="4245" width="12.375" style="58" customWidth="1"/>
    <col min="4246" max="4246" width="13" style="58" customWidth="1"/>
    <col min="4247" max="4247" width="13.125" style="58" customWidth="1"/>
    <col min="4248" max="4248" width="13" style="58" customWidth="1"/>
    <col min="4249" max="4249" width="13.125" style="58" customWidth="1"/>
    <col min="4250" max="4251" width="12.375" style="58" customWidth="1"/>
    <col min="4252" max="4252" width="13" style="58" customWidth="1"/>
    <col min="4253" max="4253" width="12.375" style="58" customWidth="1"/>
    <col min="4254" max="4254" width="12.25" style="58" customWidth="1"/>
    <col min="4255" max="4255" width="12.125" style="58" customWidth="1"/>
    <col min="4256" max="4256" width="11.625" style="58" customWidth="1"/>
    <col min="4257" max="4257" width="12" style="58" customWidth="1"/>
    <col min="4258" max="4258" width="13" style="58" customWidth="1"/>
    <col min="4259" max="4259" width="11.625" style="58" customWidth="1"/>
    <col min="4260" max="4261" width="12" style="58" customWidth="1"/>
    <col min="4262" max="4264" width="11.625" style="58" customWidth="1"/>
    <col min="4265" max="4265" width="11.125" style="58" customWidth="1"/>
    <col min="4266" max="4266" width="12" style="58" customWidth="1"/>
    <col min="4267" max="4267" width="13" style="58" customWidth="1"/>
    <col min="4268" max="4268" width="13.625" style="58" customWidth="1"/>
    <col min="4269" max="4269" width="11.875" style="58" customWidth="1"/>
    <col min="4270" max="4271" width="11.625" style="58" customWidth="1"/>
    <col min="4272" max="4272" width="12" style="58" customWidth="1"/>
    <col min="4273" max="4273" width="12.75" style="58" customWidth="1"/>
    <col min="4274" max="4274" width="11.625" style="58" customWidth="1"/>
    <col min="4275" max="4275" width="12.125" style="58" customWidth="1"/>
    <col min="4276" max="4277" width="11.625" style="58" customWidth="1"/>
    <col min="4278" max="4278" width="12.5" style="58" customWidth="1"/>
    <col min="4279" max="4453" width="11.625" style="58" customWidth="1"/>
    <col min="4454" max="4454" width="17.75" style="58" customWidth="1"/>
    <col min="4455" max="4456" width="9" style="58" customWidth="1"/>
    <col min="4457" max="4457" width="16.25" style="58" customWidth="1"/>
    <col min="4458" max="4458" width="24" style="58" customWidth="1"/>
    <col min="4459" max="4459" width="9" style="58"/>
    <col min="4460" max="4460" width="11.75" style="58" customWidth="1"/>
    <col min="4461" max="4461" width="8.875" style="58" customWidth="1"/>
    <col min="4462" max="4462" width="17.375" style="58" customWidth="1"/>
    <col min="4463" max="4463" width="13.25" style="58" customWidth="1"/>
    <col min="4464" max="4464" width="25.75" style="58" customWidth="1"/>
    <col min="4465" max="4465" width="11.125" style="58" customWidth="1"/>
    <col min="4466" max="4466" width="10.75" style="58" customWidth="1"/>
    <col min="4467" max="4467" width="9" style="58" customWidth="1"/>
    <col min="4468" max="4468" width="9.75" style="58" customWidth="1"/>
    <col min="4469" max="4469" width="7.5" style="58" customWidth="1"/>
    <col min="4470" max="4470" width="13.25" style="58" customWidth="1"/>
    <col min="4471" max="4471" width="11.75" style="58" customWidth="1"/>
    <col min="4472" max="4472" width="8.875" style="58" customWidth="1"/>
    <col min="4473" max="4473" width="9.625" style="58" customWidth="1"/>
    <col min="4474" max="4475" width="11.875" style="58" customWidth="1"/>
    <col min="4476" max="4476" width="11.5" style="58" customWidth="1"/>
    <col min="4477" max="4492" width="12.25" style="58" customWidth="1"/>
    <col min="4493" max="4493" width="13" style="58" customWidth="1"/>
    <col min="4494" max="4498" width="12.375" style="58" customWidth="1"/>
    <col min="4499" max="4499" width="13" style="58" customWidth="1"/>
    <col min="4500" max="4501" width="12.375" style="58" customWidth="1"/>
    <col min="4502" max="4502" width="13" style="58" customWidth="1"/>
    <col min="4503" max="4503" width="13.125" style="58" customWidth="1"/>
    <col min="4504" max="4504" width="13" style="58" customWidth="1"/>
    <col min="4505" max="4505" width="13.125" style="58" customWidth="1"/>
    <col min="4506" max="4507" width="12.375" style="58" customWidth="1"/>
    <col min="4508" max="4508" width="13" style="58" customWidth="1"/>
    <col min="4509" max="4509" width="12.375" style="58" customWidth="1"/>
    <col min="4510" max="4510" width="12.25" style="58" customWidth="1"/>
    <col min="4511" max="4511" width="12.125" style="58" customWidth="1"/>
    <col min="4512" max="4512" width="11.625" style="58" customWidth="1"/>
    <col min="4513" max="4513" width="12" style="58" customWidth="1"/>
    <col min="4514" max="4514" width="13" style="58" customWidth="1"/>
    <col min="4515" max="4515" width="11.625" style="58" customWidth="1"/>
    <col min="4516" max="4517" width="12" style="58" customWidth="1"/>
    <col min="4518" max="4520" width="11.625" style="58" customWidth="1"/>
    <col min="4521" max="4521" width="11.125" style="58" customWidth="1"/>
    <col min="4522" max="4522" width="12" style="58" customWidth="1"/>
    <col min="4523" max="4523" width="13" style="58" customWidth="1"/>
    <col min="4524" max="4524" width="13.625" style="58" customWidth="1"/>
    <col min="4525" max="4525" width="11.875" style="58" customWidth="1"/>
    <col min="4526" max="4527" width="11.625" style="58" customWidth="1"/>
    <col min="4528" max="4528" width="12" style="58" customWidth="1"/>
    <col min="4529" max="4529" width="12.75" style="58" customWidth="1"/>
    <col min="4530" max="4530" width="11.625" style="58" customWidth="1"/>
    <col min="4531" max="4531" width="12.125" style="58" customWidth="1"/>
    <col min="4532" max="4533" width="11.625" style="58" customWidth="1"/>
    <col min="4534" max="4534" width="12.5" style="58" customWidth="1"/>
    <col min="4535" max="4709" width="11.625" style="58" customWidth="1"/>
    <col min="4710" max="4710" width="17.75" style="58" customWidth="1"/>
    <col min="4711" max="4712" width="9" style="58" customWidth="1"/>
    <col min="4713" max="4713" width="16.25" style="58" customWidth="1"/>
    <col min="4714" max="4714" width="24" style="58" customWidth="1"/>
    <col min="4715" max="4715" width="9" style="58"/>
    <col min="4716" max="4716" width="11.75" style="58" customWidth="1"/>
    <col min="4717" max="4717" width="8.875" style="58" customWidth="1"/>
    <col min="4718" max="4718" width="17.375" style="58" customWidth="1"/>
    <col min="4719" max="4719" width="13.25" style="58" customWidth="1"/>
    <col min="4720" max="4720" width="25.75" style="58" customWidth="1"/>
    <col min="4721" max="4721" width="11.125" style="58" customWidth="1"/>
    <col min="4722" max="4722" width="10.75" style="58" customWidth="1"/>
    <col min="4723" max="4723" width="9" style="58" customWidth="1"/>
    <col min="4724" max="4724" width="9.75" style="58" customWidth="1"/>
    <col min="4725" max="4725" width="7.5" style="58" customWidth="1"/>
    <col min="4726" max="4726" width="13.25" style="58" customWidth="1"/>
    <col min="4727" max="4727" width="11.75" style="58" customWidth="1"/>
    <col min="4728" max="4728" width="8.875" style="58" customWidth="1"/>
    <col min="4729" max="4729" width="9.625" style="58" customWidth="1"/>
    <col min="4730" max="4731" width="11.875" style="58" customWidth="1"/>
    <col min="4732" max="4732" width="11.5" style="58" customWidth="1"/>
    <col min="4733" max="4748" width="12.25" style="58" customWidth="1"/>
    <col min="4749" max="4749" width="13" style="58" customWidth="1"/>
    <col min="4750" max="4754" width="12.375" style="58" customWidth="1"/>
    <col min="4755" max="4755" width="13" style="58" customWidth="1"/>
    <col min="4756" max="4757" width="12.375" style="58" customWidth="1"/>
    <col min="4758" max="4758" width="13" style="58" customWidth="1"/>
    <col min="4759" max="4759" width="13.125" style="58" customWidth="1"/>
    <col min="4760" max="4760" width="13" style="58" customWidth="1"/>
    <col min="4761" max="4761" width="13.125" style="58" customWidth="1"/>
    <col min="4762" max="4763" width="12.375" style="58" customWidth="1"/>
    <col min="4764" max="4764" width="13" style="58" customWidth="1"/>
    <col min="4765" max="4765" width="12.375" style="58" customWidth="1"/>
    <col min="4766" max="4766" width="12.25" style="58" customWidth="1"/>
    <col min="4767" max="4767" width="12.125" style="58" customWidth="1"/>
    <col min="4768" max="4768" width="11.625" style="58" customWidth="1"/>
    <col min="4769" max="4769" width="12" style="58" customWidth="1"/>
    <col min="4770" max="4770" width="13" style="58" customWidth="1"/>
    <col min="4771" max="4771" width="11.625" style="58" customWidth="1"/>
    <col min="4772" max="4773" width="12" style="58" customWidth="1"/>
    <col min="4774" max="4776" width="11.625" style="58" customWidth="1"/>
    <col min="4777" max="4777" width="11.125" style="58" customWidth="1"/>
    <col min="4778" max="4778" width="12" style="58" customWidth="1"/>
    <col min="4779" max="4779" width="13" style="58" customWidth="1"/>
    <col min="4780" max="4780" width="13.625" style="58" customWidth="1"/>
    <col min="4781" max="4781" width="11.875" style="58" customWidth="1"/>
    <col min="4782" max="4783" width="11.625" style="58" customWidth="1"/>
    <col min="4784" max="4784" width="12" style="58" customWidth="1"/>
    <col min="4785" max="4785" width="12.75" style="58" customWidth="1"/>
    <col min="4786" max="4786" width="11.625" style="58" customWidth="1"/>
    <col min="4787" max="4787" width="12.125" style="58" customWidth="1"/>
    <col min="4788" max="4789" width="11.625" style="58" customWidth="1"/>
    <col min="4790" max="4790" width="12.5" style="58" customWidth="1"/>
    <col min="4791" max="4965" width="11.625" style="58" customWidth="1"/>
    <col min="4966" max="4966" width="17.75" style="58" customWidth="1"/>
    <col min="4967" max="4968" width="9" style="58" customWidth="1"/>
    <col min="4969" max="4969" width="16.25" style="58" customWidth="1"/>
    <col min="4970" max="4970" width="24" style="58" customWidth="1"/>
    <col min="4971" max="4971" width="9" style="58"/>
    <col min="4972" max="4972" width="11.75" style="58" customWidth="1"/>
    <col min="4973" max="4973" width="8.875" style="58" customWidth="1"/>
    <col min="4974" max="4974" width="17.375" style="58" customWidth="1"/>
    <col min="4975" max="4975" width="13.25" style="58" customWidth="1"/>
    <col min="4976" max="4976" width="25.75" style="58" customWidth="1"/>
    <col min="4977" max="4977" width="11.125" style="58" customWidth="1"/>
    <col min="4978" max="4978" width="10.75" style="58" customWidth="1"/>
    <col min="4979" max="4979" width="9" style="58" customWidth="1"/>
    <col min="4980" max="4980" width="9.75" style="58" customWidth="1"/>
    <col min="4981" max="4981" width="7.5" style="58" customWidth="1"/>
    <col min="4982" max="4982" width="13.25" style="58" customWidth="1"/>
    <col min="4983" max="4983" width="11.75" style="58" customWidth="1"/>
    <col min="4984" max="4984" width="8.875" style="58" customWidth="1"/>
    <col min="4985" max="4985" width="9.625" style="58" customWidth="1"/>
    <col min="4986" max="4987" width="11.875" style="58" customWidth="1"/>
    <col min="4988" max="4988" width="11.5" style="58" customWidth="1"/>
    <col min="4989" max="5004" width="12.25" style="58" customWidth="1"/>
    <col min="5005" max="5005" width="13" style="58" customWidth="1"/>
    <col min="5006" max="5010" width="12.375" style="58" customWidth="1"/>
    <col min="5011" max="5011" width="13" style="58" customWidth="1"/>
    <col min="5012" max="5013" width="12.375" style="58" customWidth="1"/>
    <col min="5014" max="5014" width="13" style="58" customWidth="1"/>
    <col min="5015" max="5015" width="13.125" style="58" customWidth="1"/>
    <col min="5016" max="5016" width="13" style="58" customWidth="1"/>
    <col min="5017" max="5017" width="13.125" style="58" customWidth="1"/>
    <col min="5018" max="5019" width="12.375" style="58" customWidth="1"/>
    <col min="5020" max="5020" width="13" style="58" customWidth="1"/>
    <col min="5021" max="5021" width="12.375" style="58" customWidth="1"/>
    <col min="5022" max="5022" width="12.25" style="58" customWidth="1"/>
    <col min="5023" max="5023" width="12.125" style="58" customWidth="1"/>
    <col min="5024" max="5024" width="11.625" style="58" customWidth="1"/>
    <col min="5025" max="5025" width="12" style="58" customWidth="1"/>
    <col min="5026" max="5026" width="13" style="58" customWidth="1"/>
    <col min="5027" max="5027" width="11.625" style="58" customWidth="1"/>
    <col min="5028" max="5029" width="12" style="58" customWidth="1"/>
    <col min="5030" max="5032" width="11.625" style="58" customWidth="1"/>
    <col min="5033" max="5033" width="11.125" style="58" customWidth="1"/>
    <col min="5034" max="5034" width="12" style="58" customWidth="1"/>
    <col min="5035" max="5035" width="13" style="58" customWidth="1"/>
    <col min="5036" max="5036" width="13.625" style="58" customWidth="1"/>
    <col min="5037" max="5037" width="11.875" style="58" customWidth="1"/>
    <col min="5038" max="5039" width="11.625" style="58" customWidth="1"/>
    <col min="5040" max="5040" width="12" style="58" customWidth="1"/>
    <col min="5041" max="5041" width="12.75" style="58" customWidth="1"/>
    <col min="5042" max="5042" width="11.625" style="58" customWidth="1"/>
    <col min="5043" max="5043" width="12.125" style="58" customWidth="1"/>
    <col min="5044" max="5045" width="11.625" style="58" customWidth="1"/>
    <col min="5046" max="5046" width="12.5" style="58" customWidth="1"/>
    <col min="5047" max="5221" width="11.625" style="58" customWidth="1"/>
    <col min="5222" max="5222" width="17.75" style="58" customWidth="1"/>
    <col min="5223" max="5224" width="9" style="58" customWidth="1"/>
    <col min="5225" max="5225" width="16.25" style="58" customWidth="1"/>
    <col min="5226" max="5226" width="24" style="58" customWidth="1"/>
    <col min="5227" max="5227" width="9" style="58"/>
    <col min="5228" max="5228" width="11.75" style="58" customWidth="1"/>
    <col min="5229" max="5229" width="8.875" style="58" customWidth="1"/>
    <col min="5230" max="5230" width="17.375" style="58" customWidth="1"/>
    <col min="5231" max="5231" width="13.25" style="58" customWidth="1"/>
    <col min="5232" max="5232" width="25.75" style="58" customWidth="1"/>
    <col min="5233" max="5233" width="11.125" style="58" customWidth="1"/>
    <col min="5234" max="5234" width="10.75" style="58" customWidth="1"/>
    <col min="5235" max="5235" width="9" style="58" customWidth="1"/>
    <col min="5236" max="5236" width="9.75" style="58" customWidth="1"/>
    <col min="5237" max="5237" width="7.5" style="58" customWidth="1"/>
    <col min="5238" max="5238" width="13.25" style="58" customWidth="1"/>
    <col min="5239" max="5239" width="11.75" style="58" customWidth="1"/>
    <col min="5240" max="5240" width="8.875" style="58" customWidth="1"/>
    <col min="5241" max="5241" width="9.625" style="58" customWidth="1"/>
    <col min="5242" max="5243" width="11.875" style="58" customWidth="1"/>
    <col min="5244" max="5244" width="11.5" style="58" customWidth="1"/>
    <col min="5245" max="5260" width="12.25" style="58" customWidth="1"/>
    <col min="5261" max="5261" width="13" style="58" customWidth="1"/>
    <col min="5262" max="5266" width="12.375" style="58" customWidth="1"/>
    <col min="5267" max="5267" width="13" style="58" customWidth="1"/>
    <col min="5268" max="5269" width="12.375" style="58" customWidth="1"/>
    <col min="5270" max="5270" width="13" style="58" customWidth="1"/>
    <col min="5271" max="5271" width="13.125" style="58" customWidth="1"/>
    <col min="5272" max="5272" width="13" style="58" customWidth="1"/>
    <col min="5273" max="5273" width="13.125" style="58" customWidth="1"/>
    <col min="5274" max="5275" width="12.375" style="58" customWidth="1"/>
    <col min="5276" max="5276" width="13" style="58" customWidth="1"/>
    <col min="5277" max="5277" width="12.375" style="58" customWidth="1"/>
    <col min="5278" max="5278" width="12.25" style="58" customWidth="1"/>
    <col min="5279" max="5279" width="12.125" style="58" customWidth="1"/>
    <col min="5280" max="5280" width="11.625" style="58" customWidth="1"/>
    <col min="5281" max="5281" width="12" style="58" customWidth="1"/>
    <col min="5282" max="5282" width="13" style="58" customWidth="1"/>
    <col min="5283" max="5283" width="11.625" style="58" customWidth="1"/>
    <col min="5284" max="5285" width="12" style="58" customWidth="1"/>
    <col min="5286" max="5288" width="11.625" style="58" customWidth="1"/>
    <col min="5289" max="5289" width="11.125" style="58" customWidth="1"/>
    <col min="5290" max="5290" width="12" style="58" customWidth="1"/>
    <col min="5291" max="5291" width="13" style="58" customWidth="1"/>
    <col min="5292" max="5292" width="13.625" style="58" customWidth="1"/>
    <col min="5293" max="5293" width="11.875" style="58" customWidth="1"/>
    <col min="5294" max="5295" width="11.625" style="58" customWidth="1"/>
    <col min="5296" max="5296" width="12" style="58" customWidth="1"/>
    <col min="5297" max="5297" width="12.75" style="58" customWidth="1"/>
    <col min="5298" max="5298" width="11.625" style="58" customWidth="1"/>
    <col min="5299" max="5299" width="12.125" style="58" customWidth="1"/>
    <col min="5300" max="5301" width="11.625" style="58" customWidth="1"/>
    <col min="5302" max="5302" width="12.5" style="58" customWidth="1"/>
    <col min="5303" max="5477" width="11.625" style="58" customWidth="1"/>
    <col min="5478" max="5478" width="17.75" style="58" customWidth="1"/>
    <col min="5479" max="5480" width="9" style="58" customWidth="1"/>
    <col min="5481" max="5481" width="16.25" style="58" customWidth="1"/>
    <col min="5482" max="5482" width="24" style="58" customWidth="1"/>
    <col min="5483" max="5483" width="9" style="58"/>
    <col min="5484" max="5484" width="11.75" style="58" customWidth="1"/>
    <col min="5485" max="5485" width="8.875" style="58" customWidth="1"/>
    <col min="5486" max="5486" width="17.375" style="58" customWidth="1"/>
    <col min="5487" max="5487" width="13.25" style="58" customWidth="1"/>
    <col min="5488" max="5488" width="25.75" style="58" customWidth="1"/>
    <col min="5489" max="5489" width="11.125" style="58" customWidth="1"/>
    <col min="5490" max="5490" width="10.75" style="58" customWidth="1"/>
    <col min="5491" max="5491" width="9" style="58" customWidth="1"/>
    <col min="5492" max="5492" width="9.75" style="58" customWidth="1"/>
    <col min="5493" max="5493" width="7.5" style="58" customWidth="1"/>
    <col min="5494" max="5494" width="13.25" style="58" customWidth="1"/>
    <col min="5495" max="5495" width="11.75" style="58" customWidth="1"/>
    <col min="5496" max="5496" width="8.875" style="58" customWidth="1"/>
    <col min="5497" max="5497" width="9.625" style="58" customWidth="1"/>
    <col min="5498" max="5499" width="11.875" style="58" customWidth="1"/>
    <col min="5500" max="5500" width="11.5" style="58" customWidth="1"/>
    <col min="5501" max="5516" width="12.25" style="58" customWidth="1"/>
    <col min="5517" max="5517" width="13" style="58" customWidth="1"/>
    <col min="5518" max="5522" width="12.375" style="58" customWidth="1"/>
    <col min="5523" max="5523" width="13" style="58" customWidth="1"/>
    <col min="5524" max="5525" width="12.375" style="58" customWidth="1"/>
    <col min="5526" max="5526" width="13" style="58" customWidth="1"/>
    <col min="5527" max="5527" width="13.125" style="58" customWidth="1"/>
    <col min="5528" max="5528" width="13" style="58" customWidth="1"/>
    <col min="5529" max="5529" width="13.125" style="58" customWidth="1"/>
    <col min="5530" max="5531" width="12.375" style="58" customWidth="1"/>
    <col min="5532" max="5532" width="13" style="58" customWidth="1"/>
    <col min="5533" max="5533" width="12.375" style="58" customWidth="1"/>
    <col min="5534" max="5534" width="12.25" style="58" customWidth="1"/>
    <col min="5535" max="5535" width="12.125" style="58" customWidth="1"/>
    <col min="5536" max="5536" width="11.625" style="58" customWidth="1"/>
    <col min="5537" max="5537" width="12" style="58" customWidth="1"/>
    <col min="5538" max="5538" width="13" style="58" customWidth="1"/>
    <col min="5539" max="5539" width="11.625" style="58" customWidth="1"/>
    <col min="5540" max="5541" width="12" style="58" customWidth="1"/>
    <col min="5542" max="5544" width="11.625" style="58" customWidth="1"/>
    <col min="5545" max="5545" width="11.125" style="58" customWidth="1"/>
    <col min="5546" max="5546" width="12" style="58" customWidth="1"/>
    <col min="5547" max="5547" width="13" style="58" customWidth="1"/>
    <col min="5548" max="5548" width="13.625" style="58" customWidth="1"/>
    <col min="5549" max="5549" width="11.875" style="58" customWidth="1"/>
    <col min="5550" max="5551" width="11.625" style="58" customWidth="1"/>
    <col min="5552" max="5552" width="12" style="58" customWidth="1"/>
    <col min="5553" max="5553" width="12.75" style="58" customWidth="1"/>
    <col min="5554" max="5554" width="11.625" style="58" customWidth="1"/>
    <col min="5555" max="5555" width="12.125" style="58" customWidth="1"/>
    <col min="5556" max="5557" width="11.625" style="58" customWidth="1"/>
    <col min="5558" max="5558" width="12.5" style="58" customWidth="1"/>
    <col min="5559" max="5733" width="11.625" style="58" customWidth="1"/>
    <col min="5734" max="5734" width="17.75" style="58" customWidth="1"/>
    <col min="5735" max="5736" width="9" style="58" customWidth="1"/>
    <col min="5737" max="5737" width="16.25" style="58" customWidth="1"/>
    <col min="5738" max="5738" width="24" style="58" customWidth="1"/>
    <col min="5739" max="5739" width="9" style="58"/>
    <col min="5740" max="5740" width="11.75" style="58" customWidth="1"/>
    <col min="5741" max="5741" width="8.875" style="58" customWidth="1"/>
    <col min="5742" max="5742" width="17.375" style="58" customWidth="1"/>
    <col min="5743" max="5743" width="13.25" style="58" customWidth="1"/>
    <col min="5744" max="5744" width="25.75" style="58" customWidth="1"/>
    <col min="5745" max="5745" width="11.125" style="58" customWidth="1"/>
    <col min="5746" max="5746" width="10.75" style="58" customWidth="1"/>
    <col min="5747" max="5747" width="9" style="58" customWidth="1"/>
    <col min="5748" max="5748" width="9.75" style="58" customWidth="1"/>
    <col min="5749" max="5749" width="7.5" style="58" customWidth="1"/>
    <col min="5750" max="5750" width="13.25" style="58" customWidth="1"/>
    <col min="5751" max="5751" width="11.75" style="58" customWidth="1"/>
    <col min="5752" max="5752" width="8.875" style="58" customWidth="1"/>
    <col min="5753" max="5753" width="9.625" style="58" customWidth="1"/>
    <col min="5754" max="5755" width="11.875" style="58" customWidth="1"/>
    <col min="5756" max="5756" width="11.5" style="58" customWidth="1"/>
    <col min="5757" max="5772" width="12.25" style="58" customWidth="1"/>
    <col min="5773" max="5773" width="13" style="58" customWidth="1"/>
    <col min="5774" max="5778" width="12.375" style="58" customWidth="1"/>
    <col min="5779" max="5779" width="13" style="58" customWidth="1"/>
    <col min="5780" max="5781" width="12.375" style="58" customWidth="1"/>
    <col min="5782" max="5782" width="13" style="58" customWidth="1"/>
    <col min="5783" max="5783" width="13.125" style="58" customWidth="1"/>
    <col min="5784" max="5784" width="13" style="58" customWidth="1"/>
    <col min="5785" max="5785" width="13.125" style="58" customWidth="1"/>
    <col min="5786" max="5787" width="12.375" style="58" customWidth="1"/>
    <col min="5788" max="5788" width="13" style="58" customWidth="1"/>
    <col min="5789" max="5789" width="12.375" style="58" customWidth="1"/>
    <col min="5790" max="5790" width="12.25" style="58" customWidth="1"/>
    <col min="5791" max="5791" width="12.125" style="58" customWidth="1"/>
    <col min="5792" max="5792" width="11.625" style="58" customWidth="1"/>
    <col min="5793" max="5793" width="12" style="58" customWidth="1"/>
    <col min="5794" max="5794" width="13" style="58" customWidth="1"/>
    <col min="5795" max="5795" width="11.625" style="58" customWidth="1"/>
    <col min="5796" max="5797" width="12" style="58" customWidth="1"/>
    <col min="5798" max="5800" width="11.625" style="58" customWidth="1"/>
    <col min="5801" max="5801" width="11.125" style="58" customWidth="1"/>
    <col min="5802" max="5802" width="12" style="58" customWidth="1"/>
    <col min="5803" max="5803" width="13" style="58" customWidth="1"/>
    <col min="5804" max="5804" width="13.625" style="58" customWidth="1"/>
    <col min="5805" max="5805" width="11.875" style="58" customWidth="1"/>
    <col min="5806" max="5807" width="11.625" style="58" customWidth="1"/>
    <col min="5808" max="5808" width="12" style="58" customWidth="1"/>
    <col min="5809" max="5809" width="12.75" style="58" customWidth="1"/>
    <col min="5810" max="5810" width="11.625" style="58" customWidth="1"/>
    <col min="5811" max="5811" width="12.125" style="58" customWidth="1"/>
    <col min="5812" max="5813" width="11.625" style="58" customWidth="1"/>
    <col min="5814" max="5814" width="12.5" style="58" customWidth="1"/>
    <col min="5815" max="5989" width="11.625" style="58" customWidth="1"/>
    <col min="5990" max="5990" width="17.75" style="58" customWidth="1"/>
    <col min="5991" max="5992" width="9" style="58" customWidth="1"/>
    <col min="5993" max="5993" width="16.25" style="58" customWidth="1"/>
    <col min="5994" max="5994" width="24" style="58" customWidth="1"/>
    <col min="5995" max="5995" width="9" style="58"/>
    <col min="5996" max="5996" width="11.75" style="58" customWidth="1"/>
    <col min="5997" max="5997" width="8.875" style="58" customWidth="1"/>
    <col min="5998" max="5998" width="17.375" style="58" customWidth="1"/>
    <col min="5999" max="5999" width="13.25" style="58" customWidth="1"/>
    <col min="6000" max="6000" width="25.75" style="58" customWidth="1"/>
    <col min="6001" max="6001" width="11.125" style="58" customWidth="1"/>
    <col min="6002" max="6002" width="10.75" style="58" customWidth="1"/>
    <col min="6003" max="6003" width="9" style="58" customWidth="1"/>
    <col min="6004" max="6004" width="9.75" style="58" customWidth="1"/>
    <col min="6005" max="6005" width="7.5" style="58" customWidth="1"/>
    <col min="6006" max="6006" width="13.25" style="58" customWidth="1"/>
    <col min="6007" max="6007" width="11.75" style="58" customWidth="1"/>
    <col min="6008" max="6008" width="8.875" style="58" customWidth="1"/>
    <col min="6009" max="6009" width="9.625" style="58" customWidth="1"/>
    <col min="6010" max="6011" width="11.875" style="58" customWidth="1"/>
    <col min="6012" max="6012" width="11.5" style="58" customWidth="1"/>
    <col min="6013" max="6028" width="12.25" style="58" customWidth="1"/>
    <col min="6029" max="6029" width="13" style="58" customWidth="1"/>
    <col min="6030" max="6034" width="12.375" style="58" customWidth="1"/>
    <col min="6035" max="6035" width="13" style="58" customWidth="1"/>
    <col min="6036" max="6037" width="12.375" style="58" customWidth="1"/>
    <col min="6038" max="6038" width="13" style="58" customWidth="1"/>
    <col min="6039" max="6039" width="13.125" style="58" customWidth="1"/>
    <col min="6040" max="6040" width="13" style="58" customWidth="1"/>
    <col min="6041" max="6041" width="13.125" style="58" customWidth="1"/>
    <col min="6042" max="6043" width="12.375" style="58" customWidth="1"/>
    <col min="6044" max="6044" width="13" style="58" customWidth="1"/>
    <col min="6045" max="6045" width="12.375" style="58" customWidth="1"/>
    <col min="6046" max="6046" width="12.25" style="58" customWidth="1"/>
    <col min="6047" max="6047" width="12.125" style="58" customWidth="1"/>
    <col min="6048" max="6048" width="11.625" style="58" customWidth="1"/>
    <col min="6049" max="6049" width="12" style="58" customWidth="1"/>
    <col min="6050" max="6050" width="13" style="58" customWidth="1"/>
    <col min="6051" max="6051" width="11.625" style="58" customWidth="1"/>
    <col min="6052" max="6053" width="12" style="58" customWidth="1"/>
    <col min="6054" max="6056" width="11.625" style="58" customWidth="1"/>
    <col min="6057" max="6057" width="11.125" style="58" customWidth="1"/>
    <col min="6058" max="6058" width="12" style="58" customWidth="1"/>
    <col min="6059" max="6059" width="13" style="58" customWidth="1"/>
    <col min="6060" max="6060" width="13.625" style="58" customWidth="1"/>
    <col min="6061" max="6061" width="11.875" style="58" customWidth="1"/>
    <col min="6062" max="6063" width="11.625" style="58" customWidth="1"/>
    <col min="6064" max="6064" width="12" style="58" customWidth="1"/>
    <col min="6065" max="6065" width="12.75" style="58" customWidth="1"/>
    <col min="6066" max="6066" width="11.625" style="58" customWidth="1"/>
    <col min="6067" max="6067" width="12.125" style="58" customWidth="1"/>
    <col min="6068" max="6069" width="11.625" style="58" customWidth="1"/>
    <col min="6070" max="6070" width="12.5" style="58" customWidth="1"/>
    <col min="6071" max="6245" width="11.625" style="58" customWidth="1"/>
    <col min="6246" max="6246" width="17.75" style="58" customWidth="1"/>
    <col min="6247" max="6248" width="9" style="58" customWidth="1"/>
    <col min="6249" max="6249" width="16.25" style="58" customWidth="1"/>
    <col min="6250" max="6250" width="24" style="58" customWidth="1"/>
    <col min="6251" max="6251" width="9" style="58"/>
    <col min="6252" max="6252" width="11.75" style="58" customWidth="1"/>
    <col min="6253" max="6253" width="8.875" style="58" customWidth="1"/>
    <col min="6254" max="6254" width="17.375" style="58" customWidth="1"/>
    <col min="6255" max="6255" width="13.25" style="58" customWidth="1"/>
    <col min="6256" max="6256" width="25.75" style="58" customWidth="1"/>
    <col min="6257" max="6257" width="11.125" style="58" customWidth="1"/>
    <col min="6258" max="6258" width="10.75" style="58" customWidth="1"/>
    <col min="6259" max="6259" width="9" style="58" customWidth="1"/>
    <col min="6260" max="6260" width="9.75" style="58" customWidth="1"/>
    <col min="6261" max="6261" width="7.5" style="58" customWidth="1"/>
    <col min="6262" max="6262" width="13.25" style="58" customWidth="1"/>
    <col min="6263" max="6263" width="11.75" style="58" customWidth="1"/>
    <col min="6264" max="6264" width="8.875" style="58" customWidth="1"/>
    <col min="6265" max="6265" width="9.625" style="58" customWidth="1"/>
    <col min="6266" max="6267" width="11.875" style="58" customWidth="1"/>
    <col min="6268" max="6268" width="11.5" style="58" customWidth="1"/>
    <col min="6269" max="6284" width="12.25" style="58" customWidth="1"/>
    <col min="6285" max="6285" width="13" style="58" customWidth="1"/>
    <col min="6286" max="6290" width="12.375" style="58" customWidth="1"/>
    <col min="6291" max="6291" width="13" style="58" customWidth="1"/>
    <col min="6292" max="6293" width="12.375" style="58" customWidth="1"/>
    <col min="6294" max="6294" width="13" style="58" customWidth="1"/>
    <col min="6295" max="6295" width="13.125" style="58" customWidth="1"/>
    <col min="6296" max="6296" width="13" style="58" customWidth="1"/>
    <col min="6297" max="6297" width="13.125" style="58" customWidth="1"/>
    <col min="6298" max="6299" width="12.375" style="58" customWidth="1"/>
    <col min="6300" max="6300" width="13" style="58" customWidth="1"/>
    <col min="6301" max="6301" width="12.375" style="58" customWidth="1"/>
    <col min="6302" max="6302" width="12.25" style="58" customWidth="1"/>
    <col min="6303" max="6303" width="12.125" style="58" customWidth="1"/>
    <col min="6304" max="6304" width="11.625" style="58" customWidth="1"/>
    <col min="6305" max="6305" width="12" style="58" customWidth="1"/>
    <col min="6306" max="6306" width="13" style="58" customWidth="1"/>
    <col min="6307" max="6307" width="11.625" style="58" customWidth="1"/>
    <col min="6308" max="6309" width="12" style="58" customWidth="1"/>
    <col min="6310" max="6312" width="11.625" style="58" customWidth="1"/>
    <col min="6313" max="6313" width="11.125" style="58" customWidth="1"/>
    <col min="6314" max="6314" width="12" style="58" customWidth="1"/>
    <col min="6315" max="6315" width="13" style="58" customWidth="1"/>
    <col min="6316" max="6316" width="13.625" style="58" customWidth="1"/>
    <col min="6317" max="6317" width="11.875" style="58" customWidth="1"/>
    <col min="6318" max="6319" width="11.625" style="58" customWidth="1"/>
    <col min="6320" max="6320" width="12" style="58" customWidth="1"/>
    <col min="6321" max="6321" width="12.75" style="58" customWidth="1"/>
    <col min="6322" max="6322" width="11.625" style="58" customWidth="1"/>
    <col min="6323" max="6323" width="12.125" style="58" customWidth="1"/>
    <col min="6324" max="6325" width="11.625" style="58" customWidth="1"/>
    <col min="6326" max="6326" width="12.5" style="58" customWidth="1"/>
    <col min="6327" max="6501" width="11.625" style="58" customWidth="1"/>
    <col min="6502" max="6502" width="17.75" style="58" customWidth="1"/>
    <col min="6503" max="6504" width="9" style="58" customWidth="1"/>
    <col min="6505" max="6505" width="16.25" style="58" customWidth="1"/>
    <col min="6506" max="6506" width="24" style="58" customWidth="1"/>
    <col min="6507" max="6507" width="9" style="58"/>
    <col min="6508" max="6508" width="11.75" style="58" customWidth="1"/>
    <col min="6509" max="6509" width="8.875" style="58" customWidth="1"/>
    <col min="6510" max="6510" width="17.375" style="58" customWidth="1"/>
    <col min="6511" max="6511" width="13.25" style="58" customWidth="1"/>
    <col min="6512" max="6512" width="25.75" style="58" customWidth="1"/>
    <col min="6513" max="6513" width="11.125" style="58" customWidth="1"/>
    <col min="6514" max="6514" width="10.75" style="58" customWidth="1"/>
    <col min="6515" max="6515" width="9" style="58" customWidth="1"/>
    <col min="6516" max="6516" width="9.75" style="58" customWidth="1"/>
    <col min="6517" max="6517" width="7.5" style="58" customWidth="1"/>
    <col min="6518" max="6518" width="13.25" style="58" customWidth="1"/>
    <col min="6519" max="6519" width="11.75" style="58" customWidth="1"/>
    <col min="6520" max="6520" width="8.875" style="58" customWidth="1"/>
    <col min="6521" max="6521" width="9.625" style="58" customWidth="1"/>
    <col min="6522" max="6523" width="11.875" style="58" customWidth="1"/>
    <col min="6524" max="6524" width="11.5" style="58" customWidth="1"/>
    <col min="6525" max="6540" width="12.25" style="58" customWidth="1"/>
    <col min="6541" max="6541" width="13" style="58" customWidth="1"/>
    <col min="6542" max="6546" width="12.375" style="58" customWidth="1"/>
    <col min="6547" max="6547" width="13" style="58" customWidth="1"/>
    <col min="6548" max="6549" width="12.375" style="58" customWidth="1"/>
    <col min="6550" max="6550" width="13" style="58" customWidth="1"/>
    <col min="6551" max="6551" width="13.125" style="58" customWidth="1"/>
    <col min="6552" max="6552" width="13" style="58" customWidth="1"/>
    <col min="6553" max="6553" width="13.125" style="58" customWidth="1"/>
    <col min="6554" max="6555" width="12.375" style="58" customWidth="1"/>
    <col min="6556" max="6556" width="13" style="58" customWidth="1"/>
    <col min="6557" max="6557" width="12.375" style="58" customWidth="1"/>
    <col min="6558" max="6558" width="12.25" style="58" customWidth="1"/>
    <col min="6559" max="6559" width="12.125" style="58" customWidth="1"/>
    <col min="6560" max="6560" width="11.625" style="58" customWidth="1"/>
    <col min="6561" max="6561" width="12" style="58" customWidth="1"/>
    <col min="6562" max="6562" width="13" style="58" customWidth="1"/>
    <col min="6563" max="6563" width="11.625" style="58" customWidth="1"/>
    <col min="6564" max="6565" width="12" style="58" customWidth="1"/>
    <col min="6566" max="6568" width="11.625" style="58" customWidth="1"/>
    <col min="6569" max="6569" width="11.125" style="58" customWidth="1"/>
    <col min="6570" max="6570" width="12" style="58" customWidth="1"/>
    <col min="6571" max="6571" width="13" style="58" customWidth="1"/>
    <col min="6572" max="6572" width="13.625" style="58" customWidth="1"/>
    <col min="6573" max="6573" width="11.875" style="58" customWidth="1"/>
    <col min="6574" max="6575" width="11.625" style="58" customWidth="1"/>
    <col min="6576" max="6576" width="12" style="58" customWidth="1"/>
    <col min="6577" max="6577" width="12.75" style="58" customWidth="1"/>
    <col min="6578" max="6578" width="11.625" style="58" customWidth="1"/>
    <col min="6579" max="6579" width="12.125" style="58" customWidth="1"/>
    <col min="6580" max="6581" width="11.625" style="58" customWidth="1"/>
    <col min="6582" max="6582" width="12.5" style="58" customWidth="1"/>
    <col min="6583" max="6757" width="11.625" style="58" customWidth="1"/>
    <col min="6758" max="6758" width="17.75" style="58" customWidth="1"/>
    <col min="6759" max="6760" width="9" style="58" customWidth="1"/>
    <col min="6761" max="6761" width="16.25" style="58" customWidth="1"/>
    <col min="6762" max="6762" width="24" style="58" customWidth="1"/>
    <col min="6763" max="6763" width="9" style="58"/>
    <col min="6764" max="6764" width="11.75" style="58" customWidth="1"/>
    <col min="6765" max="6765" width="8.875" style="58" customWidth="1"/>
    <col min="6766" max="6766" width="17.375" style="58" customWidth="1"/>
    <col min="6767" max="6767" width="13.25" style="58" customWidth="1"/>
    <col min="6768" max="6768" width="25.75" style="58" customWidth="1"/>
    <col min="6769" max="6769" width="11.125" style="58" customWidth="1"/>
    <col min="6770" max="6770" width="10.75" style="58" customWidth="1"/>
    <col min="6771" max="6771" width="9" style="58" customWidth="1"/>
    <col min="6772" max="6772" width="9.75" style="58" customWidth="1"/>
    <col min="6773" max="6773" width="7.5" style="58" customWidth="1"/>
    <col min="6774" max="6774" width="13.25" style="58" customWidth="1"/>
    <col min="6775" max="6775" width="11.75" style="58" customWidth="1"/>
    <col min="6776" max="6776" width="8.875" style="58" customWidth="1"/>
    <col min="6777" max="6777" width="9.625" style="58" customWidth="1"/>
    <col min="6778" max="6779" width="11.875" style="58" customWidth="1"/>
    <col min="6780" max="6780" width="11.5" style="58" customWidth="1"/>
    <col min="6781" max="6796" width="12.25" style="58" customWidth="1"/>
    <col min="6797" max="6797" width="13" style="58" customWidth="1"/>
    <col min="6798" max="6802" width="12.375" style="58" customWidth="1"/>
    <col min="6803" max="6803" width="13" style="58" customWidth="1"/>
    <col min="6804" max="6805" width="12.375" style="58" customWidth="1"/>
    <col min="6806" max="6806" width="13" style="58" customWidth="1"/>
    <col min="6807" max="6807" width="13.125" style="58" customWidth="1"/>
    <col min="6808" max="6808" width="13" style="58" customWidth="1"/>
    <col min="6809" max="6809" width="13.125" style="58" customWidth="1"/>
    <col min="6810" max="6811" width="12.375" style="58" customWidth="1"/>
    <col min="6812" max="6812" width="13" style="58" customWidth="1"/>
    <col min="6813" max="6813" width="12.375" style="58" customWidth="1"/>
    <col min="6814" max="6814" width="12.25" style="58" customWidth="1"/>
    <col min="6815" max="6815" width="12.125" style="58" customWidth="1"/>
    <col min="6816" max="6816" width="11.625" style="58" customWidth="1"/>
    <col min="6817" max="6817" width="12" style="58" customWidth="1"/>
    <col min="6818" max="6818" width="13" style="58" customWidth="1"/>
    <col min="6819" max="6819" width="11.625" style="58" customWidth="1"/>
    <col min="6820" max="6821" width="12" style="58" customWidth="1"/>
    <col min="6822" max="6824" width="11.625" style="58" customWidth="1"/>
    <col min="6825" max="6825" width="11.125" style="58" customWidth="1"/>
    <col min="6826" max="6826" width="12" style="58" customWidth="1"/>
    <col min="6827" max="6827" width="13" style="58" customWidth="1"/>
    <col min="6828" max="6828" width="13.625" style="58" customWidth="1"/>
    <col min="6829" max="6829" width="11.875" style="58" customWidth="1"/>
    <col min="6830" max="6831" width="11.625" style="58" customWidth="1"/>
    <col min="6832" max="6832" width="12" style="58" customWidth="1"/>
    <col min="6833" max="6833" width="12.75" style="58" customWidth="1"/>
    <col min="6834" max="6834" width="11.625" style="58" customWidth="1"/>
    <col min="6835" max="6835" width="12.125" style="58" customWidth="1"/>
    <col min="6836" max="6837" width="11.625" style="58" customWidth="1"/>
    <col min="6838" max="6838" width="12.5" style="58" customWidth="1"/>
    <col min="6839" max="7013" width="11.625" style="58" customWidth="1"/>
    <col min="7014" max="7014" width="17.75" style="58" customWidth="1"/>
    <col min="7015" max="7016" width="9" style="58" customWidth="1"/>
    <col min="7017" max="7017" width="16.25" style="58" customWidth="1"/>
    <col min="7018" max="7018" width="24" style="58" customWidth="1"/>
    <col min="7019" max="7019" width="9" style="58"/>
    <col min="7020" max="7020" width="11.75" style="58" customWidth="1"/>
    <col min="7021" max="7021" width="8.875" style="58" customWidth="1"/>
    <col min="7022" max="7022" width="17.375" style="58" customWidth="1"/>
    <col min="7023" max="7023" width="13.25" style="58" customWidth="1"/>
    <col min="7024" max="7024" width="25.75" style="58" customWidth="1"/>
    <col min="7025" max="7025" width="11.125" style="58" customWidth="1"/>
    <col min="7026" max="7026" width="10.75" style="58" customWidth="1"/>
    <col min="7027" max="7027" width="9" style="58" customWidth="1"/>
    <col min="7028" max="7028" width="9.75" style="58" customWidth="1"/>
    <col min="7029" max="7029" width="7.5" style="58" customWidth="1"/>
    <col min="7030" max="7030" width="13.25" style="58" customWidth="1"/>
    <col min="7031" max="7031" width="11.75" style="58" customWidth="1"/>
    <col min="7032" max="7032" width="8.875" style="58" customWidth="1"/>
    <col min="7033" max="7033" width="9.625" style="58" customWidth="1"/>
    <col min="7034" max="7035" width="11.875" style="58" customWidth="1"/>
    <col min="7036" max="7036" width="11.5" style="58" customWidth="1"/>
    <col min="7037" max="7052" width="12.25" style="58" customWidth="1"/>
    <col min="7053" max="7053" width="13" style="58" customWidth="1"/>
    <col min="7054" max="7058" width="12.375" style="58" customWidth="1"/>
    <col min="7059" max="7059" width="13" style="58" customWidth="1"/>
    <col min="7060" max="7061" width="12.375" style="58" customWidth="1"/>
    <col min="7062" max="7062" width="13" style="58" customWidth="1"/>
    <col min="7063" max="7063" width="13.125" style="58" customWidth="1"/>
    <col min="7064" max="7064" width="13" style="58" customWidth="1"/>
    <col min="7065" max="7065" width="13.125" style="58" customWidth="1"/>
    <col min="7066" max="7067" width="12.375" style="58" customWidth="1"/>
    <col min="7068" max="7068" width="13" style="58" customWidth="1"/>
    <col min="7069" max="7069" width="12.375" style="58" customWidth="1"/>
    <col min="7070" max="7070" width="12.25" style="58" customWidth="1"/>
    <col min="7071" max="7071" width="12.125" style="58" customWidth="1"/>
    <col min="7072" max="7072" width="11.625" style="58" customWidth="1"/>
    <col min="7073" max="7073" width="12" style="58" customWidth="1"/>
    <col min="7074" max="7074" width="13" style="58" customWidth="1"/>
    <col min="7075" max="7075" width="11.625" style="58" customWidth="1"/>
    <col min="7076" max="7077" width="12" style="58" customWidth="1"/>
    <col min="7078" max="7080" width="11.625" style="58" customWidth="1"/>
    <col min="7081" max="7081" width="11.125" style="58" customWidth="1"/>
    <col min="7082" max="7082" width="12" style="58" customWidth="1"/>
    <col min="7083" max="7083" width="13" style="58" customWidth="1"/>
    <col min="7084" max="7084" width="13.625" style="58" customWidth="1"/>
    <col min="7085" max="7085" width="11.875" style="58" customWidth="1"/>
    <col min="7086" max="7087" width="11.625" style="58" customWidth="1"/>
    <col min="7088" max="7088" width="12" style="58" customWidth="1"/>
    <col min="7089" max="7089" width="12.75" style="58" customWidth="1"/>
    <col min="7090" max="7090" width="11.625" style="58" customWidth="1"/>
    <col min="7091" max="7091" width="12.125" style="58" customWidth="1"/>
    <col min="7092" max="7093" width="11.625" style="58" customWidth="1"/>
    <col min="7094" max="7094" width="12.5" style="58" customWidth="1"/>
    <col min="7095" max="7269" width="11.625" style="58" customWidth="1"/>
    <col min="7270" max="7270" width="17.75" style="58" customWidth="1"/>
    <col min="7271" max="7272" width="9" style="58" customWidth="1"/>
    <col min="7273" max="7273" width="16.25" style="58" customWidth="1"/>
    <col min="7274" max="7274" width="24" style="58" customWidth="1"/>
    <col min="7275" max="7275" width="9" style="58"/>
    <col min="7276" max="7276" width="11.75" style="58" customWidth="1"/>
    <col min="7277" max="7277" width="8.875" style="58" customWidth="1"/>
    <col min="7278" max="7278" width="17.375" style="58" customWidth="1"/>
    <col min="7279" max="7279" width="13.25" style="58" customWidth="1"/>
    <col min="7280" max="7280" width="25.75" style="58" customWidth="1"/>
    <col min="7281" max="7281" width="11.125" style="58" customWidth="1"/>
    <col min="7282" max="7282" width="10.75" style="58" customWidth="1"/>
    <col min="7283" max="7283" width="9" style="58" customWidth="1"/>
    <col min="7284" max="7284" width="9.75" style="58" customWidth="1"/>
    <col min="7285" max="7285" width="7.5" style="58" customWidth="1"/>
    <col min="7286" max="7286" width="13.25" style="58" customWidth="1"/>
    <col min="7287" max="7287" width="11.75" style="58" customWidth="1"/>
    <col min="7288" max="7288" width="8.875" style="58" customWidth="1"/>
    <col min="7289" max="7289" width="9.625" style="58" customWidth="1"/>
    <col min="7290" max="7291" width="11.875" style="58" customWidth="1"/>
    <col min="7292" max="7292" width="11.5" style="58" customWidth="1"/>
    <col min="7293" max="7308" width="12.25" style="58" customWidth="1"/>
    <col min="7309" max="7309" width="13" style="58" customWidth="1"/>
    <col min="7310" max="7314" width="12.375" style="58" customWidth="1"/>
    <col min="7315" max="7315" width="13" style="58" customWidth="1"/>
    <col min="7316" max="7317" width="12.375" style="58" customWidth="1"/>
    <col min="7318" max="7318" width="13" style="58" customWidth="1"/>
    <col min="7319" max="7319" width="13.125" style="58" customWidth="1"/>
    <col min="7320" max="7320" width="13" style="58" customWidth="1"/>
    <col min="7321" max="7321" width="13.125" style="58" customWidth="1"/>
    <col min="7322" max="7323" width="12.375" style="58" customWidth="1"/>
    <col min="7324" max="7324" width="13" style="58" customWidth="1"/>
    <col min="7325" max="7325" width="12.375" style="58" customWidth="1"/>
    <col min="7326" max="7326" width="12.25" style="58" customWidth="1"/>
    <col min="7327" max="7327" width="12.125" style="58" customWidth="1"/>
    <col min="7328" max="7328" width="11.625" style="58" customWidth="1"/>
    <col min="7329" max="7329" width="12" style="58" customWidth="1"/>
    <col min="7330" max="7330" width="13" style="58" customWidth="1"/>
    <col min="7331" max="7331" width="11.625" style="58" customWidth="1"/>
    <col min="7332" max="7333" width="12" style="58" customWidth="1"/>
    <col min="7334" max="7336" width="11.625" style="58" customWidth="1"/>
    <col min="7337" max="7337" width="11.125" style="58" customWidth="1"/>
    <col min="7338" max="7338" width="12" style="58" customWidth="1"/>
    <col min="7339" max="7339" width="13" style="58" customWidth="1"/>
    <col min="7340" max="7340" width="13.625" style="58" customWidth="1"/>
    <col min="7341" max="7341" width="11.875" style="58" customWidth="1"/>
    <col min="7342" max="7343" width="11.625" style="58" customWidth="1"/>
    <col min="7344" max="7344" width="12" style="58" customWidth="1"/>
    <col min="7345" max="7345" width="12.75" style="58" customWidth="1"/>
    <col min="7346" max="7346" width="11.625" style="58" customWidth="1"/>
    <col min="7347" max="7347" width="12.125" style="58" customWidth="1"/>
    <col min="7348" max="7349" width="11.625" style="58" customWidth="1"/>
    <col min="7350" max="7350" width="12.5" style="58" customWidth="1"/>
    <col min="7351" max="7525" width="11.625" style="58" customWidth="1"/>
    <col min="7526" max="7526" width="17.75" style="58" customWidth="1"/>
    <col min="7527" max="7528" width="9" style="58" customWidth="1"/>
    <col min="7529" max="7529" width="16.25" style="58" customWidth="1"/>
    <col min="7530" max="7530" width="24" style="58" customWidth="1"/>
    <col min="7531" max="7531" width="9" style="58"/>
    <col min="7532" max="7532" width="11.75" style="58" customWidth="1"/>
    <col min="7533" max="7533" width="8.875" style="58" customWidth="1"/>
    <col min="7534" max="7534" width="17.375" style="58" customWidth="1"/>
    <col min="7535" max="7535" width="13.25" style="58" customWidth="1"/>
    <col min="7536" max="7536" width="25.75" style="58" customWidth="1"/>
    <col min="7537" max="7537" width="11.125" style="58" customWidth="1"/>
    <col min="7538" max="7538" width="10.75" style="58" customWidth="1"/>
    <col min="7539" max="7539" width="9" style="58" customWidth="1"/>
    <col min="7540" max="7540" width="9.75" style="58" customWidth="1"/>
    <col min="7541" max="7541" width="7.5" style="58" customWidth="1"/>
    <col min="7542" max="7542" width="13.25" style="58" customWidth="1"/>
    <col min="7543" max="7543" width="11.75" style="58" customWidth="1"/>
    <col min="7544" max="7544" width="8.875" style="58" customWidth="1"/>
    <col min="7545" max="7545" width="9.625" style="58" customWidth="1"/>
    <col min="7546" max="7547" width="11.875" style="58" customWidth="1"/>
    <col min="7548" max="7548" width="11.5" style="58" customWidth="1"/>
    <col min="7549" max="7564" width="12.25" style="58" customWidth="1"/>
    <col min="7565" max="7565" width="13" style="58" customWidth="1"/>
    <col min="7566" max="7570" width="12.375" style="58" customWidth="1"/>
    <col min="7571" max="7571" width="13" style="58" customWidth="1"/>
    <col min="7572" max="7573" width="12.375" style="58" customWidth="1"/>
    <col min="7574" max="7574" width="13" style="58" customWidth="1"/>
    <col min="7575" max="7575" width="13.125" style="58" customWidth="1"/>
    <col min="7576" max="7576" width="13" style="58" customWidth="1"/>
    <col min="7577" max="7577" width="13.125" style="58" customWidth="1"/>
    <col min="7578" max="7579" width="12.375" style="58" customWidth="1"/>
    <col min="7580" max="7580" width="13" style="58" customWidth="1"/>
    <col min="7581" max="7581" width="12.375" style="58" customWidth="1"/>
    <col min="7582" max="7582" width="12.25" style="58" customWidth="1"/>
    <col min="7583" max="7583" width="12.125" style="58" customWidth="1"/>
    <col min="7584" max="7584" width="11.625" style="58" customWidth="1"/>
    <col min="7585" max="7585" width="12" style="58" customWidth="1"/>
    <col min="7586" max="7586" width="13" style="58" customWidth="1"/>
    <col min="7587" max="7587" width="11.625" style="58" customWidth="1"/>
    <col min="7588" max="7589" width="12" style="58" customWidth="1"/>
    <col min="7590" max="7592" width="11.625" style="58" customWidth="1"/>
    <col min="7593" max="7593" width="11.125" style="58" customWidth="1"/>
    <col min="7594" max="7594" width="12" style="58" customWidth="1"/>
    <col min="7595" max="7595" width="13" style="58" customWidth="1"/>
    <col min="7596" max="7596" width="13.625" style="58" customWidth="1"/>
    <col min="7597" max="7597" width="11.875" style="58" customWidth="1"/>
    <col min="7598" max="7599" width="11.625" style="58" customWidth="1"/>
    <col min="7600" max="7600" width="12" style="58" customWidth="1"/>
    <col min="7601" max="7601" width="12.75" style="58" customWidth="1"/>
    <col min="7602" max="7602" width="11.625" style="58" customWidth="1"/>
    <col min="7603" max="7603" width="12.125" style="58" customWidth="1"/>
    <col min="7604" max="7605" width="11.625" style="58" customWidth="1"/>
    <col min="7606" max="7606" width="12.5" style="58" customWidth="1"/>
    <col min="7607" max="7781" width="11.625" style="58" customWidth="1"/>
    <col min="7782" max="7782" width="17.75" style="58" customWidth="1"/>
    <col min="7783" max="7784" width="9" style="58" customWidth="1"/>
    <col min="7785" max="7785" width="16.25" style="58" customWidth="1"/>
    <col min="7786" max="7786" width="24" style="58" customWidth="1"/>
    <col min="7787" max="7787" width="9" style="58"/>
    <col min="7788" max="7788" width="11.75" style="58" customWidth="1"/>
    <col min="7789" max="7789" width="8.875" style="58" customWidth="1"/>
    <col min="7790" max="7790" width="17.375" style="58" customWidth="1"/>
    <col min="7791" max="7791" width="13.25" style="58" customWidth="1"/>
    <col min="7792" max="7792" width="25.75" style="58" customWidth="1"/>
    <col min="7793" max="7793" width="11.125" style="58" customWidth="1"/>
    <col min="7794" max="7794" width="10.75" style="58" customWidth="1"/>
    <col min="7795" max="7795" width="9" style="58" customWidth="1"/>
    <col min="7796" max="7796" width="9.75" style="58" customWidth="1"/>
    <col min="7797" max="7797" width="7.5" style="58" customWidth="1"/>
    <col min="7798" max="7798" width="13.25" style="58" customWidth="1"/>
    <col min="7799" max="7799" width="11.75" style="58" customWidth="1"/>
    <col min="7800" max="7800" width="8.875" style="58" customWidth="1"/>
    <col min="7801" max="7801" width="9.625" style="58" customWidth="1"/>
    <col min="7802" max="7803" width="11.875" style="58" customWidth="1"/>
    <col min="7804" max="7804" width="11.5" style="58" customWidth="1"/>
    <col min="7805" max="7820" width="12.25" style="58" customWidth="1"/>
    <col min="7821" max="7821" width="13" style="58" customWidth="1"/>
    <col min="7822" max="7826" width="12.375" style="58" customWidth="1"/>
    <col min="7827" max="7827" width="13" style="58" customWidth="1"/>
    <col min="7828" max="7829" width="12.375" style="58" customWidth="1"/>
    <col min="7830" max="7830" width="13" style="58" customWidth="1"/>
    <col min="7831" max="7831" width="13.125" style="58" customWidth="1"/>
    <col min="7832" max="7832" width="13" style="58" customWidth="1"/>
    <col min="7833" max="7833" width="13.125" style="58" customWidth="1"/>
    <col min="7834" max="7835" width="12.375" style="58" customWidth="1"/>
    <col min="7836" max="7836" width="13" style="58" customWidth="1"/>
    <col min="7837" max="7837" width="12.375" style="58" customWidth="1"/>
    <col min="7838" max="7838" width="12.25" style="58" customWidth="1"/>
    <col min="7839" max="7839" width="12.125" style="58" customWidth="1"/>
    <col min="7840" max="7840" width="11.625" style="58" customWidth="1"/>
    <col min="7841" max="7841" width="12" style="58" customWidth="1"/>
    <col min="7842" max="7842" width="13" style="58" customWidth="1"/>
    <col min="7843" max="7843" width="11.625" style="58" customWidth="1"/>
    <col min="7844" max="7845" width="12" style="58" customWidth="1"/>
    <col min="7846" max="7848" width="11.625" style="58" customWidth="1"/>
    <col min="7849" max="7849" width="11.125" style="58" customWidth="1"/>
    <col min="7850" max="7850" width="12" style="58" customWidth="1"/>
    <col min="7851" max="7851" width="13" style="58" customWidth="1"/>
    <col min="7852" max="7852" width="13.625" style="58" customWidth="1"/>
    <col min="7853" max="7853" width="11.875" style="58" customWidth="1"/>
    <col min="7854" max="7855" width="11.625" style="58" customWidth="1"/>
    <col min="7856" max="7856" width="12" style="58" customWidth="1"/>
    <col min="7857" max="7857" width="12.75" style="58" customWidth="1"/>
    <col min="7858" max="7858" width="11.625" style="58" customWidth="1"/>
    <col min="7859" max="7859" width="12.125" style="58" customWidth="1"/>
    <col min="7860" max="7861" width="11.625" style="58" customWidth="1"/>
    <col min="7862" max="7862" width="12.5" style="58" customWidth="1"/>
    <col min="7863" max="8037" width="11.625" style="58" customWidth="1"/>
    <col min="8038" max="8038" width="17.75" style="58" customWidth="1"/>
    <col min="8039" max="8040" width="9" style="58" customWidth="1"/>
    <col min="8041" max="8041" width="16.25" style="58" customWidth="1"/>
    <col min="8042" max="8042" width="24" style="58" customWidth="1"/>
    <col min="8043" max="8043" width="9" style="58"/>
    <col min="8044" max="8044" width="11.75" style="58" customWidth="1"/>
    <col min="8045" max="8045" width="8.875" style="58" customWidth="1"/>
    <col min="8046" max="8046" width="17.375" style="58" customWidth="1"/>
    <col min="8047" max="8047" width="13.25" style="58" customWidth="1"/>
    <col min="8048" max="8048" width="25.75" style="58" customWidth="1"/>
    <col min="8049" max="8049" width="11.125" style="58" customWidth="1"/>
    <col min="8050" max="8050" width="10.75" style="58" customWidth="1"/>
    <col min="8051" max="8051" width="9" style="58" customWidth="1"/>
    <col min="8052" max="8052" width="9.75" style="58" customWidth="1"/>
    <col min="8053" max="8053" width="7.5" style="58" customWidth="1"/>
    <col min="8054" max="8054" width="13.25" style="58" customWidth="1"/>
    <col min="8055" max="8055" width="11.75" style="58" customWidth="1"/>
    <col min="8056" max="8056" width="8.875" style="58" customWidth="1"/>
    <col min="8057" max="8057" width="9.625" style="58" customWidth="1"/>
    <col min="8058" max="8059" width="11.875" style="58" customWidth="1"/>
    <col min="8060" max="8060" width="11.5" style="58" customWidth="1"/>
    <col min="8061" max="8076" width="12.25" style="58" customWidth="1"/>
    <col min="8077" max="8077" width="13" style="58" customWidth="1"/>
    <col min="8078" max="8082" width="12.375" style="58" customWidth="1"/>
    <col min="8083" max="8083" width="13" style="58" customWidth="1"/>
    <col min="8084" max="8085" width="12.375" style="58" customWidth="1"/>
    <col min="8086" max="8086" width="13" style="58" customWidth="1"/>
    <col min="8087" max="8087" width="13.125" style="58" customWidth="1"/>
    <col min="8088" max="8088" width="13" style="58" customWidth="1"/>
    <col min="8089" max="8089" width="13.125" style="58" customWidth="1"/>
    <col min="8090" max="8091" width="12.375" style="58" customWidth="1"/>
    <col min="8092" max="8092" width="13" style="58" customWidth="1"/>
    <col min="8093" max="8093" width="12.375" style="58" customWidth="1"/>
    <col min="8094" max="8094" width="12.25" style="58" customWidth="1"/>
    <col min="8095" max="8095" width="12.125" style="58" customWidth="1"/>
    <col min="8096" max="8096" width="11.625" style="58" customWidth="1"/>
    <col min="8097" max="8097" width="12" style="58" customWidth="1"/>
    <col min="8098" max="8098" width="13" style="58" customWidth="1"/>
    <col min="8099" max="8099" width="11.625" style="58" customWidth="1"/>
    <col min="8100" max="8101" width="12" style="58" customWidth="1"/>
    <col min="8102" max="8104" width="11.625" style="58" customWidth="1"/>
    <col min="8105" max="8105" width="11.125" style="58" customWidth="1"/>
    <col min="8106" max="8106" width="12" style="58" customWidth="1"/>
    <col min="8107" max="8107" width="13" style="58" customWidth="1"/>
    <col min="8108" max="8108" width="13.625" style="58" customWidth="1"/>
    <col min="8109" max="8109" width="11.875" style="58" customWidth="1"/>
    <col min="8110" max="8111" width="11.625" style="58" customWidth="1"/>
    <col min="8112" max="8112" width="12" style="58" customWidth="1"/>
    <col min="8113" max="8113" width="12.75" style="58" customWidth="1"/>
    <col min="8114" max="8114" width="11.625" style="58" customWidth="1"/>
    <col min="8115" max="8115" width="12.125" style="58" customWidth="1"/>
    <col min="8116" max="8117" width="11.625" style="58" customWidth="1"/>
    <col min="8118" max="8118" width="12.5" style="58" customWidth="1"/>
    <col min="8119" max="8293" width="11.625" style="58" customWidth="1"/>
    <col min="8294" max="8294" width="17.75" style="58" customWidth="1"/>
    <col min="8295" max="8296" width="9" style="58" customWidth="1"/>
    <col min="8297" max="8297" width="16.25" style="58" customWidth="1"/>
    <col min="8298" max="8298" width="24" style="58" customWidth="1"/>
    <col min="8299" max="8299" width="9" style="58"/>
    <col min="8300" max="8300" width="11.75" style="58" customWidth="1"/>
    <col min="8301" max="8301" width="8.875" style="58" customWidth="1"/>
    <col min="8302" max="8302" width="17.375" style="58" customWidth="1"/>
    <col min="8303" max="8303" width="13.25" style="58" customWidth="1"/>
    <col min="8304" max="8304" width="25.75" style="58" customWidth="1"/>
    <col min="8305" max="8305" width="11.125" style="58" customWidth="1"/>
    <col min="8306" max="8306" width="10.75" style="58" customWidth="1"/>
    <col min="8307" max="8307" width="9" style="58" customWidth="1"/>
    <col min="8308" max="8308" width="9.75" style="58" customWidth="1"/>
    <col min="8309" max="8309" width="7.5" style="58" customWidth="1"/>
    <col min="8310" max="8310" width="13.25" style="58" customWidth="1"/>
    <col min="8311" max="8311" width="11.75" style="58" customWidth="1"/>
    <col min="8312" max="8312" width="8.875" style="58" customWidth="1"/>
    <col min="8313" max="8313" width="9.625" style="58" customWidth="1"/>
    <col min="8314" max="8315" width="11.875" style="58" customWidth="1"/>
    <col min="8316" max="8316" width="11.5" style="58" customWidth="1"/>
    <col min="8317" max="8332" width="12.25" style="58" customWidth="1"/>
    <col min="8333" max="8333" width="13" style="58" customWidth="1"/>
    <col min="8334" max="8338" width="12.375" style="58" customWidth="1"/>
    <col min="8339" max="8339" width="13" style="58" customWidth="1"/>
    <col min="8340" max="8341" width="12.375" style="58" customWidth="1"/>
    <col min="8342" max="8342" width="13" style="58" customWidth="1"/>
    <col min="8343" max="8343" width="13.125" style="58" customWidth="1"/>
    <col min="8344" max="8344" width="13" style="58" customWidth="1"/>
    <col min="8345" max="8345" width="13.125" style="58" customWidth="1"/>
    <col min="8346" max="8347" width="12.375" style="58" customWidth="1"/>
    <col min="8348" max="8348" width="13" style="58" customWidth="1"/>
    <col min="8349" max="8349" width="12.375" style="58" customWidth="1"/>
    <col min="8350" max="8350" width="12.25" style="58" customWidth="1"/>
    <col min="8351" max="8351" width="12.125" style="58" customWidth="1"/>
    <col min="8352" max="8352" width="11.625" style="58" customWidth="1"/>
    <col min="8353" max="8353" width="12" style="58" customWidth="1"/>
    <col min="8354" max="8354" width="13" style="58" customWidth="1"/>
    <col min="8355" max="8355" width="11.625" style="58" customWidth="1"/>
    <col min="8356" max="8357" width="12" style="58" customWidth="1"/>
    <col min="8358" max="8360" width="11.625" style="58" customWidth="1"/>
    <col min="8361" max="8361" width="11.125" style="58" customWidth="1"/>
    <col min="8362" max="8362" width="12" style="58" customWidth="1"/>
    <col min="8363" max="8363" width="13" style="58" customWidth="1"/>
    <col min="8364" max="8364" width="13.625" style="58" customWidth="1"/>
    <col min="8365" max="8365" width="11.875" style="58" customWidth="1"/>
    <col min="8366" max="8367" width="11.625" style="58" customWidth="1"/>
    <col min="8368" max="8368" width="12" style="58" customWidth="1"/>
    <col min="8369" max="8369" width="12.75" style="58" customWidth="1"/>
    <col min="8370" max="8370" width="11.625" style="58" customWidth="1"/>
    <col min="8371" max="8371" width="12.125" style="58" customWidth="1"/>
    <col min="8372" max="8373" width="11.625" style="58" customWidth="1"/>
    <col min="8374" max="8374" width="12.5" style="58" customWidth="1"/>
    <col min="8375" max="8549" width="11.625" style="58" customWidth="1"/>
    <col min="8550" max="8550" width="17.75" style="58" customWidth="1"/>
    <col min="8551" max="8552" width="9" style="58" customWidth="1"/>
    <col min="8553" max="8553" width="16.25" style="58" customWidth="1"/>
    <col min="8554" max="8554" width="24" style="58" customWidth="1"/>
    <col min="8555" max="8555" width="9" style="58"/>
    <col min="8556" max="8556" width="11.75" style="58" customWidth="1"/>
    <col min="8557" max="8557" width="8.875" style="58" customWidth="1"/>
    <col min="8558" max="8558" width="17.375" style="58" customWidth="1"/>
    <col min="8559" max="8559" width="13.25" style="58" customWidth="1"/>
    <col min="8560" max="8560" width="25.75" style="58" customWidth="1"/>
    <col min="8561" max="8561" width="11.125" style="58" customWidth="1"/>
    <col min="8562" max="8562" width="10.75" style="58" customWidth="1"/>
    <col min="8563" max="8563" width="9" style="58" customWidth="1"/>
    <col min="8564" max="8564" width="9.75" style="58" customWidth="1"/>
    <col min="8565" max="8565" width="7.5" style="58" customWidth="1"/>
    <col min="8566" max="8566" width="13.25" style="58" customWidth="1"/>
    <col min="8567" max="8567" width="11.75" style="58" customWidth="1"/>
    <col min="8568" max="8568" width="8.875" style="58" customWidth="1"/>
    <col min="8569" max="8569" width="9.625" style="58" customWidth="1"/>
    <col min="8570" max="8571" width="11.875" style="58" customWidth="1"/>
    <col min="8572" max="8572" width="11.5" style="58" customWidth="1"/>
    <col min="8573" max="8588" width="12.25" style="58" customWidth="1"/>
    <col min="8589" max="8589" width="13" style="58" customWidth="1"/>
    <col min="8590" max="8594" width="12.375" style="58" customWidth="1"/>
    <col min="8595" max="8595" width="13" style="58" customWidth="1"/>
    <col min="8596" max="8597" width="12.375" style="58" customWidth="1"/>
    <col min="8598" max="8598" width="13" style="58" customWidth="1"/>
    <col min="8599" max="8599" width="13.125" style="58" customWidth="1"/>
    <col min="8600" max="8600" width="13" style="58" customWidth="1"/>
    <col min="8601" max="8601" width="13.125" style="58" customWidth="1"/>
    <col min="8602" max="8603" width="12.375" style="58" customWidth="1"/>
    <col min="8604" max="8604" width="13" style="58" customWidth="1"/>
    <col min="8605" max="8605" width="12.375" style="58" customWidth="1"/>
    <col min="8606" max="8606" width="12.25" style="58" customWidth="1"/>
    <col min="8607" max="8607" width="12.125" style="58" customWidth="1"/>
    <col min="8608" max="8608" width="11.625" style="58" customWidth="1"/>
    <col min="8609" max="8609" width="12" style="58" customWidth="1"/>
    <col min="8610" max="8610" width="13" style="58" customWidth="1"/>
    <col min="8611" max="8611" width="11.625" style="58" customWidth="1"/>
    <col min="8612" max="8613" width="12" style="58" customWidth="1"/>
    <col min="8614" max="8616" width="11.625" style="58" customWidth="1"/>
    <col min="8617" max="8617" width="11.125" style="58" customWidth="1"/>
    <col min="8618" max="8618" width="12" style="58" customWidth="1"/>
    <col min="8619" max="8619" width="13" style="58" customWidth="1"/>
    <col min="8620" max="8620" width="13.625" style="58" customWidth="1"/>
    <col min="8621" max="8621" width="11.875" style="58" customWidth="1"/>
    <col min="8622" max="8623" width="11.625" style="58" customWidth="1"/>
    <col min="8624" max="8624" width="12" style="58" customWidth="1"/>
    <col min="8625" max="8625" width="12.75" style="58" customWidth="1"/>
    <col min="8626" max="8626" width="11.625" style="58" customWidth="1"/>
    <col min="8627" max="8627" width="12.125" style="58" customWidth="1"/>
    <col min="8628" max="8629" width="11.625" style="58" customWidth="1"/>
    <col min="8630" max="8630" width="12.5" style="58" customWidth="1"/>
    <col min="8631" max="8805" width="11.625" style="58" customWidth="1"/>
    <col min="8806" max="8806" width="17.75" style="58" customWidth="1"/>
    <col min="8807" max="8808" width="9" style="58" customWidth="1"/>
    <col min="8809" max="8809" width="16.25" style="58" customWidth="1"/>
    <col min="8810" max="8810" width="24" style="58" customWidth="1"/>
    <col min="8811" max="8811" width="9" style="58"/>
    <col min="8812" max="8812" width="11.75" style="58" customWidth="1"/>
    <col min="8813" max="8813" width="8.875" style="58" customWidth="1"/>
    <col min="8814" max="8814" width="17.375" style="58" customWidth="1"/>
    <col min="8815" max="8815" width="13.25" style="58" customWidth="1"/>
    <col min="8816" max="8816" width="25.75" style="58" customWidth="1"/>
    <col min="8817" max="8817" width="11.125" style="58" customWidth="1"/>
    <col min="8818" max="8818" width="10.75" style="58" customWidth="1"/>
    <col min="8819" max="8819" width="9" style="58" customWidth="1"/>
    <col min="8820" max="8820" width="9.75" style="58" customWidth="1"/>
    <col min="8821" max="8821" width="7.5" style="58" customWidth="1"/>
    <col min="8822" max="8822" width="13.25" style="58" customWidth="1"/>
    <col min="8823" max="8823" width="11.75" style="58" customWidth="1"/>
    <col min="8824" max="8824" width="8.875" style="58" customWidth="1"/>
    <col min="8825" max="8825" width="9.625" style="58" customWidth="1"/>
    <col min="8826" max="8827" width="11.875" style="58" customWidth="1"/>
    <col min="8828" max="8828" width="11.5" style="58" customWidth="1"/>
    <col min="8829" max="8844" width="12.25" style="58" customWidth="1"/>
    <col min="8845" max="8845" width="13" style="58" customWidth="1"/>
    <col min="8846" max="8850" width="12.375" style="58" customWidth="1"/>
    <col min="8851" max="8851" width="13" style="58" customWidth="1"/>
    <col min="8852" max="8853" width="12.375" style="58" customWidth="1"/>
    <col min="8854" max="8854" width="13" style="58" customWidth="1"/>
    <col min="8855" max="8855" width="13.125" style="58" customWidth="1"/>
    <col min="8856" max="8856" width="13" style="58" customWidth="1"/>
    <col min="8857" max="8857" width="13.125" style="58" customWidth="1"/>
    <col min="8858" max="8859" width="12.375" style="58" customWidth="1"/>
    <col min="8860" max="8860" width="13" style="58" customWidth="1"/>
    <col min="8861" max="8861" width="12.375" style="58" customWidth="1"/>
    <col min="8862" max="8862" width="12.25" style="58" customWidth="1"/>
    <col min="8863" max="8863" width="12.125" style="58" customWidth="1"/>
    <col min="8864" max="8864" width="11.625" style="58" customWidth="1"/>
    <col min="8865" max="8865" width="12" style="58" customWidth="1"/>
    <col min="8866" max="8866" width="13" style="58" customWidth="1"/>
    <col min="8867" max="8867" width="11.625" style="58" customWidth="1"/>
    <col min="8868" max="8869" width="12" style="58" customWidth="1"/>
    <col min="8870" max="8872" width="11.625" style="58" customWidth="1"/>
    <col min="8873" max="8873" width="11.125" style="58" customWidth="1"/>
    <col min="8874" max="8874" width="12" style="58" customWidth="1"/>
    <col min="8875" max="8875" width="13" style="58" customWidth="1"/>
    <col min="8876" max="8876" width="13.625" style="58" customWidth="1"/>
    <col min="8877" max="8877" width="11.875" style="58" customWidth="1"/>
    <col min="8878" max="8879" width="11.625" style="58" customWidth="1"/>
    <col min="8880" max="8880" width="12" style="58" customWidth="1"/>
    <col min="8881" max="8881" width="12.75" style="58" customWidth="1"/>
    <col min="8882" max="8882" width="11.625" style="58" customWidth="1"/>
    <col min="8883" max="8883" width="12.125" style="58" customWidth="1"/>
    <col min="8884" max="8885" width="11.625" style="58" customWidth="1"/>
    <col min="8886" max="8886" width="12.5" style="58" customWidth="1"/>
    <col min="8887" max="9061" width="11.625" style="58" customWidth="1"/>
    <col min="9062" max="9062" width="17.75" style="58" customWidth="1"/>
    <col min="9063" max="9064" width="9" style="58" customWidth="1"/>
    <col min="9065" max="9065" width="16.25" style="58" customWidth="1"/>
    <col min="9066" max="9066" width="24" style="58" customWidth="1"/>
    <col min="9067" max="9067" width="9" style="58"/>
    <col min="9068" max="9068" width="11.75" style="58" customWidth="1"/>
    <col min="9069" max="9069" width="8.875" style="58" customWidth="1"/>
    <col min="9070" max="9070" width="17.375" style="58" customWidth="1"/>
    <col min="9071" max="9071" width="13.25" style="58" customWidth="1"/>
    <col min="9072" max="9072" width="25.75" style="58" customWidth="1"/>
    <col min="9073" max="9073" width="11.125" style="58" customWidth="1"/>
    <col min="9074" max="9074" width="10.75" style="58" customWidth="1"/>
    <col min="9075" max="9075" width="9" style="58" customWidth="1"/>
    <col min="9076" max="9076" width="9.75" style="58" customWidth="1"/>
    <col min="9077" max="9077" width="7.5" style="58" customWidth="1"/>
    <col min="9078" max="9078" width="13.25" style="58" customWidth="1"/>
    <col min="9079" max="9079" width="11.75" style="58" customWidth="1"/>
    <col min="9080" max="9080" width="8.875" style="58" customWidth="1"/>
    <col min="9081" max="9081" width="9.625" style="58" customWidth="1"/>
    <col min="9082" max="9083" width="11.875" style="58" customWidth="1"/>
    <col min="9084" max="9084" width="11.5" style="58" customWidth="1"/>
    <col min="9085" max="9100" width="12.25" style="58" customWidth="1"/>
    <col min="9101" max="9101" width="13" style="58" customWidth="1"/>
    <col min="9102" max="9106" width="12.375" style="58" customWidth="1"/>
    <col min="9107" max="9107" width="13" style="58" customWidth="1"/>
    <col min="9108" max="9109" width="12.375" style="58" customWidth="1"/>
    <col min="9110" max="9110" width="13" style="58" customWidth="1"/>
    <col min="9111" max="9111" width="13.125" style="58" customWidth="1"/>
    <col min="9112" max="9112" width="13" style="58" customWidth="1"/>
    <col min="9113" max="9113" width="13.125" style="58" customWidth="1"/>
    <col min="9114" max="9115" width="12.375" style="58" customWidth="1"/>
    <col min="9116" max="9116" width="13" style="58" customWidth="1"/>
    <col min="9117" max="9117" width="12.375" style="58" customWidth="1"/>
    <col min="9118" max="9118" width="12.25" style="58" customWidth="1"/>
    <col min="9119" max="9119" width="12.125" style="58" customWidth="1"/>
    <col min="9120" max="9120" width="11.625" style="58" customWidth="1"/>
    <col min="9121" max="9121" width="12" style="58" customWidth="1"/>
    <col min="9122" max="9122" width="13" style="58" customWidth="1"/>
    <col min="9123" max="9123" width="11.625" style="58" customWidth="1"/>
    <col min="9124" max="9125" width="12" style="58" customWidth="1"/>
    <col min="9126" max="9128" width="11.625" style="58" customWidth="1"/>
    <col min="9129" max="9129" width="11.125" style="58" customWidth="1"/>
    <col min="9130" max="9130" width="12" style="58" customWidth="1"/>
    <col min="9131" max="9131" width="13" style="58" customWidth="1"/>
    <col min="9132" max="9132" width="13.625" style="58" customWidth="1"/>
    <col min="9133" max="9133" width="11.875" style="58" customWidth="1"/>
    <col min="9134" max="9135" width="11.625" style="58" customWidth="1"/>
    <col min="9136" max="9136" width="12" style="58" customWidth="1"/>
    <col min="9137" max="9137" width="12.75" style="58" customWidth="1"/>
    <col min="9138" max="9138" width="11.625" style="58" customWidth="1"/>
    <col min="9139" max="9139" width="12.125" style="58" customWidth="1"/>
    <col min="9140" max="9141" width="11.625" style="58" customWidth="1"/>
    <col min="9142" max="9142" width="12.5" style="58" customWidth="1"/>
    <col min="9143" max="9317" width="11.625" style="58" customWidth="1"/>
    <col min="9318" max="9318" width="17.75" style="58" customWidth="1"/>
    <col min="9319" max="9320" width="9" style="58" customWidth="1"/>
    <col min="9321" max="9321" width="16.25" style="58" customWidth="1"/>
    <col min="9322" max="9322" width="24" style="58" customWidth="1"/>
    <col min="9323" max="9323" width="9" style="58"/>
    <col min="9324" max="9324" width="11.75" style="58" customWidth="1"/>
    <col min="9325" max="9325" width="8.875" style="58" customWidth="1"/>
    <col min="9326" max="9326" width="17.375" style="58" customWidth="1"/>
    <col min="9327" max="9327" width="13.25" style="58" customWidth="1"/>
    <col min="9328" max="9328" width="25.75" style="58" customWidth="1"/>
    <col min="9329" max="9329" width="11.125" style="58" customWidth="1"/>
    <col min="9330" max="9330" width="10.75" style="58" customWidth="1"/>
    <col min="9331" max="9331" width="9" style="58" customWidth="1"/>
    <col min="9332" max="9332" width="9.75" style="58" customWidth="1"/>
    <col min="9333" max="9333" width="7.5" style="58" customWidth="1"/>
    <col min="9334" max="9334" width="13.25" style="58" customWidth="1"/>
    <col min="9335" max="9335" width="11.75" style="58" customWidth="1"/>
    <col min="9336" max="9336" width="8.875" style="58" customWidth="1"/>
    <col min="9337" max="9337" width="9.625" style="58" customWidth="1"/>
    <col min="9338" max="9339" width="11.875" style="58" customWidth="1"/>
    <col min="9340" max="9340" width="11.5" style="58" customWidth="1"/>
    <col min="9341" max="9356" width="12.25" style="58" customWidth="1"/>
    <col min="9357" max="9357" width="13" style="58" customWidth="1"/>
    <col min="9358" max="9362" width="12.375" style="58" customWidth="1"/>
    <col min="9363" max="9363" width="13" style="58" customWidth="1"/>
    <col min="9364" max="9365" width="12.375" style="58" customWidth="1"/>
    <col min="9366" max="9366" width="13" style="58" customWidth="1"/>
    <col min="9367" max="9367" width="13.125" style="58" customWidth="1"/>
    <col min="9368" max="9368" width="13" style="58" customWidth="1"/>
    <col min="9369" max="9369" width="13.125" style="58" customWidth="1"/>
    <col min="9370" max="9371" width="12.375" style="58" customWidth="1"/>
    <col min="9372" max="9372" width="13" style="58" customWidth="1"/>
    <col min="9373" max="9373" width="12.375" style="58" customWidth="1"/>
    <col min="9374" max="9374" width="12.25" style="58" customWidth="1"/>
    <col min="9375" max="9375" width="12.125" style="58" customWidth="1"/>
    <col min="9376" max="9376" width="11.625" style="58" customWidth="1"/>
    <col min="9377" max="9377" width="12" style="58" customWidth="1"/>
    <col min="9378" max="9378" width="13" style="58" customWidth="1"/>
    <col min="9379" max="9379" width="11.625" style="58" customWidth="1"/>
    <col min="9380" max="9381" width="12" style="58" customWidth="1"/>
    <col min="9382" max="9384" width="11.625" style="58" customWidth="1"/>
    <col min="9385" max="9385" width="11.125" style="58" customWidth="1"/>
    <col min="9386" max="9386" width="12" style="58" customWidth="1"/>
    <col min="9387" max="9387" width="13" style="58" customWidth="1"/>
    <col min="9388" max="9388" width="13.625" style="58" customWidth="1"/>
    <col min="9389" max="9389" width="11.875" style="58" customWidth="1"/>
    <col min="9390" max="9391" width="11.625" style="58" customWidth="1"/>
    <col min="9392" max="9392" width="12" style="58" customWidth="1"/>
    <col min="9393" max="9393" width="12.75" style="58" customWidth="1"/>
    <col min="9394" max="9394" width="11.625" style="58" customWidth="1"/>
    <col min="9395" max="9395" width="12.125" style="58" customWidth="1"/>
    <col min="9396" max="9397" width="11.625" style="58" customWidth="1"/>
    <col min="9398" max="9398" width="12.5" style="58" customWidth="1"/>
    <col min="9399" max="9573" width="11.625" style="58" customWidth="1"/>
    <col min="9574" max="9574" width="17.75" style="58" customWidth="1"/>
    <col min="9575" max="9576" width="9" style="58" customWidth="1"/>
    <col min="9577" max="9577" width="16.25" style="58" customWidth="1"/>
    <col min="9578" max="9578" width="24" style="58" customWidth="1"/>
    <col min="9579" max="9579" width="9" style="58"/>
    <col min="9580" max="9580" width="11.75" style="58" customWidth="1"/>
    <col min="9581" max="9581" width="8.875" style="58" customWidth="1"/>
    <col min="9582" max="9582" width="17.375" style="58" customWidth="1"/>
    <col min="9583" max="9583" width="13.25" style="58" customWidth="1"/>
    <col min="9584" max="9584" width="25.75" style="58" customWidth="1"/>
    <col min="9585" max="9585" width="11.125" style="58" customWidth="1"/>
    <col min="9586" max="9586" width="10.75" style="58" customWidth="1"/>
    <col min="9587" max="9587" width="9" style="58" customWidth="1"/>
    <col min="9588" max="9588" width="9.75" style="58" customWidth="1"/>
    <col min="9589" max="9589" width="7.5" style="58" customWidth="1"/>
    <col min="9590" max="9590" width="13.25" style="58" customWidth="1"/>
    <col min="9591" max="9591" width="11.75" style="58" customWidth="1"/>
    <col min="9592" max="9592" width="8.875" style="58" customWidth="1"/>
    <col min="9593" max="9593" width="9.625" style="58" customWidth="1"/>
    <col min="9594" max="9595" width="11.875" style="58" customWidth="1"/>
    <col min="9596" max="9596" width="11.5" style="58" customWidth="1"/>
    <col min="9597" max="9612" width="12.25" style="58" customWidth="1"/>
    <col min="9613" max="9613" width="13" style="58" customWidth="1"/>
    <col min="9614" max="9618" width="12.375" style="58" customWidth="1"/>
    <col min="9619" max="9619" width="13" style="58" customWidth="1"/>
    <col min="9620" max="9621" width="12.375" style="58" customWidth="1"/>
    <col min="9622" max="9622" width="13" style="58" customWidth="1"/>
    <col min="9623" max="9623" width="13.125" style="58" customWidth="1"/>
    <col min="9624" max="9624" width="13" style="58" customWidth="1"/>
    <col min="9625" max="9625" width="13.125" style="58" customWidth="1"/>
    <col min="9626" max="9627" width="12.375" style="58" customWidth="1"/>
    <col min="9628" max="9628" width="13" style="58" customWidth="1"/>
    <col min="9629" max="9629" width="12.375" style="58" customWidth="1"/>
    <col min="9630" max="9630" width="12.25" style="58" customWidth="1"/>
    <col min="9631" max="9631" width="12.125" style="58" customWidth="1"/>
    <col min="9632" max="9632" width="11.625" style="58" customWidth="1"/>
    <col min="9633" max="9633" width="12" style="58" customWidth="1"/>
    <col min="9634" max="9634" width="13" style="58" customWidth="1"/>
    <col min="9635" max="9635" width="11.625" style="58" customWidth="1"/>
    <col min="9636" max="9637" width="12" style="58" customWidth="1"/>
    <col min="9638" max="9640" width="11.625" style="58" customWidth="1"/>
    <col min="9641" max="9641" width="11.125" style="58" customWidth="1"/>
    <col min="9642" max="9642" width="12" style="58" customWidth="1"/>
    <col min="9643" max="9643" width="13" style="58" customWidth="1"/>
    <col min="9644" max="9644" width="13.625" style="58" customWidth="1"/>
    <col min="9645" max="9645" width="11.875" style="58" customWidth="1"/>
    <col min="9646" max="9647" width="11.625" style="58" customWidth="1"/>
    <col min="9648" max="9648" width="12" style="58" customWidth="1"/>
    <col min="9649" max="9649" width="12.75" style="58" customWidth="1"/>
    <col min="9650" max="9650" width="11.625" style="58" customWidth="1"/>
    <col min="9651" max="9651" width="12.125" style="58" customWidth="1"/>
    <col min="9652" max="9653" width="11.625" style="58" customWidth="1"/>
    <col min="9654" max="9654" width="12.5" style="58" customWidth="1"/>
    <col min="9655" max="9829" width="11.625" style="58" customWidth="1"/>
    <col min="9830" max="9830" width="17.75" style="58" customWidth="1"/>
    <col min="9831" max="9832" width="9" style="58" customWidth="1"/>
    <col min="9833" max="9833" width="16.25" style="58" customWidth="1"/>
    <col min="9834" max="9834" width="24" style="58" customWidth="1"/>
    <col min="9835" max="9835" width="9" style="58"/>
    <col min="9836" max="9836" width="11.75" style="58" customWidth="1"/>
    <col min="9837" max="9837" width="8.875" style="58" customWidth="1"/>
    <col min="9838" max="9838" width="17.375" style="58" customWidth="1"/>
    <col min="9839" max="9839" width="13.25" style="58" customWidth="1"/>
    <col min="9840" max="9840" width="25.75" style="58" customWidth="1"/>
    <col min="9841" max="9841" width="11.125" style="58" customWidth="1"/>
    <col min="9842" max="9842" width="10.75" style="58" customWidth="1"/>
    <col min="9843" max="9843" width="9" style="58" customWidth="1"/>
    <col min="9844" max="9844" width="9.75" style="58" customWidth="1"/>
    <col min="9845" max="9845" width="7.5" style="58" customWidth="1"/>
    <col min="9846" max="9846" width="13.25" style="58" customWidth="1"/>
    <col min="9847" max="9847" width="11.75" style="58" customWidth="1"/>
    <col min="9848" max="9848" width="8.875" style="58" customWidth="1"/>
    <col min="9849" max="9849" width="9.625" style="58" customWidth="1"/>
    <col min="9850" max="9851" width="11.875" style="58" customWidth="1"/>
    <col min="9852" max="9852" width="11.5" style="58" customWidth="1"/>
    <col min="9853" max="9868" width="12.25" style="58" customWidth="1"/>
    <col min="9869" max="9869" width="13" style="58" customWidth="1"/>
    <col min="9870" max="9874" width="12.375" style="58" customWidth="1"/>
    <col min="9875" max="9875" width="13" style="58" customWidth="1"/>
    <col min="9876" max="9877" width="12.375" style="58" customWidth="1"/>
    <col min="9878" max="9878" width="13" style="58" customWidth="1"/>
    <col min="9879" max="9879" width="13.125" style="58" customWidth="1"/>
    <col min="9880" max="9880" width="13" style="58" customWidth="1"/>
    <col min="9881" max="9881" width="13.125" style="58" customWidth="1"/>
    <col min="9882" max="9883" width="12.375" style="58" customWidth="1"/>
    <col min="9884" max="9884" width="13" style="58" customWidth="1"/>
    <col min="9885" max="9885" width="12.375" style="58" customWidth="1"/>
    <col min="9886" max="9886" width="12.25" style="58" customWidth="1"/>
    <col min="9887" max="9887" width="12.125" style="58" customWidth="1"/>
    <col min="9888" max="9888" width="11.625" style="58" customWidth="1"/>
    <col min="9889" max="9889" width="12" style="58" customWidth="1"/>
    <col min="9890" max="9890" width="13" style="58" customWidth="1"/>
    <col min="9891" max="9891" width="11.625" style="58" customWidth="1"/>
    <col min="9892" max="9893" width="12" style="58" customWidth="1"/>
    <col min="9894" max="9896" width="11.625" style="58" customWidth="1"/>
    <col min="9897" max="9897" width="11.125" style="58" customWidth="1"/>
    <col min="9898" max="9898" width="12" style="58" customWidth="1"/>
    <col min="9899" max="9899" width="13" style="58" customWidth="1"/>
    <col min="9900" max="9900" width="13.625" style="58" customWidth="1"/>
    <col min="9901" max="9901" width="11.875" style="58" customWidth="1"/>
    <col min="9902" max="9903" width="11.625" style="58" customWidth="1"/>
    <col min="9904" max="9904" width="12" style="58" customWidth="1"/>
    <col min="9905" max="9905" width="12.75" style="58" customWidth="1"/>
    <col min="9906" max="9906" width="11.625" style="58" customWidth="1"/>
    <col min="9907" max="9907" width="12.125" style="58" customWidth="1"/>
    <col min="9908" max="9909" width="11.625" style="58" customWidth="1"/>
    <col min="9910" max="9910" width="12.5" style="58" customWidth="1"/>
    <col min="9911" max="10085" width="11.625" style="58" customWidth="1"/>
    <col min="10086" max="10086" width="17.75" style="58" customWidth="1"/>
    <col min="10087" max="10088" width="9" style="58" customWidth="1"/>
    <col min="10089" max="10089" width="16.25" style="58" customWidth="1"/>
    <col min="10090" max="10090" width="24" style="58" customWidth="1"/>
    <col min="10091" max="10091" width="9" style="58"/>
    <col min="10092" max="10092" width="11.75" style="58" customWidth="1"/>
    <col min="10093" max="10093" width="8.875" style="58" customWidth="1"/>
    <col min="10094" max="10094" width="17.375" style="58" customWidth="1"/>
    <col min="10095" max="10095" width="13.25" style="58" customWidth="1"/>
    <col min="10096" max="10096" width="25.75" style="58" customWidth="1"/>
    <col min="10097" max="10097" width="11.125" style="58" customWidth="1"/>
    <col min="10098" max="10098" width="10.75" style="58" customWidth="1"/>
    <col min="10099" max="10099" width="9" style="58" customWidth="1"/>
    <col min="10100" max="10100" width="9.75" style="58" customWidth="1"/>
    <col min="10101" max="10101" width="7.5" style="58" customWidth="1"/>
    <col min="10102" max="10102" width="13.25" style="58" customWidth="1"/>
    <col min="10103" max="10103" width="11.75" style="58" customWidth="1"/>
    <col min="10104" max="10104" width="8.875" style="58" customWidth="1"/>
    <col min="10105" max="10105" width="9.625" style="58" customWidth="1"/>
    <col min="10106" max="10107" width="11.875" style="58" customWidth="1"/>
    <col min="10108" max="10108" width="11.5" style="58" customWidth="1"/>
    <col min="10109" max="10124" width="12.25" style="58" customWidth="1"/>
    <col min="10125" max="10125" width="13" style="58" customWidth="1"/>
    <col min="10126" max="10130" width="12.375" style="58" customWidth="1"/>
    <col min="10131" max="10131" width="13" style="58" customWidth="1"/>
    <col min="10132" max="10133" width="12.375" style="58" customWidth="1"/>
    <col min="10134" max="10134" width="13" style="58" customWidth="1"/>
    <col min="10135" max="10135" width="13.125" style="58" customWidth="1"/>
    <col min="10136" max="10136" width="13" style="58" customWidth="1"/>
    <col min="10137" max="10137" width="13.125" style="58" customWidth="1"/>
    <col min="10138" max="10139" width="12.375" style="58" customWidth="1"/>
    <col min="10140" max="10140" width="13" style="58" customWidth="1"/>
    <col min="10141" max="10141" width="12.375" style="58" customWidth="1"/>
    <col min="10142" max="10142" width="12.25" style="58" customWidth="1"/>
    <col min="10143" max="10143" width="12.125" style="58" customWidth="1"/>
    <col min="10144" max="10144" width="11.625" style="58" customWidth="1"/>
    <col min="10145" max="10145" width="12" style="58" customWidth="1"/>
    <col min="10146" max="10146" width="13" style="58" customWidth="1"/>
    <col min="10147" max="10147" width="11.625" style="58" customWidth="1"/>
    <col min="10148" max="10149" width="12" style="58" customWidth="1"/>
    <col min="10150" max="10152" width="11.625" style="58" customWidth="1"/>
    <col min="10153" max="10153" width="11.125" style="58" customWidth="1"/>
    <col min="10154" max="10154" width="12" style="58" customWidth="1"/>
    <col min="10155" max="10155" width="13" style="58" customWidth="1"/>
    <col min="10156" max="10156" width="13.625" style="58" customWidth="1"/>
    <col min="10157" max="10157" width="11.875" style="58" customWidth="1"/>
    <col min="10158" max="10159" width="11.625" style="58" customWidth="1"/>
    <col min="10160" max="10160" width="12" style="58" customWidth="1"/>
    <col min="10161" max="10161" width="12.75" style="58" customWidth="1"/>
    <col min="10162" max="10162" width="11.625" style="58" customWidth="1"/>
    <col min="10163" max="10163" width="12.125" style="58" customWidth="1"/>
    <col min="10164" max="10165" width="11.625" style="58" customWidth="1"/>
    <col min="10166" max="10166" width="12.5" style="58" customWidth="1"/>
    <col min="10167" max="10341" width="11.625" style="58" customWidth="1"/>
    <col min="10342" max="10342" width="17.75" style="58" customWidth="1"/>
    <col min="10343" max="10344" width="9" style="58" customWidth="1"/>
    <col min="10345" max="10345" width="16.25" style="58" customWidth="1"/>
    <col min="10346" max="10346" width="24" style="58" customWidth="1"/>
    <col min="10347" max="10347" width="9" style="58"/>
    <col min="10348" max="10348" width="11.75" style="58" customWidth="1"/>
    <col min="10349" max="10349" width="8.875" style="58" customWidth="1"/>
    <col min="10350" max="10350" width="17.375" style="58" customWidth="1"/>
    <col min="10351" max="10351" width="13.25" style="58" customWidth="1"/>
    <col min="10352" max="10352" width="25.75" style="58" customWidth="1"/>
    <col min="10353" max="10353" width="11.125" style="58" customWidth="1"/>
    <col min="10354" max="10354" width="10.75" style="58" customWidth="1"/>
    <col min="10355" max="10355" width="9" style="58" customWidth="1"/>
    <col min="10356" max="10356" width="9.75" style="58" customWidth="1"/>
    <col min="10357" max="10357" width="7.5" style="58" customWidth="1"/>
    <col min="10358" max="10358" width="13.25" style="58" customWidth="1"/>
    <col min="10359" max="10359" width="11.75" style="58" customWidth="1"/>
    <col min="10360" max="10360" width="8.875" style="58" customWidth="1"/>
    <col min="10361" max="10361" width="9.625" style="58" customWidth="1"/>
    <col min="10362" max="10363" width="11.875" style="58" customWidth="1"/>
    <col min="10364" max="10364" width="11.5" style="58" customWidth="1"/>
    <col min="10365" max="10380" width="12.25" style="58" customWidth="1"/>
    <col min="10381" max="10381" width="13" style="58" customWidth="1"/>
    <col min="10382" max="10386" width="12.375" style="58" customWidth="1"/>
    <col min="10387" max="10387" width="13" style="58" customWidth="1"/>
    <col min="10388" max="10389" width="12.375" style="58" customWidth="1"/>
    <col min="10390" max="10390" width="13" style="58" customWidth="1"/>
    <col min="10391" max="10391" width="13.125" style="58" customWidth="1"/>
    <col min="10392" max="10392" width="13" style="58" customWidth="1"/>
    <col min="10393" max="10393" width="13.125" style="58" customWidth="1"/>
    <col min="10394" max="10395" width="12.375" style="58" customWidth="1"/>
    <col min="10396" max="10396" width="13" style="58" customWidth="1"/>
    <col min="10397" max="10397" width="12.375" style="58" customWidth="1"/>
    <col min="10398" max="10398" width="12.25" style="58" customWidth="1"/>
    <col min="10399" max="10399" width="12.125" style="58" customWidth="1"/>
    <col min="10400" max="10400" width="11.625" style="58" customWidth="1"/>
    <col min="10401" max="10401" width="12" style="58" customWidth="1"/>
    <col min="10402" max="10402" width="13" style="58" customWidth="1"/>
    <col min="10403" max="10403" width="11.625" style="58" customWidth="1"/>
    <col min="10404" max="10405" width="12" style="58" customWidth="1"/>
    <col min="10406" max="10408" width="11.625" style="58" customWidth="1"/>
    <col min="10409" max="10409" width="11.125" style="58" customWidth="1"/>
    <col min="10410" max="10410" width="12" style="58" customWidth="1"/>
    <col min="10411" max="10411" width="13" style="58" customWidth="1"/>
    <col min="10412" max="10412" width="13.625" style="58" customWidth="1"/>
    <col min="10413" max="10413" width="11.875" style="58" customWidth="1"/>
    <col min="10414" max="10415" width="11.625" style="58" customWidth="1"/>
    <col min="10416" max="10416" width="12" style="58" customWidth="1"/>
    <col min="10417" max="10417" width="12.75" style="58" customWidth="1"/>
    <col min="10418" max="10418" width="11.625" style="58" customWidth="1"/>
    <col min="10419" max="10419" width="12.125" style="58" customWidth="1"/>
    <col min="10420" max="10421" width="11.625" style="58" customWidth="1"/>
    <col min="10422" max="10422" width="12.5" style="58" customWidth="1"/>
    <col min="10423" max="10597" width="11.625" style="58" customWidth="1"/>
    <col min="10598" max="10598" width="17.75" style="58" customWidth="1"/>
    <col min="10599" max="10600" width="9" style="58" customWidth="1"/>
    <col min="10601" max="10601" width="16.25" style="58" customWidth="1"/>
    <col min="10602" max="10602" width="24" style="58" customWidth="1"/>
    <col min="10603" max="10603" width="9" style="58"/>
    <col min="10604" max="10604" width="11.75" style="58" customWidth="1"/>
    <col min="10605" max="10605" width="8.875" style="58" customWidth="1"/>
    <col min="10606" max="10606" width="17.375" style="58" customWidth="1"/>
    <col min="10607" max="10607" width="13.25" style="58" customWidth="1"/>
    <col min="10608" max="10608" width="25.75" style="58" customWidth="1"/>
    <col min="10609" max="10609" width="11.125" style="58" customWidth="1"/>
    <col min="10610" max="10610" width="10.75" style="58" customWidth="1"/>
    <col min="10611" max="10611" width="9" style="58" customWidth="1"/>
    <col min="10612" max="10612" width="9.75" style="58" customWidth="1"/>
    <col min="10613" max="10613" width="7.5" style="58" customWidth="1"/>
    <col min="10614" max="10614" width="13.25" style="58" customWidth="1"/>
    <col min="10615" max="10615" width="11.75" style="58" customWidth="1"/>
    <col min="10616" max="10616" width="8.875" style="58" customWidth="1"/>
    <col min="10617" max="10617" width="9.625" style="58" customWidth="1"/>
    <col min="10618" max="10619" width="11.875" style="58" customWidth="1"/>
    <col min="10620" max="10620" width="11.5" style="58" customWidth="1"/>
    <col min="10621" max="10636" width="12.25" style="58" customWidth="1"/>
    <col min="10637" max="10637" width="13" style="58" customWidth="1"/>
    <col min="10638" max="10642" width="12.375" style="58" customWidth="1"/>
    <col min="10643" max="10643" width="13" style="58" customWidth="1"/>
    <col min="10644" max="10645" width="12.375" style="58" customWidth="1"/>
    <col min="10646" max="10646" width="13" style="58" customWidth="1"/>
    <col min="10647" max="10647" width="13.125" style="58" customWidth="1"/>
    <col min="10648" max="10648" width="13" style="58" customWidth="1"/>
    <col min="10649" max="10649" width="13.125" style="58" customWidth="1"/>
    <col min="10650" max="10651" width="12.375" style="58" customWidth="1"/>
    <col min="10652" max="10652" width="13" style="58" customWidth="1"/>
    <col min="10653" max="10653" width="12.375" style="58" customWidth="1"/>
    <col min="10654" max="10654" width="12.25" style="58" customWidth="1"/>
    <col min="10655" max="10655" width="12.125" style="58" customWidth="1"/>
    <col min="10656" max="10656" width="11.625" style="58" customWidth="1"/>
    <col min="10657" max="10657" width="12" style="58" customWidth="1"/>
    <col min="10658" max="10658" width="13" style="58" customWidth="1"/>
    <col min="10659" max="10659" width="11.625" style="58" customWidth="1"/>
    <col min="10660" max="10661" width="12" style="58" customWidth="1"/>
    <col min="10662" max="10664" width="11.625" style="58" customWidth="1"/>
    <col min="10665" max="10665" width="11.125" style="58" customWidth="1"/>
    <col min="10666" max="10666" width="12" style="58" customWidth="1"/>
    <col min="10667" max="10667" width="13" style="58" customWidth="1"/>
    <col min="10668" max="10668" width="13.625" style="58" customWidth="1"/>
    <col min="10669" max="10669" width="11.875" style="58" customWidth="1"/>
    <col min="10670" max="10671" width="11.625" style="58" customWidth="1"/>
    <col min="10672" max="10672" width="12" style="58" customWidth="1"/>
    <col min="10673" max="10673" width="12.75" style="58" customWidth="1"/>
    <col min="10674" max="10674" width="11.625" style="58" customWidth="1"/>
    <col min="10675" max="10675" width="12.125" style="58" customWidth="1"/>
    <col min="10676" max="10677" width="11.625" style="58" customWidth="1"/>
    <col min="10678" max="10678" width="12.5" style="58" customWidth="1"/>
    <col min="10679" max="10853" width="11.625" style="58" customWidth="1"/>
    <col min="10854" max="10854" width="17.75" style="58" customWidth="1"/>
    <col min="10855" max="10856" width="9" style="58" customWidth="1"/>
    <col min="10857" max="10857" width="16.25" style="58" customWidth="1"/>
    <col min="10858" max="10858" width="24" style="58" customWidth="1"/>
    <col min="10859" max="10859" width="9" style="58"/>
    <col min="10860" max="10860" width="11.75" style="58" customWidth="1"/>
    <col min="10861" max="10861" width="8.875" style="58" customWidth="1"/>
    <col min="10862" max="10862" width="17.375" style="58" customWidth="1"/>
    <col min="10863" max="10863" width="13.25" style="58" customWidth="1"/>
    <col min="10864" max="10864" width="25.75" style="58" customWidth="1"/>
    <col min="10865" max="10865" width="11.125" style="58" customWidth="1"/>
    <col min="10866" max="10866" width="10.75" style="58" customWidth="1"/>
    <col min="10867" max="10867" width="9" style="58" customWidth="1"/>
    <col min="10868" max="10868" width="9.75" style="58" customWidth="1"/>
    <col min="10869" max="10869" width="7.5" style="58" customWidth="1"/>
    <col min="10870" max="10870" width="13.25" style="58" customWidth="1"/>
    <col min="10871" max="10871" width="11.75" style="58" customWidth="1"/>
    <col min="10872" max="10872" width="8.875" style="58" customWidth="1"/>
    <col min="10873" max="10873" width="9.625" style="58" customWidth="1"/>
    <col min="10874" max="10875" width="11.875" style="58" customWidth="1"/>
    <col min="10876" max="10876" width="11.5" style="58" customWidth="1"/>
    <col min="10877" max="10892" width="12.25" style="58" customWidth="1"/>
    <col min="10893" max="10893" width="13" style="58" customWidth="1"/>
    <col min="10894" max="10898" width="12.375" style="58" customWidth="1"/>
    <col min="10899" max="10899" width="13" style="58" customWidth="1"/>
    <col min="10900" max="10901" width="12.375" style="58" customWidth="1"/>
    <col min="10902" max="10902" width="13" style="58" customWidth="1"/>
    <col min="10903" max="10903" width="13.125" style="58" customWidth="1"/>
    <col min="10904" max="10904" width="13" style="58" customWidth="1"/>
    <col min="10905" max="10905" width="13.125" style="58" customWidth="1"/>
    <col min="10906" max="10907" width="12.375" style="58" customWidth="1"/>
    <col min="10908" max="10908" width="13" style="58" customWidth="1"/>
    <col min="10909" max="10909" width="12.375" style="58" customWidth="1"/>
    <col min="10910" max="10910" width="12.25" style="58" customWidth="1"/>
    <col min="10911" max="10911" width="12.125" style="58" customWidth="1"/>
    <col min="10912" max="10912" width="11.625" style="58" customWidth="1"/>
    <col min="10913" max="10913" width="12" style="58" customWidth="1"/>
    <col min="10914" max="10914" width="13" style="58" customWidth="1"/>
    <col min="10915" max="10915" width="11.625" style="58" customWidth="1"/>
    <col min="10916" max="10917" width="12" style="58" customWidth="1"/>
    <col min="10918" max="10920" width="11.625" style="58" customWidth="1"/>
    <col min="10921" max="10921" width="11.125" style="58" customWidth="1"/>
    <col min="10922" max="10922" width="12" style="58" customWidth="1"/>
    <col min="10923" max="10923" width="13" style="58" customWidth="1"/>
    <col min="10924" max="10924" width="13.625" style="58" customWidth="1"/>
    <col min="10925" max="10925" width="11.875" style="58" customWidth="1"/>
    <col min="10926" max="10927" width="11.625" style="58" customWidth="1"/>
    <col min="10928" max="10928" width="12" style="58" customWidth="1"/>
    <col min="10929" max="10929" width="12.75" style="58" customWidth="1"/>
    <col min="10930" max="10930" width="11.625" style="58" customWidth="1"/>
    <col min="10931" max="10931" width="12.125" style="58" customWidth="1"/>
    <col min="10932" max="10933" width="11.625" style="58" customWidth="1"/>
    <col min="10934" max="10934" width="12.5" style="58" customWidth="1"/>
    <col min="10935" max="11109" width="11.625" style="58" customWidth="1"/>
    <col min="11110" max="11110" width="17.75" style="58" customWidth="1"/>
    <col min="11111" max="11112" width="9" style="58" customWidth="1"/>
    <col min="11113" max="11113" width="16.25" style="58" customWidth="1"/>
    <col min="11114" max="11114" width="24" style="58" customWidth="1"/>
    <col min="11115" max="11115" width="9" style="58"/>
    <col min="11116" max="11116" width="11.75" style="58" customWidth="1"/>
    <col min="11117" max="11117" width="8.875" style="58" customWidth="1"/>
    <col min="11118" max="11118" width="17.375" style="58" customWidth="1"/>
    <col min="11119" max="11119" width="13.25" style="58" customWidth="1"/>
    <col min="11120" max="11120" width="25.75" style="58" customWidth="1"/>
    <col min="11121" max="11121" width="11.125" style="58" customWidth="1"/>
    <col min="11122" max="11122" width="10.75" style="58" customWidth="1"/>
    <col min="11123" max="11123" width="9" style="58" customWidth="1"/>
    <col min="11124" max="11124" width="9.75" style="58" customWidth="1"/>
    <col min="11125" max="11125" width="7.5" style="58" customWidth="1"/>
    <col min="11126" max="11126" width="13.25" style="58" customWidth="1"/>
    <col min="11127" max="11127" width="11.75" style="58" customWidth="1"/>
    <col min="11128" max="11128" width="8.875" style="58" customWidth="1"/>
    <col min="11129" max="11129" width="9.625" style="58" customWidth="1"/>
    <col min="11130" max="11131" width="11.875" style="58" customWidth="1"/>
    <col min="11132" max="11132" width="11.5" style="58" customWidth="1"/>
    <col min="11133" max="11148" width="12.25" style="58" customWidth="1"/>
    <col min="11149" max="11149" width="13" style="58" customWidth="1"/>
    <col min="11150" max="11154" width="12.375" style="58" customWidth="1"/>
    <col min="11155" max="11155" width="13" style="58" customWidth="1"/>
    <col min="11156" max="11157" width="12.375" style="58" customWidth="1"/>
    <col min="11158" max="11158" width="13" style="58" customWidth="1"/>
    <col min="11159" max="11159" width="13.125" style="58" customWidth="1"/>
    <col min="11160" max="11160" width="13" style="58" customWidth="1"/>
    <col min="11161" max="11161" width="13.125" style="58" customWidth="1"/>
    <col min="11162" max="11163" width="12.375" style="58" customWidth="1"/>
    <col min="11164" max="11164" width="13" style="58" customWidth="1"/>
    <col min="11165" max="11165" width="12.375" style="58" customWidth="1"/>
    <col min="11166" max="11166" width="12.25" style="58" customWidth="1"/>
    <col min="11167" max="11167" width="12.125" style="58" customWidth="1"/>
    <col min="11168" max="11168" width="11.625" style="58" customWidth="1"/>
    <col min="11169" max="11169" width="12" style="58" customWidth="1"/>
    <col min="11170" max="11170" width="13" style="58" customWidth="1"/>
    <col min="11171" max="11171" width="11.625" style="58" customWidth="1"/>
    <col min="11172" max="11173" width="12" style="58" customWidth="1"/>
    <col min="11174" max="11176" width="11.625" style="58" customWidth="1"/>
    <col min="11177" max="11177" width="11.125" style="58" customWidth="1"/>
    <col min="11178" max="11178" width="12" style="58" customWidth="1"/>
    <col min="11179" max="11179" width="13" style="58" customWidth="1"/>
    <col min="11180" max="11180" width="13.625" style="58" customWidth="1"/>
    <col min="11181" max="11181" width="11.875" style="58" customWidth="1"/>
    <col min="11182" max="11183" width="11.625" style="58" customWidth="1"/>
    <col min="11184" max="11184" width="12" style="58" customWidth="1"/>
    <col min="11185" max="11185" width="12.75" style="58" customWidth="1"/>
    <col min="11186" max="11186" width="11.625" style="58" customWidth="1"/>
    <col min="11187" max="11187" width="12.125" style="58" customWidth="1"/>
    <col min="11188" max="11189" width="11.625" style="58" customWidth="1"/>
    <col min="11190" max="11190" width="12.5" style="58" customWidth="1"/>
    <col min="11191" max="11365" width="11.625" style="58" customWidth="1"/>
    <col min="11366" max="11366" width="17.75" style="58" customWidth="1"/>
    <col min="11367" max="11368" width="9" style="58" customWidth="1"/>
    <col min="11369" max="11369" width="16.25" style="58" customWidth="1"/>
    <col min="11370" max="11370" width="24" style="58" customWidth="1"/>
    <col min="11371" max="11371" width="9" style="58"/>
    <col min="11372" max="11372" width="11.75" style="58" customWidth="1"/>
    <col min="11373" max="11373" width="8.875" style="58" customWidth="1"/>
    <col min="11374" max="11374" width="17.375" style="58" customWidth="1"/>
    <col min="11375" max="11375" width="13.25" style="58" customWidth="1"/>
    <col min="11376" max="11376" width="25.75" style="58" customWidth="1"/>
    <col min="11377" max="11377" width="11.125" style="58" customWidth="1"/>
    <col min="11378" max="11378" width="10.75" style="58" customWidth="1"/>
    <col min="11379" max="11379" width="9" style="58" customWidth="1"/>
    <col min="11380" max="11380" width="9.75" style="58" customWidth="1"/>
    <col min="11381" max="11381" width="7.5" style="58" customWidth="1"/>
    <col min="11382" max="11382" width="13.25" style="58" customWidth="1"/>
    <col min="11383" max="11383" width="11.75" style="58" customWidth="1"/>
    <col min="11384" max="11384" width="8.875" style="58" customWidth="1"/>
    <col min="11385" max="11385" width="9.625" style="58" customWidth="1"/>
    <col min="11386" max="11387" width="11.875" style="58" customWidth="1"/>
    <col min="11388" max="11388" width="11.5" style="58" customWidth="1"/>
    <col min="11389" max="11404" width="12.25" style="58" customWidth="1"/>
    <col min="11405" max="11405" width="13" style="58" customWidth="1"/>
    <col min="11406" max="11410" width="12.375" style="58" customWidth="1"/>
    <col min="11411" max="11411" width="13" style="58" customWidth="1"/>
    <col min="11412" max="11413" width="12.375" style="58" customWidth="1"/>
    <col min="11414" max="11414" width="13" style="58" customWidth="1"/>
    <col min="11415" max="11415" width="13.125" style="58" customWidth="1"/>
    <col min="11416" max="11416" width="13" style="58" customWidth="1"/>
    <col min="11417" max="11417" width="13.125" style="58" customWidth="1"/>
    <col min="11418" max="11419" width="12.375" style="58" customWidth="1"/>
    <col min="11420" max="11420" width="13" style="58" customWidth="1"/>
    <col min="11421" max="11421" width="12.375" style="58" customWidth="1"/>
    <col min="11422" max="11422" width="12.25" style="58" customWidth="1"/>
    <col min="11423" max="11423" width="12.125" style="58" customWidth="1"/>
    <col min="11424" max="11424" width="11.625" style="58" customWidth="1"/>
    <col min="11425" max="11425" width="12" style="58" customWidth="1"/>
    <col min="11426" max="11426" width="13" style="58" customWidth="1"/>
    <col min="11427" max="11427" width="11.625" style="58" customWidth="1"/>
    <col min="11428" max="11429" width="12" style="58" customWidth="1"/>
    <col min="11430" max="11432" width="11.625" style="58" customWidth="1"/>
    <col min="11433" max="11433" width="11.125" style="58" customWidth="1"/>
    <col min="11434" max="11434" width="12" style="58" customWidth="1"/>
    <col min="11435" max="11435" width="13" style="58" customWidth="1"/>
    <col min="11436" max="11436" width="13.625" style="58" customWidth="1"/>
    <col min="11437" max="11437" width="11.875" style="58" customWidth="1"/>
    <col min="11438" max="11439" width="11.625" style="58" customWidth="1"/>
    <col min="11440" max="11440" width="12" style="58" customWidth="1"/>
    <col min="11441" max="11441" width="12.75" style="58" customWidth="1"/>
    <col min="11442" max="11442" width="11.625" style="58" customWidth="1"/>
    <col min="11443" max="11443" width="12.125" style="58" customWidth="1"/>
    <col min="11444" max="11445" width="11.625" style="58" customWidth="1"/>
    <col min="11446" max="11446" width="12.5" style="58" customWidth="1"/>
    <col min="11447" max="11621" width="11.625" style="58" customWidth="1"/>
    <col min="11622" max="11622" width="17.75" style="58" customWidth="1"/>
    <col min="11623" max="11624" width="9" style="58" customWidth="1"/>
    <col min="11625" max="11625" width="16.25" style="58" customWidth="1"/>
    <col min="11626" max="11626" width="24" style="58" customWidth="1"/>
    <col min="11627" max="11627" width="9" style="58"/>
    <col min="11628" max="11628" width="11.75" style="58" customWidth="1"/>
    <col min="11629" max="11629" width="8.875" style="58" customWidth="1"/>
    <col min="11630" max="11630" width="17.375" style="58" customWidth="1"/>
    <col min="11631" max="11631" width="13.25" style="58" customWidth="1"/>
    <col min="11632" max="11632" width="25.75" style="58" customWidth="1"/>
    <col min="11633" max="11633" width="11.125" style="58" customWidth="1"/>
    <col min="11634" max="11634" width="10.75" style="58" customWidth="1"/>
    <col min="11635" max="11635" width="9" style="58" customWidth="1"/>
    <col min="11636" max="11636" width="9.75" style="58" customWidth="1"/>
    <col min="11637" max="11637" width="7.5" style="58" customWidth="1"/>
    <col min="11638" max="11638" width="13.25" style="58" customWidth="1"/>
    <col min="11639" max="11639" width="11.75" style="58" customWidth="1"/>
    <col min="11640" max="11640" width="8.875" style="58" customWidth="1"/>
    <col min="11641" max="11641" width="9.625" style="58" customWidth="1"/>
    <col min="11642" max="11643" width="11.875" style="58" customWidth="1"/>
    <col min="11644" max="11644" width="11.5" style="58" customWidth="1"/>
    <col min="11645" max="11660" width="12.25" style="58" customWidth="1"/>
    <col min="11661" max="11661" width="13" style="58" customWidth="1"/>
    <col min="11662" max="11666" width="12.375" style="58" customWidth="1"/>
    <col min="11667" max="11667" width="13" style="58" customWidth="1"/>
    <col min="11668" max="11669" width="12.375" style="58" customWidth="1"/>
    <col min="11670" max="11670" width="13" style="58" customWidth="1"/>
    <col min="11671" max="11671" width="13.125" style="58" customWidth="1"/>
    <col min="11672" max="11672" width="13" style="58" customWidth="1"/>
    <col min="11673" max="11673" width="13.125" style="58" customWidth="1"/>
    <col min="11674" max="11675" width="12.375" style="58" customWidth="1"/>
    <col min="11676" max="11676" width="13" style="58" customWidth="1"/>
    <col min="11677" max="11677" width="12.375" style="58" customWidth="1"/>
    <col min="11678" max="11678" width="12.25" style="58" customWidth="1"/>
    <col min="11679" max="11679" width="12.125" style="58" customWidth="1"/>
    <col min="11680" max="11680" width="11.625" style="58" customWidth="1"/>
    <col min="11681" max="11681" width="12" style="58" customWidth="1"/>
    <col min="11682" max="11682" width="13" style="58" customWidth="1"/>
    <col min="11683" max="11683" width="11.625" style="58" customWidth="1"/>
    <col min="11684" max="11685" width="12" style="58" customWidth="1"/>
    <col min="11686" max="11688" width="11.625" style="58" customWidth="1"/>
    <col min="11689" max="11689" width="11.125" style="58" customWidth="1"/>
    <col min="11690" max="11690" width="12" style="58" customWidth="1"/>
    <col min="11691" max="11691" width="13" style="58" customWidth="1"/>
    <col min="11692" max="11692" width="13.625" style="58" customWidth="1"/>
    <col min="11693" max="11693" width="11.875" style="58" customWidth="1"/>
    <col min="11694" max="11695" width="11.625" style="58" customWidth="1"/>
    <col min="11696" max="11696" width="12" style="58" customWidth="1"/>
    <col min="11697" max="11697" width="12.75" style="58" customWidth="1"/>
    <col min="11698" max="11698" width="11.625" style="58" customWidth="1"/>
    <col min="11699" max="11699" width="12.125" style="58" customWidth="1"/>
    <col min="11700" max="11701" width="11.625" style="58" customWidth="1"/>
    <col min="11702" max="11702" width="12.5" style="58" customWidth="1"/>
    <col min="11703" max="11877" width="11.625" style="58" customWidth="1"/>
    <col min="11878" max="11878" width="17.75" style="58" customWidth="1"/>
    <col min="11879" max="11880" width="9" style="58" customWidth="1"/>
    <col min="11881" max="11881" width="16.25" style="58" customWidth="1"/>
    <col min="11882" max="11882" width="24" style="58" customWidth="1"/>
    <col min="11883" max="11883" width="9" style="58"/>
    <col min="11884" max="11884" width="11.75" style="58" customWidth="1"/>
    <col min="11885" max="11885" width="8.875" style="58" customWidth="1"/>
    <col min="11886" max="11886" width="17.375" style="58" customWidth="1"/>
    <col min="11887" max="11887" width="13.25" style="58" customWidth="1"/>
    <col min="11888" max="11888" width="25.75" style="58" customWidth="1"/>
    <col min="11889" max="11889" width="11.125" style="58" customWidth="1"/>
    <col min="11890" max="11890" width="10.75" style="58" customWidth="1"/>
    <col min="11891" max="11891" width="9" style="58" customWidth="1"/>
    <col min="11892" max="11892" width="9.75" style="58" customWidth="1"/>
    <col min="11893" max="11893" width="7.5" style="58" customWidth="1"/>
    <col min="11894" max="11894" width="13.25" style="58" customWidth="1"/>
    <col min="11895" max="11895" width="11.75" style="58" customWidth="1"/>
    <col min="11896" max="11896" width="8.875" style="58" customWidth="1"/>
    <col min="11897" max="11897" width="9.625" style="58" customWidth="1"/>
    <col min="11898" max="11899" width="11.875" style="58" customWidth="1"/>
    <col min="11900" max="11900" width="11.5" style="58" customWidth="1"/>
    <col min="11901" max="11916" width="12.25" style="58" customWidth="1"/>
    <col min="11917" max="11917" width="13" style="58" customWidth="1"/>
    <col min="11918" max="11922" width="12.375" style="58" customWidth="1"/>
    <col min="11923" max="11923" width="13" style="58" customWidth="1"/>
    <col min="11924" max="11925" width="12.375" style="58" customWidth="1"/>
    <col min="11926" max="11926" width="13" style="58" customWidth="1"/>
    <col min="11927" max="11927" width="13.125" style="58" customWidth="1"/>
    <col min="11928" max="11928" width="13" style="58" customWidth="1"/>
    <col min="11929" max="11929" width="13.125" style="58" customWidth="1"/>
    <col min="11930" max="11931" width="12.375" style="58" customWidth="1"/>
    <col min="11932" max="11932" width="13" style="58" customWidth="1"/>
    <col min="11933" max="11933" width="12.375" style="58" customWidth="1"/>
    <col min="11934" max="11934" width="12.25" style="58" customWidth="1"/>
    <col min="11935" max="11935" width="12.125" style="58" customWidth="1"/>
    <col min="11936" max="11936" width="11.625" style="58" customWidth="1"/>
    <col min="11937" max="11937" width="12" style="58" customWidth="1"/>
    <col min="11938" max="11938" width="13" style="58" customWidth="1"/>
    <col min="11939" max="11939" width="11.625" style="58" customWidth="1"/>
    <col min="11940" max="11941" width="12" style="58" customWidth="1"/>
    <col min="11942" max="11944" width="11.625" style="58" customWidth="1"/>
    <col min="11945" max="11945" width="11.125" style="58" customWidth="1"/>
    <col min="11946" max="11946" width="12" style="58" customWidth="1"/>
    <col min="11947" max="11947" width="13" style="58" customWidth="1"/>
    <col min="11948" max="11948" width="13.625" style="58" customWidth="1"/>
    <col min="11949" max="11949" width="11.875" style="58" customWidth="1"/>
    <col min="11950" max="11951" width="11.625" style="58" customWidth="1"/>
    <col min="11952" max="11952" width="12" style="58" customWidth="1"/>
    <col min="11953" max="11953" width="12.75" style="58" customWidth="1"/>
    <col min="11954" max="11954" width="11.625" style="58" customWidth="1"/>
    <col min="11955" max="11955" width="12.125" style="58" customWidth="1"/>
    <col min="11956" max="11957" width="11.625" style="58" customWidth="1"/>
    <col min="11958" max="11958" width="12.5" style="58" customWidth="1"/>
    <col min="11959" max="12133" width="11.625" style="58" customWidth="1"/>
    <col min="12134" max="12134" width="17.75" style="58" customWidth="1"/>
    <col min="12135" max="12136" width="9" style="58" customWidth="1"/>
    <col min="12137" max="12137" width="16.25" style="58" customWidth="1"/>
    <col min="12138" max="12138" width="24" style="58" customWidth="1"/>
    <col min="12139" max="12139" width="9" style="58"/>
    <col min="12140" max="12140" width="11.75" style="58" customWidth="1"/>
    <col min="12141" max="12141" width="8.875" style="58" customWidth="1"/>
    <col min="12142" max="12142" width="17.375" style="58" customWidth="1"/>
    <col min="12143" max="12143" width="13.25" style="58" customWidth="1"/>
    <col min="12144" max="12144" width="25.75" style="58" customWidth="1"/>
    <col min="12145" max="12145" width="11.125" style="58" customWidth="1"/>
    <col min="12146" max="12146" width="10.75" style="58" customWidth="1"/>
    <col min="12147" max="12147" width="9" style="58" customWidth="1"/>
    <col min="12148" max="12148" width="9.75" style="58" customWidth="1"/>
    <col min="12149" max="12149" width="7.5" style="58" customWidth="1"/>
    <col min="12150" max="12150" width="13.25" style="58" customWidth="1"/>
    <col min="12151" max="12151" width="11.75" style="58" customWidth="1"/>
    <col min="12152" max="12152" width="8.875" style="58" customWidth="1"/>
    <col min="12153" max="12153" width="9.625" style="58" customWidth="1"/>
    <col min="12154" max="12155" width="11.875" style="58" customWidth="1"/>
    <col min="12156" max="12156" width="11.5" style="58" customWidth="1"/>
    <col min="12157" max="12172" width="12.25" style="58" customWidth="1"/>
    <col min="12173" max="12173" width="13" style="58" customWidth="1"/>
    <col min="12174" max="12178" width="12.375" style="58" customWidth="1"/>
    <col min="12179" max="12179" width="13" style="58" customWidth="1"/>
    <col min="12180" max="12181" width="12.375" style="58" customWidth="1"/>
    <col min="12182" max="12182" width="13" style="58" customWidth="1"/>
    <col min="12183" max="12183" width="13.125" style="58" customWidth="1"/>
    <col min="12184" max="12184" width="13" style="58" customWidth="1"/>
    <col min="12185" max="12185" width="13.125" style="58" customWidth="1"/>
    <col min="12186" max="12187" width="12.375" style="58" customWidth="1"/>
    <col min="12188" max="12188" width="13" style="58" customWidth="1"/>
    <col min="12189" max="12189" width="12.375" style="58" customWidth="1"/>
    <col min="12190" max="12190" width="12.25" style="58" customWidth="1"/>
    <col min="12191" max="12191" width="12.125" style="58" customWidth="1"/>
    <col min="12192" max="12192" width="11.625" style="58" customWidth="1"/>
    <col min="12193" max="12193" width="12" style="58" customWidth="1"/>
    <col min="12194" max="12194" width="13" style="58" customWidth="1"/>
    <col min="12195" max="12195" width="11.625" style="58" customWidth="1"/>
    <col min="12196" max="12197" width="12" style="58" customWidth="1"/>
    <col min="12198" max="12200" width="11.625" style="58" customWidth="1"/>
    <col min="12201" max="12201" width="11.125" style="58" customWidth="1"/>
    <col min="12202" max="12202" width="12" style="58" customWidth="1"/>
    <col min="12203" max="12203" width="13" style="58" customWidth="1"/>
    <col min="12204" max="12204" width="13.625" style="58" customWidth="1"/>
    <col min="12205" max="12205" width="11.875" style="58" customWidth="1"/>
    <col min="12206" max="12207" width="11.625" style="58" customWidth="1"/>
    <col min="12208" max="12208" width="12" style="58" customWidth="1"/>
    <col min="12209" max="12209" width="12.75" style="58" customWidth="1"/>
    <col min="12210" max="12210" width="11.625" style="58" customWidth="1"/>
    <col min="12211" max="12211" width="12.125" style="58" customWidth="1"/>
    <col min="12212" max="12213" width="11.625" style="58" customWidth="1"/>
    <col min="12214" max="12214" width="12.5" style="58" customWidth="1"/>
    <col min="12215" max="12389" width="11.625" style="58" customWidth="1"/>
    <col min="12390" max="12390" width="17.75" style="58" customWidth="1"/>
    <col min="12391" max="12392" width="9" style="58" customWidth="1"/>
    <col min="12393" max="12393" width="16.25" style="58" customWidth="1"/>
    <col min="12394" max="12394" width="24" style="58" customWidth="1"/>
    <col min="12395" max="12395" width="9" style="58"/>
    <col min="12396" max="12396" width="11.75" style="58" customWidth="1"/>
    <col min="12397" max="12397" width="8.875" style="58" customWidth="1"/>
    <col min="12398" max="12398" width="17.375" style="58" customWidth="1"/>
    <col min="12399" max="12399" width="13.25" style="58" customWidth="1"/>
    <col min="12400" max="12400" width="25.75" style="58" customWidth="1"/>
    <col min="12401" max="12401" width="11.125" style="58" customWidth="1"/>
    <col min="12402" max="12402" width="10.75" style="58" customWidth="1"/>
    <col min="12403" max="12403" width="9" style="58" customWidth="1"/>
    <col min="12404" max="12404" width="9.75" style="58" customWidth="1"/>
    <col min="12405" max="12405" width="7.5" style="58" customWidth="1"/>
    <col min="12406" max="12406" width="13.25" style="58" customWidth="1"/>
    <col min="12407" max="12407" width="11.75" style="58" customWidth="1"/>
    <col min="12408" max="12408" width="8.875" style="58" customWidth="1"/>
    <col min="12409" max="12409" width="9.625" style="58" customWidth="1"/>
    <col min="12410" max="12411" width="11.875" style="58" customWidth="1"/>
    <col min="12412" max="12412" width="11.5" style="58" customWidth="1"/>
    <col min="12413" max="12428" width="12.25" style="58" customWidth="1"/>
    <col min="12429" max="12429" width="13" style="58" customWidth="1"/>
    <col min="12430" max="12434" width="12.375" style="58" customWidth="1"/>
    <col min="12435" max="12435" width="13" style="58" customWidth="1"/>
    <col min="12436" max="12437" width="12.375" style="58" customWidth="1"/>
    <col min="12438" max="12438" width="13" style="58" customWidth="1"/>
    <col min="12439" max="12439" width="13.125" style="58" customWidth="1"/>
    <col min="12440" max="12440" width="13" style="58" customWidth="1"/>
    <col min="12441" max="12441" width="13.125" style="58" customWidth="1"/>
    <col min="12442" max="12443" width="12.375" style="58" customWidth="1"/>
    <col min="12444" max="12444" width="13" style="58" customWidth="1"/>
    <col min="12445" max="12445" width="12.375" style="58" customWidth="1"/>
    <col min="12446" max="12446" width="12.25" style="58" customWidth="1"/>
    <col min="12447" max="12447" width="12.125" style="58" customWidth="1"/>
    <col min="12448" max="12448" width="11.625" style="58" customWidth="1"/>
    <col min="12449" max="12449" width="12" style="58" customWidth="1"/>
    <col min="12450" max="12450" width="13" style="58" customWidth="1"/>
    <col min="12451" max="12451" width="11.625" style="58" customWidth="1"/>
    <col min="12452" max="12453" width="12" style="58" customWidth="1"/>
    <col min="12454" max="12456" width="11.625" style="58" customWidth="1"/>
    <col min="12457" max="12457" width="11.125" style="58" customWidth="1"/>
    <col min="12458" max="12458" width="12" style="58" customWidth="1"/>
    <col min="12459" max="12459" width="13" style="58" customWidth="1"/>
    <col min="12460" max="12460" width="13.625" style="58" customWidth="1"/>
    <col min="12461" max="12461" width="11.875" style="58" customWidth="1"/>
    <col min="12462" max="12463" width="11.625" style="58" customWidth="1"/>
    <col min="12464" max="12464" width="12" style="58" customWidth="1"/>
    <col min="12465" max="12465" width="12.75" style="58" customWidth="1"/>
    <col min="12466" max="12466" width="11.625" style="58" customWidth="1"/>
    <col min="12467" max="12467" width="12.125" style="58" customWidth="1"/>
    <col min="12468" max="12469" width="11.625" style="58" customWidth="1"/>
    <col min="12470" max="12470" width="12.5" style="58" customWidth="1"/>
    <col min="12471" max="12645" width="11.625" style="58" customWidth="1"/>
    <col min="12646" max="12646" width="17.75" style="58" customWidth="1"/>
    <col min="12647" max="12648" width="9" style="58" customWidth="1"/>
    <col min="12649" max="12649" width="16.25" style="58" customWidth="1"/>
    <col min="12650" max="12650" width="24" style="58" customWidth="1"/>
    <col min="12651" max="12651" width="9" style="58"/>
    <col min="12652" max="12652" width="11.75" style="58" customWidth="1"/>
    <col min="12653" max="12653" width="8.875" style="58" customWidth="1"/>
    <col min="12654" max="12654" width="17.375" style="58" customWidth="1"/>
    <col min="12655" max="12655" width="13.25" style="58" customWidth="1"/>
    <col min="12656" max="12656" width="25.75" style="58" customWidth="1"/>
    <col min="12657" max="12657" width="11.125" style="58" customWidth="1"/>
    <col min="12658" max="12658" width="10.75" style="58" customWidth="1"/>
    <col min="12659" max="12659" width="9" style="58" customWidth="1"/>
    <col min="12660" max="12660" width="9.75" style="58" customWidth="1"/>
    <col min="12661" max="12661" width="7.5" style="58" customWidth="1"/>
    <col min="12662" max="12662" width="13.25" style="58" customWidth="1"/>
    <col min="12663" max="12663" width="11.75" style="58" customWidth="1"/>
    <col min="12664" max="12664" width="8.875" style="58" customWidth="1"/>
    <col min="12665" max="12665" width="9.625" style="58" customWidth="1"/>
    <col min="12666" max="12667" width="11.875" style="58" customWidth="1"/>
    <col min="12668" max="12668" width="11.5" style="58" customWidth="1"/>
    <col min="12669" max="12684" width="12.25" style="58" customWidth="1"/>
    <col min="12685" max="12685" width="13" style="58" customWidth="1"/>
    <col min="12686" max="12690" width="12.375" style="58" customWidth="1"/>
    <col min="12691" max="12691" width="13" style="58" customWidth="1"/>
    <col min="12692" max="12693" width="12.375" style="58" customWidth="1"/>
    <col min="12694" max="12694" width="13" style="58" customWidth="1"/>
    <col min="12695" max="12695" width="13.125" style="58" customWidth="1"/>
    <col min="12696" max="12696" width="13" style="58" customWidth="1"/>
    <col min="12697" max="12697" width="13.125" style="58" customWidth="1"/>
    <col min="12698" max="12699" width="12.375" style="58" customWidth="1"/>
    <col min="12700" max="12700" width="13" style="58" customWidth="1"/>
    <col min="12701" max="12701" width="12.375" style="58" customWidth="1"/>
    <col min="12702" max="12702" width="12.25" style="58" customWidth="1"/>
    <col min="12703" max="12703" width="12.125" style="58" customWidth="1"/>
    <col min="12704" max="12704" width="11.625" style="58" customWidth="1"/>
    <col min="12705" max="12705" width="12" style="58" customWidth="1"/>
    <col min="12706" max="12706" width="13" style="58" customWidth="1"/>
    <col min="12707" max="12707" width="11.625" style="58" customWidth="1"/>
    <col min="12708" max="12709" width="12" style="58" customWidth="1"/>
    <col min="12710" max="12712" width="11.625" style="58" customWidth="1"/>
    <col min="12713" max="12713" width="11.125" style="58" customWidth="1"/>
    <col min="12714" max="12714" width="12" style="58" customWidth="1"/>
    <col min="12715" max="12715" width="13" style="58" customWidth="1"/>
    <col min="12716" max="12716" width="13.625" style="58" customWidth="1"/>
    <col min="12717" max="12717" width="11.875" style="58" customWidth="1"/>
    <col min="12718" max="12719" width="11.625" style="58" customWidth="1"/>
    <col min="12720" max="12720" width="12" style="58" customWidth="1"/>
    <col min="12721" max="12721" width="12.75" style="58" customWidth="1"/>
    <col min="12722" max="12722" width="11.625" style="58" customWidth="1"/>
    <col min="12723" max="12723" width="12.125" style="58" customWidth="1"/>
    <col min="12724" max="12725" width="11.625" style="58" customWidth="1"/>
    <col min="12726" max="12726" width="12.5" style="58" customWidth="1"/>
    <col min="12727" max="12901" width="11.625" style="58" customWidth="1"/>
    <col min="12902" max="12902" width="17.75" style="58" customWidth="1"/>
    <col min="12903" max="12904" width="9" style="58" customWidth="1"/>
    <col min="12905" max="12905" width="16.25" style="58" customWidth="1"/>
    <col min="12906" max="12906" width="24" style="58" customWidth="1"/>
    <col min="12907" max="12907" width="9" style="58"/>
    <col min="12908" max="12908" width="11.75" style="58" customWidth="1"/>
    <col min="12909" max="12909" width="8.875" style="58" customWidth="1"/>
    <col min="12910" max="12910" width="17.375" style="58" customWidth="1"/>
    <col min="12911" max="12911" width="13.25" style="58" customWidth="1"/>
    <col min="12912" max="12912" width="25.75" style="58" customWidth="1"/>
    <col min="12913" max="12913" width="11.125" style="58" customWidth="1"/>
    <col min="12914" max="12914" width="10.75" style="58" customWidth="1"/>
    <col min="12915" max="12915" width="9" style="58" customWidth="1"/>
    <col min="12916" max="12916" width="9.75" style="58" customWidth="1"/>
    <col min="12917" max="12917" width="7.5" style="58" customWidth="1"/>
    <col min="12918" max="12918" width="13.25" style="58" customWidth="1"/>
    <col min="12919" max="12919" width="11.75" style="58" customWidth="1"/>
    <col min="12920" max="12920" width="8.875" style="58" customWidth="1"/>
    <col min="12921" max="12921" width="9.625" style="58" customWidth="1"/>
    <col min="12922" max="12923" width="11.875" style="58" customWidth="1"/>
    <col min="12924" max="12924" width="11.5" style="58" customWidth="1"/>
    <col min="12925" max="12940" width="12.25" style="58" customWidth="1"/>
    <col min="12941" max="12941" width="13" style="58" customWidth="1"/>
    <col min="12942" max="12946" width="12.375" style="58" customWidth="1"/>
    <col min="12947" max="12947" width="13" style="58" customWidth="1"/>
    <col min="12948" max="12949" width="12.375" style="58" customWidth="1"/>
    <col min="12950" max="12950" width="13" style="58" customWidth="1"/>
    <col min="12951" max="12951" width="13.125" style="58" customWidth="1"/>
    <col min="12952" max="12952" width="13" style="58" customWidth="1"/>
    <col min="12953" max="12953" width="13.125" style="58" customWidth="1"/>
    <col min="12954" max="12955" width="12.375" style="58" customWidth="1"/>
    <col min="12956" max="12956" width="13" style="58" customWidth="1"/>
    <col min="12957" max="12957" width="12.375" style="58" customWidth="1"/>
    <col min="12958" max="12958" width="12.25" style="58" customWidth="1"/>
    <col min="12959" max="12959" width="12.125" style="58" customWidth="1"/>
    <col min="12960" max="12960" width="11.625" style="58" customWidth="1"/>
    <col min="12961" max="12961" width="12" style="58" customWidth="1"/>
    <col min="12962" max="12962" width="13" style="58" customWidth="1"/>
    <col min="12963" max="12963" width="11.625" style="58" customWidth="1"/>
    <col min="12964" max="12965" width="12" style="58" customWidth="1"/>
    <col min="12966" max="12968" width="11.625" style="58" customWidth="1"/>
    <col min="12969" max="12969" width="11.125" style="58" customWidth="1"/>
    <col min="12970" max="12970" width="12" style="58" customWidth="1"/>
    <col min="12971" max="12971" width="13" style="58" customWidth="1"/>
    <col min="12972" max="12972" width="13.625" style="58" customWidth="1"/>
    <col min="12973" max="12973" width="11.875" style="58" customWidth="1"/>
    <col min="12974" max="12975" width="11.625" style="58" customWidth="1"/>
    <col min="12976" max="12976" width="12" style="58" customWidth="1"/>
    <col min="12977" max="12977" width="12.75" style="58" customWidth="1"/>
    <col min="12978" max="12978" width="11.625" style="58" customWidth="1"/>
    <col min="12979" max="12979" width="12.125" style="58" customWidth="1"/>
    <col min="12980" max="12981" width="11.625" style="58" customWidth="1"/>
    <col min="12982" max="12982" width="12.5" style="58" customWidth="1"/>
    <col min="12983" max="13157" width="11.625" style="58" customWidth="1"/>
    <col min="13158" max="13158" width="17.75" style="58" customWidth="1"/>
    <col min="13159" max="13160" width="9" style="58" customWidth="1"/>
    <col min="13161" max="13161" width="16.25" style="58" customWidth="1"/>
    <col min="13162" max="13162" width="24" style="58" customWidth="1"/>
    <col min="13163" max="13163" width="9" style="58"/>
    <col min="13164" max="13164" width="11.75" style="58" customWidth="1"/>
    <col min="13165" max="13165" width="8.875" style="58" customWidth="1"/>
    <col min="13166" max="13166" width="17.375" style="58" customWidth="1"/>
    <col min="13167" max="13167" width="13.25" style="58" customWidth="1"/>
    <col min="13168" max="13168" width="25.75" style="58" customWidth="1"/>
    <col min="13169" max="13169" width="11.125" style="58" customWidth="1"/>
    <col min="13170" max="13170" width="10.75" style="58" customWidth="1"/>
    <col min="13171" max="13171" width="9" style="58" customWidth="1"/>
    <col min="13172" max="13172" width="9.75" style="58" customWidth="1"/>
    <col min="13173" max="13173" width="7.5" style="58" customWidth="1"/>
    <col min="13174" max="13174" width="13.25" style="58" customWidth="1"/>
    <col min="13175" max="13175" width="11.75" style="58" customWidth="1"/>
    <col min="13176" max="13176" width="8.875" style="58" customWidth="1"/>
    <col min="13177" max="13177" width="9.625" style="58" customWidth="1"/>
    <col min="13178" max="13179" width="11.875" style="58" customWidth="1"/>
    <col min="13180" max="13180" width="11.5" style="58" customWidth="1"/>
    <col min="13181" max="13196" width="12.25" style="58" customWidth="1"/>
    <col min="13197" max="13197" width="13" style="58" customWidth="1"/>
    <col min="13198" max="13202" width="12.375" style="58" customWidth="1"/>
    <col min="13203" max="13203" width="13" style="58" customWidth="1"/>
    <col min="13204" max="13205" width="12.375" style="58" customWidth="1"/>
    <col min="13206" max="13206" width="13" style="58" customWidth="1"/>
    <col min="13207" max="13207" width="13.125" style="58" customWidth="1"/>
    <col min="13208" max="13208" width="13" style="58" customWidth="1"/>
    <col min="13209" max="13209" width="13.125" style="58" customWidth="1"/>
    <col min="13210" max="13211" width="12.375" style="58" customWidth="1"/>
    <col min="13212" max="13212" width="13" style="58" customWidth="1"/>
    <col min="13213" max="13213" width="12.375" style="58" customWidth="1"/>
    <col min="13214" max="13214" width="12.25" style="58" customWidth="1"/>
    <col min="13215" max="13215" width="12.125" style="58" customWidth="1"/>
    <col min="13216" max="13216" width="11.625" style="58" customWidth="1"/>
    <col min="13217" max="13217" width="12" style="58" customWidth="1"/>
    <col min="13218" max="13218" width="13" style="58" customWidth="1"/>
    <col min="13219" max="13219" width="11.625" style="58" customWidth="1"/>
    <col min="13220" max="13221" width="12" style="58" customWidth="1"/>
    <col min="13222" max="13224" width="11.625" style="58" customWidth="1"/>
    <col min="13225" max="13225" width="11.125" style="58" customWidth="1"/>
    <col min="13226" max="13226" width="12" style="58" customWidth="1"/>
    <col min="13227" max="13227" width="13" style="58" customWidth="1"/>
    <col min="13228" max="13228" width="13.625" style="58" customWidth="1"/>
    <col min="13229" max="13229" width="11.875" style="58" customWidth="1"/>
    <col min="13230" max="13231" width="11.625" style="58" customWidth="1"/>
    <col min="13232" max="13232" width="12" style="58" customWidth="1"/>
    <col min="13233" max="13233" width="12.75" style="58" customWidth="1"/>
    <col min="13234" max="13234" width="11.625" style="58" customWidth="1"/>
    <col min="13235" max="13235" width="12.125" style="58" customWidth="1"/>
    <col min="13236" max="13237" width="11.625" style="58" customWidth="1"/>
    <col min="13238" max="13238" width="12.5" style="58" customWidth="1"/>
    <col min="13239" max="13413" width="11.625" style="58" customWidth="1"/>
    <col min="13414" max="13414" width="17.75" style="58" customWidth="1"/>
    <col min="13415" max="13416" width="9" style="58" customWidth="1"/>
    <col min="13417" max="13417" width="16.25" style="58" customWidth="1"/>
    <col min="13418" max="13418" width="24" style="58" customWidth="1"/>
    <col min="13419" max="13419" width="9" style="58"/>
    <col min="13420" max="13420" width="11.75" style="58" customWidth="1"/>
    <col min="13421" max="13421" width="8.875" style="58" customWidth="1"/>
    <col min="13422" max="13422" width="17.375" style="58" customWidth="1"/>
    <col min="13423" max="13423" width="13.25" style="58" customWidth="1"/>
    <col min="13424" max="13424" width="25.75" style="58" customWidth="1"/>
    <col min="13425" max="13425" width="11.125" style="58" customWidth="1"/>
    <col min="13426" max="13426" width="10.75" style="58" customWidth="1"/>
    <col min="13427" max="13427" width="9" style="58" customWidth="1"/>
    <col min="13428" max="13428" width="9.75" style="58" customWidth="1"/>
    <col min="13429" max="13429" width="7.5" style="58" customWidth="1"/>
    <col min="13430" max="13430" width="13.25" style="58" customWidth="1"/>
    <col min="13431" max="13431" width="11.75" style="58" customWidth="1"/>
    <col min="13432" max="13432" width="8.875" style="58" customWidth="1"/>
    <col min="13433" max="13433" width="9.625" style="58" customWidth="1"/>
    <col min="13434" max="13435" width="11.875" style="58" customWidth="1"/>
    <col min="13436" max="13436" width="11.5" style="58" customWidth="1"/>
    <col min="13437" max="13452" width="12.25" style="58" customWidth="1"/>
    <col min="13453" max="13453" width="13" style="58" customWidth="1"/>
    <col min="13454" max="13458" width="12.375" style="58" customWidth="1"/>
    <col min="13459" max="13459" width="13" style="58" customWidth="1"/>
    <col min="13460" max="13461" width="12.375" style="58" customWidth="1"/>
    <col min="13462" max="13462" width="13" style="58" customWidth="1"/>
    <col min="13463" max="13463" width="13.125" style="58" customWidth="1"/>
    <col min="13464" max="13464" width="13" style="58" customWidth="1"/>
    <col min="13465" max="13465" width="13.125" style="58" customWidth="1"/>
    <col min="13466" max="13467" width="12.375" style="58" customWidth="1"/>
    <col min="13468" max="13468" width="13" style="58" customWidth="1"/>
    <col min="13469" max="13469" width="12.375" style="58" customWidth="1"/>
    <col min="13470" max="13470" width="12.25" style="58" customWidth="1"/>
    <col min="13471" max="13471" width="12.125" style="58" customWidth="1"/>
    <col min="13472" max="13472" width="11.625" style="58" customWidth="1"/>
    <col min="13473" max="13473" width="12" style="58" customWidth="1"/>
    <col min="13474" max="13474" width="13" style="58" customWidth="1"/>
    <col min="13475" max="13475" width="11.625" style="58" customWidth="1"/>
    <col min="13476" max="13477" width="12" style="58" customWidth="1"/>
    <col min="13478" max="13480" width="11.625" style="58" customWidth="1"/>
    <col min="13481" max="13481" width="11.125" style="58" customWidth="1"/>
    <col min="13482" max="13482" width="12" style="58" customWidth="1"/>
    <col min="13483" max="13483" width="13" style="58" customWidth="1"/>
    <col min="13484" max="13484" width="13.625" style="58" customWidth="1"/>
    <col min="13485" max="13485" width="11.875" style="58" customWidth="1"/>
    <col min="13486" max="13487" width="11.625" style="58" customWidth="1"/>
    <col min="13488" max="13488" width="12" style="58" customWidth="1"/>
    <col min="13489" max="13489" width="12.75" style="58" customWidth="1"/>
    <col min="13490" max="13490" width="11.625" style="58" customWidth="1"/>
    <col min="13491" max="13491" width="12.125" style="58" customWidth="1"/>
    <col min="13492" max="13493" width="11.625" style="58" customWidth="1"/>
    <col min="13494" max="13494" width="12.5" style="58" customWidth="1"/>
    <col min="13495" max="13669" width="11.625" style="58" customWidth="1"/>
    <col min="13670" max="13670" width="17.75" style="58" customWidth="1"/>
    <col min="13671" max="13672" width="9" style="58" customWidth="1"/>
    <col min="13673" max="13673" width="16.25" style="58" customWidth="1"/>
    <col min="13674" max="13674" width="24" style="58" customWidth="1"/>
    <col min="13675" max="13675" width="9" style="58"/>
    <col min="13676" max="13676" width="11.75" style="58" customWidth="1"/>
    <col min="13677" max="13677" width="8.875" style="58" customWidth="1"/>
    <col min="13678" max="13678" width="17.375" style="58" customWidth="1"/>
    <col min="13679" max="13679" width="13.25" style="58" customWidth="1"/>
    <col min="13680" max="13680" width="25.75" style="58" customWidth="1"/>
    <col min="13681" max="13681" width="11.125" style="58" customWidth="1"/>
    <col min="13682" max="13682" width="10.75" style="58" customWidth="1"/>
    <col min="13683" max="13683" width="9" style="58" customWidth="1"/>
    <col min="13684" max="13684" width="9.75" style="58" customWidth="1"/>
    <col min="13685" max="13685" width="7.5" style="58" customWidth="1"/>
    <col min="13686" max="13686" width="13.25" style="58" customWidth="1"/>
    <col min="13687" max="13687" width="11.75" style="58" customWidth="1"/>
    <col min="13688" max="13688" width="8.875" style="58" customWidth="1"/>
    <col min="13689" max="13689" width="9.625" style="58" customWidth="1"/>
    <col min="13690" max="13691" width="11.875" style="58" customWidth="1"/>
    <col min="13692" max="13692" width="11.5" style="58" customWidth="1"/>
    <col min="13693" max="13708" width="12.25" style="58" customWidth="1"/>
    <col min="13709" max="13709" width="13" style="58" customWidth="1"/>
    <col min="13710" max="13714" width="12.375" style="58" customWidth="1"/>
    <col min="13715" max="13715" width="13" style="58" customWidth="1"/>
    <col min="13716" max="13717" width="12.375" style="58" customWidth="1"/>
    <col min="13718" max="13718" width="13" style="58" customWidth="1"/>
    <col min="13719" max="13719" width="13.125" style="58" customWidth="1"/>
    <col min="13720" max="13720" width="13" style="58" customWidth="1"/>
    <col min="13721" max="13721" width="13.125" style="58" customWidth="1"/>
    <col min="13722" max="13723" width="12.375" style="58" customWidth="1"/>
    <col min="13724" max="13724" width="13" style="58" customWidth="1"/>
    <col min="13725" max="13725" width="12.375" style="58" customWidth="1"/>
    <col min="13726" max="13726" width="12.25" style="58" customWidth="1"/>
    <col min="13727" max="13727" width="12.125" style="58" customWidth="1"/>
    <col min="13728" max="13728" width="11.625" style="58" customWidth="1"/>
    <col min="13729" max="13729" width="12" style="58" customWidth="1"/>
    <col min="13730" max="13730" width="13" style="58" customWidth="1"/>
    <col min="13731" max="13731" width="11.625" style="58" customWidth="1"/>
    <col min="13732" max="13733" width="12" style="58" customWidth="1"/>
    <col min="13734" max="13736" width="11.625" style="58" customWidth="1"/>
    <col min="13737" max="13737" width="11.125" style="58" customWidth="1"/>
    <col min="13738" max="13738" width="12" style="58" customWidth="1"/>
    <col min="13739" max="13739" width="13" style="58" customWidth="1"/>
    <col min="13740" max="13740" width="13.625" style="58" customWidth="1"/>
    <col min="13741" max="13741" width="11.875" style="58" customWidth="1"/>
    <col min="13742" max="13743" width="11.625" style="58" customWidth="1"/>
    <col min="13744" max="13744" width="12" style="58" customWidth="1"/>
    <col min="13745" max="13745" width="12.75" style="58" customWidth="1"/>
    <col min="13746" max="13746" width="11.625" style="58" customWidth="1"/>
    <col min="13747" max="13747" width="12.125" style="58" customWidth="1"/>
    <col min="13748" max="13749" width="11.625" style="58" customWidth="1"/>
    <col min="13750" max="13750" width="12.5" style="58" customWidth="1"/>
    <col min="13751" max="13925" width="11.625" style="58" customWidth="1"/>
    <col min="13926" max="13926" width="17.75" style="58" customWidth="1"/>
    <col min="13927" max="13928" width="9" style="58" customWidth="1"/>
    <col min="13929" max="13929" width="16.25" style="58" customWidth="1"/>
    <col min="13930" max="13930" width="24" style="58" customWidth="1"/>
    <col min="13931" max="13931" width="9" style="58"/>
    <col min="13932" max="13932" width="11.75" style="58" customWidth="1"/>
    <col min="13933" max="13933" width="8.875" style="58" customWidth="1"/>
    <col min="13934" max="13934" width="17.375" style="58" customWidth="1"/>
    <col min="13935" max="13935" width="13.25" style="58" customWidth="1"/>
    <col min="13936" max="13936" width="25.75" style="58" customWidth="1"/>
    <col min="13937" max="13937" width="11.125" style="58" customWidth="1"/>
    <col min="13938" max="13938" width="10.75" style="58" customWidth="1"/>
    <col min="13939" max="13939" width="9" style="58" customWidth="1"/>
    <col min="13940" max="13940" width="9.75" style="58" customWidth="1"/>
    <col min="13941" max="13941" width="7.5" style="58" customWidth="1"/>
    <col min="13942" max="13942" width="13.25" style="58" customWidth="1"/>
    <col min="13943" max="13943" width="11.75" style="58" customWidth="1"/>
    <col min="13944" max="13944" width="8.875" style="58" customWidth="1"/>
    <col min="13945" max="13945" width="9.625" style="58" customWidth="1"/>
    <col min="13946" max="13947" width="11.875" style="58" customWidth="1"/>
    <col min="13948" max="13948" width="11.5" style="58" customWidth="1"/>
    <col min="13949" max="13964" width="12.25" style="58" customWidth="1"/>
    <col min="13965" max="13965" width="13" style="58" customWidth="1"/>
    <col min="13966" max="13970" width="12.375" style="58" customWidth="1"/>
    <col min="13971" max="13971" width="13" style="58" customWidth="1"/>
    <col min="13972" max="13973" width="12.375" style="58" customWidth="1"/>
    <col min="13974" max="13974" width="13" style="58" customWidth="1"/>
    <col min="13975" max="13975" width="13.125" style="58" customWidth="1"/>
    <col min="13976" max="13976" width="13" style="58" customWidth="1"/>
    <col min="13977" max="13977" width="13.125" style="58" customWidth="1"/>
    <col min="13978" max="13979" width="12.375" style="58" customWidth="1"/>
    <col min="13980" max="13980" width="13" style="58" customWidth="1"/>
    <col min="13981" max="13981" width="12.375" style="58" customWidth="1"/>
    <col min="13982" max="13982" width="12.25" style="58" customWidth="1"/>
    <col min="13983" max="13983" width="12.125" style="58" customWidth="1"/>
    <col min="13984" max="13984" width="11.625" style="58" customWidth="1"/>
    <col min="13985" max="13985" width="12" style="58" customWidth="1"/>
    <col min="13986" max="13986" width="13" style="58" customWidth="1"/>
    <col min="13987" max="13987" width="11.625" style="58" customWidth="1"/>
    <col min="13988" max="13989" width="12" style="58" customWidth="1"/>
    <col min="13990" max="13992" width="11.625" style="58" customWidth="1"/>
    <col min="13993" max="13993" width="11.125" style="58" customWidth="1"/>
    <col min="13994" max="13994" width="12" style="58" customWidth="1"/>
    <col min="13995" max="13995" width="13" style="58" customWidth="1"/>
    <col min="13996" max="13996" width="13.625" style="58" customWidth="1"/>
    <col min="13997" max="13997" width="11.875" style="58" customWidth="1"/>
    <col min="13998" max="13999" width="11.625" style="58" customWidth="1"/>
    <col min="14000" max="14000" width="12" style="58" customWidth="1"/>
    <col min="14001" max="14001" width="12.75" style="58" customWidth="1"/>
    <col min="14002" max="14002" width="11.625" style="58" customWidth="1"/>
    <col min="14003" max="14003" width="12.125" style="58" customWidth="1"/>
    <col min="14004" max="14005" width="11.625" style="58" customWidth="1"/>
    <col min="14006" max="14006" width="12.5" style="58" customWidth="1"/>
    <col min="14007" max="14181" width="11.625" style="58" customWidth="1"/>
    <col min="14182" max="14182" width="17.75" style="58" customWidth="1"/>
    <col min="14183" max="14184" width="9" style="58" customWidth="1"/>
    <col min="14185" max="14185" width="16.25" style="58" customWidth="1"/>
    <col min="14186" max="14186" width="24" style="58" customWidth="1"/>
    <col min="14187" max="14187" width="9" style="58"/>
    <col min="14188" max="14188" width="11.75" style="58" customWidth="1"/>
    <col min="14189" max="14189" width="8.875" style="58" customWidth="1"/>
    <col min="14190" max="14190" width="17.375" style="58" customWidth="1"/>
    <col min="14191" max="14191" width="13.25" style="58" customWidth="1"/>
    <col min="14192" max="14192" width="25.75" style="58" customWidth="1"/>
    <col min="14193" max="14193" width="11.125" style="58" customWidth="1"/>
    <col min="14194" max="14194" width="10.75" style="58" customWidth="1"/>
    <col min="14195" max="14195" width="9" style="58" customWidth="1"/>
    <col min="14196" max="14196" width="9.75" style="58" customWidth="1"/>
    <col min="14197" max="14197" width="7.5" style="58" customWidth="1"/>
    <col min="14198" max="14198" width="13.25" style="58" customWidth="1"/>
    <col min="14199" max="14199" width="11.75" style="58" customWidth="1"/>
    <col min="14200" max="14200" width="8.875" style="58" customWidth="1"/>
    <col min="14201" max="14201" width="9.625" style="58" customWidth="1"/>
    <col min="14202" max="14203" width="11.875" style="58" customWidth="1"/>
    <col min="14204" max="14204" width="11.5" style="58" customWidth="1"/>
    <col min="14205" max="14220" width="12.25" style="58" customWidth="1"/>
    <col min="14221" max="14221" width="13" style="58" customWidth="1"/>
    <col min="14222" max="14226" width="12.375" style="58" customWidth="1"/>
    <col min="14227" max="14227" width="13" style="58" customWidth="1"/>
    <col min="14228" max="14229" width="12.375" style="58" customWidth="1"/>
    <col min="14230" max="14230" width="13" style="58" customWidth="1"/>
    <col min="14231" max="14231" width="13.125" style="58" customWidth="1"/>
    <col min="14232" max="14232" width="13" style="58" customWidth="1"/>
    <col min="14233" max="14233" width="13.125" style="58" customWidth="1"/>
    <col min="14234" max="14235" width="12.375" style="58" customWidth="1"/>
    <col min="14236" max="14236" width="13" style="58" customWidth="1"/>
    <col min="14237" max="14237" width="12.375" style="58" customWidth="1"/>
    <col min="14238" max="14238" width="12.25" style="58" customWidth="1"/>
    <col min="14239" max="14239" width="12.125" style="58" customWidth="1"/>
    <col min="14240" max="14240" width="11.625" style="58" customWidth="1"/>
    <col min="14241" max="14241" width="12" style="58" customWidth="1"/>
    <col min="14242" max="14242" width="13" style="58" customWidth="1"/>
    <col min="14243" max="14243" width="11.625" style="58" customWidth="1"/>
    <col min="14244" max="14245" width="12" style="58" customWidth="1"/>
    <col min="14246" max="14248" width="11.625" style="58" customWidth="1"/>
    <col min="14249" max="14249" width="11.125" style="58" customWidth="1"/>
    <col min="14250" max="14250" width="12" style="58" customWidth="1"/>
    <col min="14251" max="14251" width="13" style="58" customWidth="1"/>
    <col min="14252" max="14252" width="13.625" style="58" customWidth="1"/>
    <col min="14253" max="14253" width="11.875" style="58" customWidth="1"/>
    <col min="14254" max="14255" width="11.625" style="58" customWidth="1"/>
    <col min="14256" max="14256" width="12" style="58" customWidth="1"/>
    <col min="14257" max="14257" width="12.75" style="58" customWidth="1"/>
    <col min="14258" max="14258" width="11.625" style="58" customWidth="1"/>
    <col min="14259" max="14259" width="12.125" style="58" customWidth="1"/>
    <col min="14260" max="14261" width="11.625" style="58" customWidth="1"/>
    <col min="14262" max="14262" width="12.5" style="58" customWidth="1"/>
    <col min="14263" max="14437" width="11.625" style="58" customWidth="1"/>
    <col min="14438" max="14438" width="17.75" style="58" customWidth="1"/>
    <col min="14439" max="14440" width="9" style="58" customWidth="1"/>
    <col min="14441" max="14441" width="16.25" style="58" customWidth="1"/>
    <col min="14442" max="14442" width="24" style="58" customWidth="1"/>
    <col min="14443" max="14443" width="9" style="58"/>
    <col min="14444" max="14444" width="11.75" style="58" customWidth="1"/>
    <col min="14445" max="14445" width="8.875" style="58" customWidth="1"/>
    <col min="14446" max="14446" width="17.375" style="58" customWidth="1"/>
    <col min="14447" max="14447" width="13.25" style="58" customWidth="1"/>
    <col min="14448" max="14448" width="25.75" style="58" customWidth="1"/>
    <col min="14449" max="14449" width="11.125" style="58" customWidth="1"/>
    <col min="14450" max="14450" width="10.75" style="58" customWidth="1"/>
    <col min="14451" max="14451" width="9" style="58" customWidth="1"/>
    <col min="14452" max="14452" width="9.75" style="58" customWidth="1"/>
    <col min="14453" max="14453" width="7.5" style="58" customWidth="1"/>
    <col min="14454" max="14454" width="13.25" style="58" customWidth="1"/>
    <col min="14455" max="14455" width="11.75" style="58" customWidth="1"/>
    <col min="14456" max="14456" width="8.875" style="58" customWidth="1"/>
    <col min="14457" max="14457" width="9.625" style="58" customWidth="1"/>
    <col min="14458" max="14459" width="11.875" style="58" customWidth="1"/>
    <col min="14460" max="14460" width="11.5" style="58" customWidth="1"/>
    <col min="14461" max="14476" width="12.25" style="58" customWidth="1"/>
    <col min="14477" max="14477" width="13" style="58" customWidth="1"/>
    <col min="14478" max="14482" width="12.375" style="58" customWidth="1"/>
    <col min="14483" max="14483" width="13" style="58" customWidth="1"/>
    <col min="14484" max="14485" width="12.375" style="58" customWidth="1"/>
    <col min="14486" max="14486" width="13" style="58" customWidth="1"/>
    <col min="14487" max="14487" width="13.125" style="58" customWidth="1"/>
    <col min="14488" max="14488" width="13" style="58" customWidth="1"/>
    <col min="14489" max="14489" width="13.125" style="58" customWidth="1"/>
    <col min="14490" max="14491" width="12.375" style="58" customWidth="1"/>
    <col min="14492" max="14492" width="13" style="58" customWidth="1"/>
    <col min="14493" max="14493" width="12.375" style="58" customWidth="1"/>
    <col min="14494" max="14494" width="12.25" style="58" customWidth="1"/>
    <col min="14495" max="14495" width="12.125" style="58" customWidth="1"/>
    <col min="14496" max="14496" width="11.625" style="58" customWidth="1"/>
    <col min="14497" max="14497" width="12" style="58" customWidth="1"/>
    <col min="14498" max="14498" width="13" style="58" customWidth="1"/>
    <col min="14499" max="14499" width="11.625" style="58" customWidth="1"/>
    <col min="14500" max="14501" width="12" style="58" customWidth="1"/>
    <col min="14502" max="14504" width="11.625" style="58" customWidth="1"/>
    <col min="14505" max="14505" width="11.125" style="58" customWidth="1"/>
    <col min="14506" max="14506" width="12" style="58" customWidth="1"/>
    <col min="14507" max="14507" width="13" style="58" customWidth="1"/>
    <col min="14508" max="14508" width="13.625" style="58" customWidth="1"/>
    <col min="14509" max="14509" width="11.875" style="58" customWidth="1"/>
    <col min="14510" max="14511" width="11.625" style="58" customWidth="1"/>
    <col min="14512" max="14512" width="12" style="58" customWidth="1"/>
    <col min="14513" max="14513" width="12.75" style="58" customWidth="1"/>
    <col min="14514" max="14514" width="11.625" style="58" customWidth="1"/>
    <col min="14515" max="14515" width="12.125" style="58" customWidth="1"/>
    <col min="14516" max="14517" width="11.625" style="58" customWidth="1"/>
    <col min="14518" max="14518" width="12.5" style="58" customWidth="1"/>
    <col min="14519" max="14693" width="11.625" style="58" customWidth="1"/>
    <col min="14694" max="14694" width="17.75" style="58" customWidth="1"/>
    <col min="14695" max="14696" width="9" style="58" customWidth="1"/>
    <col min="14697" max="14697" width="16.25" style="58" customWidth="1"/>
    <col min="14698" max="14698" width="24" style="58" customWidth="1"/>
    <col min="14699" max="14699" width="9" style="58"/>
    <col min="14700" max="14700" width="11.75" style="58" customWidth="1"/>
    <col min="14701" max="14701" width="8.875" style="58" customWidth="1"/>
    <col min="14702" max="14702" width="17.375" style="58" customWidth="1"/>
    <col min="14703" max="14703" width="13.25" style="58" customWidth="1"/>
    <col min="14704" max="14704" width="25.75" style="58" customWidth="1"/>
    <col min="14705" max="14705" width="11.125" style="58" customWidth="1"/>
    <col min="14706" max="14706" width="10.75" style="58" customWidth="1"/>
    <col min="14707" max="14707" width="9" style="58" customWidth="1"/>
    <col min="14708" max="14708" width="9.75" style="58" customWidth="1"/>
    <col min="14709" max="14709" width="7.5" style="58" customWidth="1"/>
    <col min="14710" max="14710" width="13.25" style="58" customWidth="1"/>
    <col min="14711" max="14711" width="11.75" style="58" customWidth="1"/>
    <col min="14712" max="14712" width="8.875" style="58" customWidth="1"/>
    <col min="14713" max="14713" width="9.625" style="58" customWidth="1"/>
    <col min="14714" max="14715" width="11.875" style="58" customWidth="1"/>
    <col min="14716" max="14716" width="11.5" style="58" customWidth="1"/>
    <col min="14717" max="14732" width="12.25" style="58" customWidth="1"/>
    <col min="14733" max="14733" width="13" style="58" customWidth="1"/>
    <col min="14734" max="14738" width="12.375" style="58" customWidth="1"/>
    <col min="14739" max="14739" width="13" style="58" customWidth="1"/>
    <col min="14740" max="14741" width="12.375" style="58" customWidth="1"/>
    <col min="14742" max="14742" width="13" style="58" customWidth="1"/>
    <col min="14743" max="14743" width="13.125" style="58" customWidth="1"/>
    <col min="14744" max="14744" width="13" style="58" customWidth="1"/>
    <col min="14745" max="14745" width="13.125" style="58" customWidth="1"/>
    <col min="14746" max="14747" width="12.375" style="58" customWidth="1"/>
    <col min="14748" max="14748" width="13" style="58" customWidth="1"/>
    <col min="14749" max="14749" width="12.375" style="58" customWidth="1"/>
    <col min="14750" max="14750" width="12.25" style="58" customWidth="1"/>
    <col min="14751" max="14751" width="12.125" style="58" customWidth="1"/>
    <col min="14752" max="14752" width="11.625" style="58" customWidth="1"/>
    <col min="14753" max="14753" width="12" style="58" customWidth="1"/>
    <col min="14754" max="14754" width="13" style="58" customWidth="1"/>
    <col min="14755" max="14755" width="11.625" style="58" customWidth="1"/>
    <col min="14756" max="14757" width="12" style="58" customWidth="1"/>
    <col min="14758" max="14760" width="11.625" style="58" customWidth="1"/>
    <col min="14761" max="14761" width="11.125" style="58" customWidth="1"/>
    <col min="14762" max="14762" width="12" style="58" customWidth="1"/>
    <col min="14763" max="14763" width="13" style="58" customWidth="1"/>
    <col min="14764" max="14764" width="13.625" style="58" customWidth="1"/>
    <col min="14765" max="14765" width="11.875" style="58" customWidth="1"/>
    <col min="14766" max="14767" width="11.625" style="58" customWidth="1"/>
    <col min="14768" max="14768" width="12" style="58" customWidth="1"/>
    <col min="14769" max="14769" width="12.75" style="58" customWidth="1"/>
    <col min="14770" max="14770" width="11.625" style="58" customWidth="1"/>
    <col min="14771" max="14771" width="12.125" style="58" customWidth="1"/>
    <col min="14772" max="14773" width="11.625" style="58" customWidth="1"/>
    <col min="14774" max="14774" width="12.5" style="58" customWidth="1"/>
    <col min="14775" max="14949" width="11.625" style="58" customWidth="1"/>
    <col min="14950" max="14950" width="17.75" style="58" customWidth="1"/>
    <col min="14951" max="14952" width="9" style="58" customWidth="1"/>
    <col min="14953" max="14953" width="16.25" style="58" customWidth="1"/>
    <col min="14954" max="14954" width="24" style="58" customWidth="1"/>
    <col min="14955" max="14955" width="9" style="58"/>
    <col min="14956" max="14956" width="11.75" style="58" customWidth="1"/>
    <col min="14957" max="14957" width="8.875" style="58" customWidth="1"/>
    <col min="14958" max="14958" width="17.375" style="58" customWidth="1"/>
    <col min="14959" max="14959" width="13.25" style="58" customWidth="1"/>
    <col min="14960" max="14960" width="25.75" style="58" customWidth="1"/>
    <col min="14961" max="14961" width="11.125" style="58" customWidth="1"/>
    <col min="14962" max="14962" width="10.75" style="58" customWidth="1"/>
    <col min="14963" max="14963" width="9" style="58" customWidth="1"/>
    <col min="14964" max="14964" width="9.75" style="58" customWidth="1"/>
    <col min="14965" max="14965" width="7.5" style="58" customWidth="1"/>
    <col min="14966" max="14966" width="13.25" style="58" customWidth="1"/>
    <col min="14967" max="14967" width="11.75" style="58" customWidth="1"/>
    <col min="14968" max="14968" width="8.875" style="58" customWidth="1"/>
    <col min="14969" max="14969" width="9.625" style="58" customWidth="1"/>
    <col min="14970" max="14971" width="11.875" style="58" customWidth="1"/>
    <col min="14972" max="14972" width="11.5" style="58" customWidth="1"/>
    <col min="14973" max="14988" width="12.25" style="58" customWidth="1"/>
    <col min="14989" max="14989" width="13" style="58" customWidth="1"/>
    <col min="14990" max="14994" width="12.375" style="58" customWidth="1"/>
    <col min="14995" max="14995" width="13" style="58" customWidth="1"/>
    <col min="14996" max="14997" width="12.375" style="58" customWidth="1"/>
    <col min="14998" max="14998" width="13" style="58" customWidth="1"/>
    <col min="14999" max="14999" width="13.125" style="58" customWidth="1"/>
    <col min="15000" max="15000" width="13" style="58" customWidth="1"/>
    <col min="15001" max="15001" width="13.125" style="58" customWidth="1"/>
    <col min="15002" max="15003" width="12.375" style="58" customWidth="1"/>
    <col min="15004" max="15004" width="13" style="58" customWidth="1"/>
    <col min="15005" max="15005" width="12.375" style="58" customWidth="1"/>
    <col min="15006" max="15006" width="12.25" style="58" customWidth="1"/>
    <col min="15007" max="15007" width="12.125" style="58" customWidth="1"/>
    <col min="15008" max="15008" width="11.625" style="58" customWidth="1"/>
    <col min="15009" max="15009" width="12" style="58" customWidth="1"/>
    <col min="15010" max="15010" width="13" style="58" customWidth="1"/>
    <col min="15011" max="15011" width="11.625" style="58" customWidth="1"/>
    <col min="15012" max="15013" width="12" style="58" customWidth="1"/>
    <col min="15014" max="15016" width="11.625" style="58" customWidth="1"/>
    <col min="15017" max="15017" width="11.125" style="58" customWidth="1"/>
    <col min="15018" max="15018" width="12" style="58" customWidth="1"/>
    <col min="15019" max="15019" width="13" style="58" customWidth="1"/>
    <col min="15020" max="15020" width="13.625" style="58" customWidth="1"/>
    <col min="15021" max="15021" width="11.875" style="58" customWidth="1"/>
    <col min="15022" max="15023" width="11.625" style="58" customWidth="1"/>
    <col min="15024" max="15024" width="12" style="58" customWidth="1"/>
    <col min="15025" max="15025" width="12.75" style="58" customWidth="1"/>
    <col min="15026" max="15026" width="11.625" style="58" customWidth="1"/>
    <col min="15027" max="15027" width="12.125" style="58" customWidth="1"/>
    <col min="15028" max="15029" width="11.625" style="58" customWidth="1"/>
    <col min="15030" max="15030" width="12.5" style="58" customWidth="1"/>
    <col min="15031" max="15205" width="11.625" style="58" customWidth="1"/>
    <col min="15206" max="15206" width="17.75" style="58" customWidth="1"/>
    <col min="15207" max="15208" width="9" style="58" customWidth="1"/>
    <col min="15209" max="15209" width="16.25" style="58" customWidth="1"/>
    <col min="15210" max="15210" width="24" style="58" customWidth="1"/>
    <col min="15211" max="15211" width="9" style="58"/>
    <col min="15212" max="15212" width="11.75" style="58" customWidth="1"/>
    <col min="15213" max="15213" width="8.875" style="58" customWidth="1"/>
    <col min="15214" max="15214" width="17.375" style="58" customWidth="1"/>
    <col min="15215" max="15215" width="13.25" style="58" customWidth="1"/>
    <col min="15216" max="15216" width="25.75" style="58" customWidth="1"/>
    <col min="15217" max="15217" width="11.125" style="58" customWidth="1"/>
    <col min="15218" max="15218" width="10.75" style="58" customWidth="1"/>
    <col min="15219" max="15219" width="9" style="58" customWidth="1"/>
    <col min="15220" max="15220" width="9.75" style="58" customWidth="1"/>
    <col min="15221" max="15221" width="7.5" style="58" customWidth="1"/>
    <col min="15222" max="15222" width="13.25" style="58" customWidth="1"/>
    <col min="15223" max="15223" width="11.75" style="58" customWidth="1"/>
    <col min="15224" max="15224" width="8.875" style="58" customWidth="1"/>
    <col min="15225" max="15225" width="9.625" style="58" customWidth="1"/>
    <col min="15226" max="15227" width="11.875" style="58" customWidth="1"/>
    <col min="15228" max="15228" width="11.5" style="58" customWidth="1"/>
    <col min="15229" max="15244" width="12.25" style="58" customWidth="1"/>
    <col min="15245" max="15245" width="13" style="58" customWidth="1"/>
    <col min="15246" max="15250" width="12.375" style="58" customWidth="1"/>
    <col min="15251" max="15251" width="13" style="58" customWidth="1"/>
    <col min="15252" max="15253" width="12.375" style="58" customWidth="1"/>
    <col min="15254" max="15254" width="13" style="58" customWidth="1"/>
    <col min="15255" max="15255" width="13.125" style="58" customWidth="1"/>
    <col min="15256" max="15256" width="13" style="58" customWidth="1"/>
    <col min="15257" max="15257" width="13.125" style="58" customWidth="1"/>
    <col min="15258" max="15259" width="12.375" style="58" customWidth="1"/>
    <col min="15260" max="15260" width="13" style="58" customWidth="1"/>
    <col min="15261" max="15261" width="12.375" style="58" customWidth="1"/>
    <col min="15262" max="15262" width="12.25" style="58" customWidth="1"/>
    <col min="15263" max="15263" width="12.125" style="58" customWidth="1"/>
    <col min="15264" max="15264" width="11.625" style="58" customWidth="1"/>
    <col min="15265" max="15265" width="12" style="58" customWidth="1"/>
    <col min="15266" max="15266" width="13" style="58" customWidth="1"/>
    <col min="15267" max="15267" width="11.625" style="58" customWidth="1"/>
    <col min="15268" max="15269" width="12" style="58" customWidth="1"/>
    <col min="15270" max="15272" width="11.625" style="58" customWidth="1"/>
    <col min="15273" max="15273" width="11.125" style="58" customWidth="1"/>
    <col min="15274" max="15274" width="12" style="58" customWidth="1"/>
    <col min="15275" max="15275" width="13" style="58" customWidth="1"/>
    <col min="15276" max="15276" width="13.625" style="58" customWidth="1"/>
    <col min="15277" max="15277" width="11.875" style="58" customWidth="1"/>
    <col min="15278" max="15279" width="11.625" style="58" customWidth="1"/>
    <col min="15280" max="15280" width="12" style="58" customWidth="1"/>
    <col min="15281" max="15281" width="12.75" style="58" customWidth="1"/>
    <col min="15282" max="15282" width="11.625" style="58" customWidth="1"/>
    <col min="15283" max="15283" width="12.125" style="58" customWidth="1"/>
    <col min="15284" max="15285" width="11.625" style="58" customWidth="1"/>
    <col min="15286" max="15286" width="12.5" style="58" customWidth="1"/>
    <col min="15287" max="15461" width="11.625" style="58" customWidth="1"/>
    <col min="15462" max="15462" width="17.75" style="58" customWidth="1"/>
    <col min="15463" max="15464" width="9" style="58" customWidth="1"/>
    <col min="15465" max="15465" width="16.25" style="58" customWidth="1"/>
    <col min="15466" max="15466" width="24" style="58" customWidth="1"/>
    <col min="15467" max="15467" width="9" style="58"/>
    <col min="15468" max="15468" width="11.75" style="58" customWidth="1"/>
    <col min="15469" max="15469" width="8.875" style="58" customWidth="1"/>
    <col min="15470" max="15470" width="17.375" style="58" customWidth="1"/>
    <col min="15471" max="15471" width="13.25" style="58" customWidth="1"/>
    <col min="15472" max="15472" width="25.75" style="58" customWidth="1"/>
    <col min="15473" max="15473" width="11.125" style="58" customWidth="1"/>
    <col min="15474" max="15474" width="10.75" style="58" customWidth="1"/>
    <col min="15475" max="15475" width="9" style="58" customWidth="1"/>
    <col min="15476" max="15476" width="9.75" style="58" customWidth="1"/>
    <col min="15477" max="15477" width="7.5" style="58" customWidth="1"/>
    <col min="15478" max="15478" width="13.25" style="58" customWidth="1"/>
    <col min="15479" max="15479" width="11.75" style="58" customWidth="1"/>
    <col min="15480" max="15480" width="8.875" style="58" customWidth="1"/>
    <col min="15481" max="15481" width="9.625" style="58" customWidth="1"/>
    <col min="15482" max="15483" width="11.875" style="58" customWidth="1"/>
    <col min="15484" max="15484" width="11.5" style="58" customWidth="1"/>
    <col min="15485" max="15500" width="12.25" style="58" customWidth="1"/>
    <col min="15501" max="15501" width="13" style="58" customWidth="1"/>
    <col min="15502" max="15506" width="12.375" style="58" customWidth="1"/>
    <col min="15507" max="15507" width="13" style="58" customWidth="1"/>
    <col min="15508" max="15509" width="12.375" style="58" customWidth="1"/>
    <col min="15510" max="15510" width="13" style="58" customWidth="1"/>
    <col min="15511" max="15511" width="13.125" style="58" customWidth="1"/>
    <col min="15512" max="15512" width="13" style="58" customWidth="1"/>
    <col min="15513" max="15513" width="13.125" style="58" customWidth="1"/>
    <col min="15514" max="15515" width="12.375" style="58" customWidth="1"/>
    <col min="15516" max="15516" width="13" style="58" customWidth="1"/>
    <col min="15517" max="15517" width="12.375" style="58" customWidth="1"/>
    <col min="15518" max="15518" width="12.25" style="58" customWidth="1"/>
    <col min="15519" max="15519" width="12.125" style="58" customWidth="1"/>
    <col min="15520" max="15520" width="11.625" style="58" customWidth="1"/>
    <col min="15521" max="15521" width="12" style="58" customWidth="1"/>
    <col min="15522" max="15522" width="13" style="58" customWidth="1"/>
    <col min="15523" max="15523" width="11.625" style="58" customWidth="1"/>
    <col min="15524" max="15525" width="12" style="58" customWidth="1"/>
    <col min="15526" max="15528" width="11.625" style="58" customWidth="1"/>
    <col min="15529" max="15529" width="11.125" style="58" customWidth="1"/>
    <col min="15530" max="15530" width="12" style="58" customWidth="1"/>
    <col min="15531" max="15531" width="13" style="58" customWidth="1"/>
    <col min="15532" max="15532" width="13.625" style="58" customWidth="1"/>
    <col min="15533" max="15533" width="11.875" style="58" customWidth="1"/>
    <col min="15534" max="15535" width="11.625" style="58" customWidth="1"/>
    <col min="15536" max="15536" width="12" style="58" customWidth="1"/>
    <col min="15537" max="15537" width="12.75" style="58" customWidth="1"/>
    <col min="15538" max="15538" width="11.625" style="58" customWidth="1"/>
    <col min="15539" max="15539" width="12.125" style="58" customWidth="1"/>
    <col min="15540" max="15541" width="11.625" style="58" customWidth="1"/>
    <col min="15542" max="15542" width="12.5" style="58" customWidth="1"/>
    <col min="15543" max="15717" width="11.625" style="58" customWidth="1"/>
    <col min="15718" max="15718" width="17.75" style="58" customWidth="1"/>
    <col min="15719" max="15720" width="9" style="58" customWidth="1"/>
    <col min="15721" max="15721" width="16.25" style="58" customWidth="1"/>
    <col min="15722" max="15722" width="24" style="58" customWidth="1"/>
    <col min="15723" max="15723" width="9" style="58"/>
    <col min="15724" max="15724" width="11.75" style="58" customWidth="1"/>
    <col min="15725" max="15725" width="8.875" style="58" customWidth="1"/>
    <col min="15726" max="15726" width="17.375" style="58" customWidth="1"/>
    <col min="15727" max="15727" width="13.25" style="58" customWidth="1"/>
    <col min="15728" max="15728" width="25.75" style="58" customWidth="1"/>
    <col min="15729" max="15729" width="11.125" style="58" customWidth="1"/>
    <col min="15730" max="15730" width="10.75" style="58" customWidth="1"/>
    <col min="15731" max="15731" width="9" style="58" customWidth="1"/>
    <col min="15732" max="15732" width="9.75" style="58" customWidth="1"/>
    <col min="15733" max="15733" width="7.5" style="58" customWidth="1"/>
    <col min="15734" max="15734" width="13.25" style="58" customWidth="1"/>
    <col min="15735" max="15735" width="11.75" style="58" customWidth="1"/>
    <col min="15736" max="15736" width="8.875" style="58" customWidth="1"/>
    <col min="15737" max="15737" width="9.625" style="58" customWidth="1"/>
    <col min="15738" max="15739" width="11.875" style="58" customWidth="1"/>
    <col min="15740" max="15740" width="11.5" style="58" customWidth="1"/>
    <col min="15741" max="15756" width="12.25" style="58" customWidth="1"/>
    <col min="15757" max="15757" width="13" style="58" customWidth="1"/>
    <col min="15758" max="15762" width="12.375" style="58" customWidth="1"/>
    <col min="15763" max="15763" width="13" style="58" customWidth="1"/>
    <col min="15764" max="15765" width="12.375" style="58" customWidth="1"/>
    <col min="15766" max="15766" width="13" style="58" customWidth="1"/>
    <col min="15767" max="15767" width="13.125" style="58" customWidth="1"/>
    <col min="15768" max="15768" width="13" style="58" customWidth="1"/>
    <col min="15769" max="15769" width="13.125" style="58" customWidth="1"/>
    <col min="15770" max="15771" width="12.375" style="58" customWidth="1"/>
    <col min="15772" max="15772" width="13" style="58" customWidth="1"/>
    <col min="15773" max="15773" width="12.375" style="58" customWidth="1"/>
    <col min="15774" max="15774" width="12.25" style="58" customWidth="1"/>
    <col min="15775" max="15775" width="12.125" style="58" customWidth="1"/>
    <col min="15776" max="15776" width="11.625" style="58" customWidth="1"/>
    <col min="15777" max="15777" width="12" style="58" customWidth="1"/>
    <col min="15778" max="15778" width="13" style="58" customWidth="1"/>
    <col min="15779" max="15779" width="11.625" style="58" customWidth="1"/>
    <col min="15780" max="15781" width="12" style="58" customWidth="1"/>
    <col min="15782" max="15784" width="11.625" style="58" customWidth="1"/>
    <col min="15785" max="15785" width="11.125" style="58" customWidth="1"/>
    <col min="15786" max="15786" width="12" style="58" customWidth="1"/>
    <col min="15787" max="15787" width="13" style="58" customWidth="1"/>
    <col min="15788" max="15788" width="13.625" style="58" customWidth="1"/>
    <col min="15789" max="15789" width="11.875" style="58" customWidth="1"/>
    <col min="15790" max="15791" width="11.625" style="58" customWidth="1"/>
    <col min="15792" max="15792" width="12" style="58" customWidth="1"/>
    <col min="15793" max="15793" width="12.75" style="58" customWidth="1"/>
    <col min="15794" max="15794" width="11.625" style="58" customWidth="1"/>
    <col min="15795" max="15795" width="12.125" style="58" customWidth="1"/>
    <col min="15796" max="15797" width="11.625" style="58" customWidth="1"/>
    <col min="15798" max="15798" width="12.5" style="58" customWidth="1"/>
    <col min="15799" max="15973" width="11.625" style="58" customWidth="1"/>
    <col min="15974" max="15974" width="17.75" style="58" customWidth="1"/>
    <col min="15975" max="15976" width="9" style="58" customWidth="1"/>
    <col min="15977" max="15977" width="16.25" style="58" customWidth="1"/>
    <col min="15978" max="15978" width="24" style="58" customWidth="1"/>
    <col min="15979" max="15979" width="9" style="58"/>
    <col min="15980" max="15980" width="11.75" style="58" customWidth="1"/>
    <col min="15981" max="15981" width="8.875" style="58" customWidth="1"/>
    <col min="15982" max="15982" width="17.375" style="58" customWidth="1"/>
    <col min="15983" max="15983" width="13.25" style="58" customWidth="1"/>
    <col min="15984" max="15984" width="25.75" style="58" customWidth="1"/>
    <col min="15985" max="15985" width="11.125" style="58" customWidth="1"/>
    <col min="15986" max="15986" width="10.75" style="58" customWidth="1"/>
    <col min="15987" max="15987" width="9" style="58" customWidth="1"/>
    <col min="15988" max="15988" width="9.75" style="58" customWidth="1"/>
    <col min="15989" max="15989" width="7.5" style="58" customWidth="1"/>
    <col min="15990" max="15990" width="13.25" style="58" customWidth="1"/>
    <col min="15991" max="15991" width="11.75" style="58" customWidth="1"/>
    <col min="15992" max="15992" width="8.875" style="58" customWidth="1"/>
    <col min="15993" max="15993" width="9.625" style="58" customWidth="1"/>
    <col min="15994" max="15995" width="11.875" style="58" customWidth="1"/>
    <col min="15996" max="15996" width="11.5" style="58" customWidth="1"/>
    <col min="15997" max="16012" width="12.25" style="58" customWidth="1"/>
    <col min="16013" max="16013" width="13" style="58" customWidth="1"/>
    <col min="16014" max="16018" width="12.375" style="58" customWidth="1"/>
    <col min="16019" max="16019" width="13" style="58" customWidth="1"/>
    <col min="16020" max="16021" width="12.375" style="58" customWidth="1"/>
    <col min="16022" max="16022" width="13" style="58" customWidth="1"/>
    <col min="16023" max="16023" width="13.125" style="58" customWidth="1"/>
    <col min="16024" max="16024" width="13" style="58" customWidth="1"/>
    <col min="16025" max="16025" width="13.125" style="58" customWidth="1"/>
    <col min="16026" max="16027" width="12.375" style="58" customWidth="1"/>
    <col min="16028" max="16028" width="13" style="58" customWidth="1"/>
    <col min="16029" max="16029" width="12.375" style="58" customWidth="1"/>
    <col min="16030" max="16030" width="12.25" style="58" customWidth="1"/>
    <col min="16031" max="16031" width="12.125" style="58" customWidth="1"/>
    <col min="16032" max="16032" width="11.625" style="58" customWidth="1"/>
    <col min="16033" max="16033" width="12" style="58" customWidth="1"/>
    <col min="16034" max="16034" width="13" style="58" customWidth="1"/>
    <col min="16035" max="16035" width="11.625" style="58" customWidth="1"/>
    <col min="16036" max="16037" width="12" style="58" customWidth="1"/>
    <col min="16038" max="16040" width="11.625" style="58" customWidth="1"/>
    <col min="16041" max="16041" width="11.125" style="58" customWidth="1"/>
    <col min="16042" max="16042" width="12" style="58" customWidth="1"/>
    <col min="16043" max="16043" width="13" style="58" customWidth="1"/>
    <col min="16044" max="16044" width="13.625" style="58" customWidth="1"/>
    <col min="16045" max="16045" width="11.875" style="58" customWidth="1"/>
    <col min="16046" max="16047" width="11.625" style="58" customWidth="1"/>
    <col min="16048" max="16048" width="12" style="58" customWidth="1"/>
    <col min="16049" max="16049" width="12.75" style="58" customWidth="1"/>
    <col min="16050" max="16050" width="11.625" style="58" customWidth="1"/>
    <col min="16051" max="16051" width="12.125" style="58" customWidth="1"/>
    <col min="16052" max="16053" width="11.625" style="58" customWidth="1"/>
    <col min="16054" max="16054" width="12.5" style="58" customWidth="1"/>
    <col min="16055" max="16228" width="11.625" style="58" customWidth="1"/>
    <col min="16229" max="16384" width="17.75" style="58" customWidth="1"/>
  </cols>
  <sheetData>
    <row r="1" spans="1:268" s="202" customFormat="1" ht="12.75" customHeight="1">
      <c r="A1" s="464" t="s">
        <v>361</v>
      </c>
      <c r="B1" s="465" t="s">
        <v>0</v>
      </c>
      <c r="C1" s="466" t="s">
        <v>1</v>
      </c>
      <c r="D1" s="462" t="s">
        <v>2</v>
      </c>
      <c r="E1" s="467" t="s">
        <v>396</v>
      </c>
      <c r="F1" s="200" t="s">
        <v>1297</v>
      </c>
      <c r="G1" s="201" t="s">
        <v>4</v>
      </c>
      <c r="H1" s="468" t="s">
        <v>398</v>
      </c>
      <c r="I1" s="462" t="s">
        <v>5</v>
      </c>
      <c r="J1" s="463" t="s">
        <v>651</v>
      </c>
      <c r="K1" s="460" t="s">
        <v>362</v>
      </c>
      <c r="L1" s="460" t="s">
        <v>363</v>
      </c>
      <c r="M1" s="460" t="s">
        <v>364</v>
      </c>
      <c r="N1" s="460" t="s">
        <v>365</v>
      </c>
      <c r="O1" s="460" t="s">
        <v>366</v>
      </c>
      <c r="P1" s="460" t="s">
        <v>367</v>
      </c>
      <c r="Q1" s="460" t="s">
        <v>368</v>
      </c>
      <c r="R1" s="460" t="s">
        <v>369</v>
      </c>
      <c r="S1" s="460" t="s">
        <v>370</v>
      </c>
      <c r="T1" s="460" t="s">
        <v>371</v>
      </c>
      <c r="U1" s="460" t="s">
        <v>372</v>
      </c>
      <c r="V1" s="460" t="s">
        <v>373</v>
      </c>
      <c r="W1" s="460" t="s">
        <v>374</v>
      </c>
      <c r="X1" s="460" t="s">
        <v>375</v>
      </c>
      <c r="Y1" s="460" t="s">
        <v>652</v>
      </c>
      <c r="Z1" s="460" t="s">
        <v>653</v>
      </c>
      <c r="AA1" s="460" t="s">
        <v>654</v>
      </c>
      <c r="AB1" s="460" t="s">
        <v>655</v>
      </c>
      <c r="AC1" s="460" t="s">
        <v>376</v>
      </c>
      <c r="AD1" s="460" t="s">
        <v>377</v>
      </c>
      <c r="AE1" s="460" t="s">
        <v>378</v>
      </c>
      <c r="AF1" s="460" t="s">
        <v>379</v>
      </c>
      <c r="AG1" s="460" t="s">
        <v>656</v>
      </c>
      <c r="AH1" s="460" t="s">
        <v>657</v>
      </c>
      <c r="AI1" s="460" t="s">
        <v>658</v>
      </c>
      <c r="AJ1" s="460" t="s">
        <v>659</v>
      </c>
      <c r="AK1" s="460" t="s">
        <v>660</v>
      </c>
      <c r="AL1" s="460" t="s">
        <v>661</v>
      </c>
      <c r="AM1" s="460" t="s">
        <v>662</v>
      </c>
      <c r="AN1" s="460" t="s">
        <v>663</v>
      </c>
      <c r="AO1" s="460" t="s">
        <v>664</v>
      </c>
      <c r="AP1" s="460" t="s">
        <v>665</v>
      </c>
      <c r="AQ1" s="460" t="s">
        <v>666</v>
      </c>
      <c r="AR1" s="460" t="s">
        <v>667</v>
      </c>
      <c r="AS1" s="460" t="s">
        <v>668</v>
      </c>
      <c r="AT1" s="460" t="s">
        <v>669</v>
      </c>
      <c r="AU1" s="460" t="s">
        <v>670</v>
      </c>
      <c r="AV1" s="460" t="s">
        <v>671</v>
      </c>
      <c r="AW1" s="460" t="s">
        <v>672</v>
      </c>
      <c r="AX1" s="460" t="s">
        <v>673</v>
      </c>
      <c r="AY1" s="460" t="s">
        <v>674</v>
      </c>
      <c r="AZ1" s="460" t="s">
        <v>675</v>
      </c>
      <c r="BA1" s="460" t="s">
        <v>676</v>
      </c>
      <c r="BB1" s="460" t="s">
        <v>677</v>
      </c>
      <c r="BC1" s="460" t="s">
        <v>678</v>
      </c>
      <c r="BD1" s="460" t="s">
        <v>679</v>
      </c>
      <c r="BE1" s="460" t="s">
        <v>680</v>
      </c>
      <c r="BF1" s="460" t="s">
        <v>681</v>
      </c>
      <c r="BG1" s="460" t="s">
        <v>682</v>
      </c>
      <c r="BH1" s="460" t="s">
        <v>683</v>
      </c>
      <c r="BI1" s="460" t="s">
        <v>380</v>
      </c>
      <c r="BJ1" s="460" t="s">
        <v>381</v>
      </c>
      <c r="BK1" s="460" t="s">
        <v>382</v>
      </c>
      <c r="BL1" s="460" t="s">
        <v>383</v>
      </c>
      <c r="BM1" s="460" t="s">
        <v>384</v>
      </c>
      <c r="BN1" s="460" t="s">
        <v>385</v>
      </c>
      <c r="BO1" s="460" t="s">
        <v>386</v>
      </c>
      <c r="BP1" s="460" t="s">
        <v>387</v>
      </c>
      <c r="BQ1" s="460" t="s">
        <v>684</v>
      </c>
      <c r="BR1" s="460" t="s">
        <v>685</v>
      </c>
      <c r="BS1" s="460" t="s">
        <v>686</v>
      </c>
      <c r="BT1" s="460" t="s">
        <v>687</v>
      </c>
      <c r="BU1" s="460" t="s">
        <v>388</v>
      </c>
      <c r="BV1" s="460" t="s">
        <v>389</v>
      </c>
      <c r="BW1" s="460" t="s">
        <v>390</v>
      </c>
      <c r="BX1" s="460" t="s">
        <v>391</v>
      </c>
      <c r="BY1" s="460" t="s">
        <v>392</v>
      </c>
      <c r="BZ1" s="460" t="s">
        <v>393</v>
      </c>
      <c r="CA1" s="460" t="s">
        <v>394</v>
      </c>
      <c r="CB1" s="460" t="s">
        <v>395</v>
      </c>
      <c r="CC1" s="460" t="s">
        <v>688</v>
      </c>
      <c r="CD1" s="460" t="s">
        <v>689</v>
      </c>
      <c r="CE1" s="460" t="s">
        <v>690</v>
      </c>
      <c r="CF1" s="460" t="s">
        <v>691</v>
      </c>
      <c r="CG1" s="460" t="s">
        <v>692</v>
      </c>
      <c r="CH1" s="460" t="s">
        <v>693</v>
      </c>
      <c r="CI1" s="460" t="s">
        <v>694</v>
      </c>
      <c r="CJ1" s="460" t="s">
        <v>695</v>
      </c>
      <c r="CK1" s="460" t="s">
        <v>696</v>
      </c>
      <c r="CL1" s="460" t="s">
        <v>697</v>
      </c>
      <c r="CM1" s="460" t="s">
        <v>698</v>
      </c>
      <c r="CN1" s="460" t="s">
        <v>699</v>
      </c>
      <c r="CO1" s="460" t="s">
        <v>700</v>
      </c>
      <c r="CP1" s="460" t="s">
        <v>1353</v>
      </c>
      <c r="CQ1" s="460" t="s">
        <v>1354</v>
      </c>
      <c r="CR1" s="460" t="s">
        <v>1355</v>
      </c>
      <c r="CS1" s="444" t="s">
        <v>1356</v>
      </c>
      <c r="CT1" s="444" t="s">
        <v>1357</v>
      </c>
      <c r="CU1" s="444" t="s">
        <v>1358</v>
      </c>
      <c r="CV1" s="444" t="s">
        <v>1359</v>
      </c>
      <c r="CW1" s="444" t="s">
        <v>1360</v>
      </c>
      <c r="CX1" s="444" t="s">
        <v>1361</v>
      </c>
      <c r="CY1" s="444" t="s">
        <v>1362</v>
      </c>
      <c r="CZ1" s="444" t="s">
        <v>1363</v>
      </c>
      <c r="DA1" s="444" t="s">
        <v>1364</v>
      </c>
      <c r="DB1" s="444" t="s">
        <v>1365</v>
      </c>
      <c r="DC1" s="444" t="s">
        <v>1366</v>
      </c>
      <c r="DD1" s="444" t="s">
        <v>1367</v>
      </c>
      <c r="DE1" s="444" t="s">
        <v>1368</v>
      </c>
      <c r="DF1" s="444" t="s">
        <v>1369</v>
      </c>
      <c r="DG1" s="444" t="s">
        <v>1370</v>
      </c>
      <c r="DH1" s="444" t="s">
        <v>1371</v>
      </c>
      <c r="DI1" s="444" t="s">
        <v>1372</v>
      </c>
      <c r="DJ1" s="444" t="s">
        <v>1373</v>
      </c>
      <c r="DK1" s="444" t="s">
        <v>1374</v>
      </c>
      <c r="DL1" s="444" t="s">
        <v>1375</v>
      </c>
      <c r="DM1" s="444" t="s">
        <v>1376</v>
      </c>
      <c r="DN1" s="444" t="s">
        <v>1377</v>
      </c>
      <c r="DO1" s="444" t="s">
        <v>1378</v>
      </c>
      <c r="DP1" s="444" t="s">
        <v>1379</v>
      </c>
      <c r="DQ1" s="444" t="s">
        <v>1380</v>
      </c>
      <c r="DR1" s="444" t="s">
        <v>1381</v>
      </c>
      <c r="DS1" s="444" t="s">
        <v>1382</v>
      </c>
      <c r="DT1" s="444" t="s">
        <v>1383</v>
      </c>
      <c r="DU1" s="444" t="s">
        <v>1384</v>
      </c>
      <c r="DV1" s="444" t="s">
        <v>1385</v>
      </c>
      <c r="DW1" s="444" t="s">
        <v>1386</v>
      </c>
      <c r="DX1" s="444" t="s">
        <v>1387</v>
      </c>
      <c r="DY1" s="444" t="s">
        <v>1388</v>
      </c>
      <c r="DZ1" s="444" t="s">
        <v>1389</v>
      </c>
      <c r="EA1" s="444" t="s">
        <v>1390</v>
      </c>
      <c r="EB1" s="444" t="s">
        <v>1391</v>
      </c>
      <c r="EC1" s="444" t="s">
        <v>1392</v>
      </c>
      <c r="ED1" s="444" t="s">
        <v>1393</v>
      </c>
      <c r="EE1" s="444" t="s">
        <v>1394</v>
      </c>
      <c r="EF1" s="444" t="s">
        <v>1395</v>
      </c>
      <c r="EG1" s="444" t="s">
        <v>1396</v>
      </c>
      <c r="EH1" s="444" t="s">
        <v>1397</v>
      </c>
      <c r="EI1" s="444" t="s">
        <v>1398</v>
      </c>
      <c r="EJ1" s="444" t="s">
        <v>1399</v>
      </c>
      <c r="EK1" s="444" t="s">
        <v>1400</v>
      </c>
      <c r="EL1" s="444" t="s">
        <v>1401</v>
      </c>
      <c r="EM1" s="444" t="s">
        <v>1402</v>
      </c>
      <c r="EN1" s="444" t="s">
        <v>1403</v>
      </c>
      <c r="EO1" s="444" t="s">
        <v>1404</v>
      </c>
      <c r="EP1" s="444" t="s">
        <v>1405</v>
      </c>
      <c r="EQ1" s="444" t="s">
        <v>1412</v>
      </c>
      <c r="ER1" s="444" t="s">
        <v>1413</v>
      </c>
      <c r="ES1" s="444" t="s">
        <v>1414</v>
      </c>
      <c r="ET1" s="461" t="s">
        <v>6</v>
      </c>
    </row>
    <row r="2" spans="1:268" s="40" customFormat="1" ht="11.25">
      <c r="A2" s="464"/>
      <c r="B2" s="465"/>
      <c r="C2" s="466"/>
      <c r="D2" s="462"/>
      <c r="E2" s="467"/>
      <c r="F2" s="41"/>
      <c r="G2" s="55" t="s">
        <v>1296</v>
      </c>
      <c r="H2" s="468"/>
      <c r="I2" s="462"/>
      <c r="J2" s="463"/>
      <c r="K2" s="460"/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  <c r="AP2" s="460"/>
      <c r="AQ2" s="460"/>
      <c r="AR2" s="460"/>
      <c r="AS2" s="460"/>
      <c r="AT2" s="460"/>
      <c r="AU2" s="460"/>
      <c r="AV2" s="460"/>
      <c r="AW2" s="460"/>
      <c r="AX2" s="460"/>
      <c r="AY2" s="460"/>
      <c r="AZ2" s="460"/>
      <c r="BA2" s="460"/>
      <c r="BB2" s="460"/>
      <c r="BC2" s="460"/>
      <c r="BD2" s="460"/>
      <c r="BE2" s="460"/>
      <c r="BF2" s="460"/>
      <c r="BG2" s="460"/>
      <c r="BH2" s="460"/>
      <c r="BI2" s="460"/>
      <c r="BJ2" s="460"/>
      <c r="BK2" s="460"/>
      <c r="BL2" s="460"/>
      <c r="BM2" s="460"/>
      <c r="BN2" s="460"/>
      <c r="BO2" s="460"/>
      <c r="BP2" s="460"/>
      <c r="BQ2" s="460"/>
      <c r="BR2" s="460"/>
      <c r="BS2" s="460"/>
      <c r="BT2" s="460"/>
      <c r="BU2" s="460"/>
      <c r="BV2" s="460"/>
      <c r="BW2" s="460"/>
      <c r="BX2" s="460"/>
      <c r="BY2" s="460"/>
      <c r="BZ2" s="460"/>
      <c r="CA2" s="460"/>
      <c r="CB2" s="460"/>
      <c r="CC2" s="460"/>
      <c r="CD2" s="460"/>
      <c r="CE2" s="460"/>
      <c r="CF2" s="460"/>
      <c r="CG2" s="460"/>
      <c r="CH2" s="460"/>
      <c r="CI2" s="460"/>
      <c r="CJ2" s="460"/>
      <c r="CK2" s="460"/>
      <c r="CL2" s="460"/>
      <c r="CM2" s="460"/>
      <c r="CN2" s="460"/>
      <c r="CO2" s="460"/>
      <c r="CP2" s="460"/>
      <c r="CQ2" s="460"/>
      <c r="CR2" s="460"/>
      <c r="CS2" s="445"/>
      <c r="CT2" s="445"/>
      <c r="CU2" s="445"/>
      <c r="CV2" s="445"/>
      <c r="CW2" s="445"/>
      <c r="CX2" s="445"/>
      <c r="CY2" s="445"/>
      <c r="CZ2" s="445"/>
      <c r="DA2" s="445"/>
      <c r="DB2" s="445"/>
      <c r="DC2" s="445"/>
      <c r="DD2" s="445"/>
      <c r="DE2" s="445"/>
      <c r="DF2" s="445"/>
      <c r="DG2" s="445"/>
      <c r="DH2" s="445"/>
      <c r="DI2" s="445"/>
      <c r="DJ2" s="445"/>
      <c r="DK2" s="445"/>
      <c r="DL2" s="445"/>
      <c r="DM2" s="445"/>
      <c r="DN2" s="445"/>
      <c r="DO2" s="445"/>
      <c r="DP2" s="445"/>
      <c r="DQ2" s="445"/>
      <c r="DR2" s="445"/>
      <c r="DS2" s="445"/>
      <c r="DT2" s="445"/>
      <c r="DU2" s="445"/>
      <c r="DV2" s="445"/>
      <c r="DW2" s="445"/>
      <c r="DX2" s="445"/>
      <c r="DY2" s="445"/>
      <c r="DZ2" s="445"/>
      <c r="EA2" s="445"/>
      <c r="EB2" s="445"/>
      <c r="EC2" s="445"/>
      <c r="ED2" s="445"/>
      <c r="EE2" s="445"/>
      <c r="EF2" s="445"/>
      <c r="EG2" s="445"/>
      <c r="EH2" s="445"/>
      <c r="EI2" s="445"/>
      <c r="EJ2" s="445"/>
      <c r="EK2" s="445"/>
      <c r="EL2" s="445"/>
      <c r="EM2" s="445"/>
      <c r="EN2" s="445"/>
      <c r="EO2" s="445"/>
      <c r="EP2" s="445"/>
      <c r="EQ2" s="445"/>
      <c r="ER2" s="445"/>
      <c r="ES2" s="445"/>
      <c r="ET2" s="461"/>
    </row>
    <row r="3" spans="1:268" s="40" customFormat="1" ht="12">
      <c r="A3" s="448">
        <v>1</v>
      </c>
      <c r="B3" s="449" t="s">
        <v>339</v>
      </c>
      <c r="C3" s="450" t="s">
        <v>340</v>
      </c>
      <c r="D3" s="451" t="s">
        <v>547</v>
      </c>
      <c r="E3" s="452" t="s">
        <v>548</v>
      </c>
      <c r="F3" s="446">
        <v>9</v>
      </c>
      <c r="G3" s="446">
        <v>5556</v>
      </c>
      <c r="H3" s="447">
        <f>50000*12</f>
        <v>600000</v>
      </c>
      <c r="I3" s="41">
        <f>318800+25200+6000</f>
        <v>350000</v>
      </c>
      <c r="J3" s="42">
        <f>50000*3</f>
        <v>150000</v>
      </c>
      <c r="K3" s="43">
        <f>J3</f>
        <v>150000</v>
      </c>
      <c r="L3" s="44">
        <f>K3</f>
        <v>150000</v>
      </c>
      <c r="M3" s="44">
        <f>L3</f>
        <v>150000</v>
      </c>
      <c r="N3" s="44">
        <f>ROUND(M3*(1+取值表!$D$4)*取值表!$H$4,0)</f>
        <v>141261</v>
      </c>
      <c r="O3" s="44">
        <f>N3</f>
        <v>141261</v>
      </c>
      <c r="P3" s="44">
        <f>O3</f>
        <v>141261</v>
      </c>
      <c r="Q3" s="44">
        <f>P3</f>
        <v>141261</v>
      </c>
      <c r="R3" s="44">
        <f>ROUND(Q3*(1+取值表!$D$4)*取值表!$H$4,0)</f>
        <v>133031</v>
      </c>
      <c r="S3" s="44">
        <f t="shared" ref="S3:U3" si="0">R3</f>
        <v>133031</v>
      </c>
      <c r="T3" s="44">
        <f t="shared" si="0"/>
        <v>133031</v>
      </c>
      <c r="U3" s="44">
        <f t="shared" si="0"/>
        <v>133031</v>
      </c>
      <c r="V3" s="44">
        <f>ROUND(U3*(1+取值表!$D$4)*取值表!$H$4,0)</f>
        <v>125281</v>
      </c>
      <c r="W3" s="44">
        <f t="shared" ref="W3:Y3" si="1">V3</f>
        <v>125281</v>
      </c>
      <c r="X3" s="44">
        <f t="shared" si="1"/>
        <v>125281</v>
      </c>
      <c r="Y3" s="44">
        <f t="shared" si="1"/>
        <v>125281</v>
      </c>
      <c r="Z3" s="44">
        <f>ROUND(Y3*(1+取值表!$D$4)*取值表!$H$4,0)</f>
        <v>117982</v>
      </c>
      <c r="AA3" s="44">
        <f t="shared" ref="AA3:AC3" si="2">Z3</f>
        <v>117982</v>
      </c>
      <c r="AB3" s="44">
        <f t="shared" si="2"/>
        <v>117982</v>
      </c>
      <c r="AC3" s="44">
        <f t="shared" si="2"/>
        <v>117982</v>
      </c>
      <c r="AD3" s="44">
        <f>ROUND(AC3*(1+取值表!$D$4)*取值表!$H$4,0)</f>
        <v>111108</v>
      </c>
      <c r="AE3" s="44">
        <f t="shared" ref="AE3:AG3" si="3">AD3</f>
        <v>111108</v>
      </c>
      <c r="AF3" s="44">
        <f t="shared" si="3"/>
        <v>111108</v>
      </c>
      <c r="AG3" s="44">
        <f t="shared" si="3"/>
        <v>111108</v>
      </c>
      <c r="AH3" s="44">
        <f>ROUND(AG3*(1+取值表!$D$4)*取值表!$H$4,0)</f>
        <v>104635</v>
      </c>
      <c r="AI3" s="44">
        <f t="shared" ref="AI3:AK3" si="4">AH3</f>
        <v>104635</v>
      </c>
      <c r="AJ3" s="44">
        <f t="shared" si="4"/>
        <v>104635</v>
      </c>
      <c r="AK3" s="44">
        <f t="shared" si="4"/>
        <v>104635</v>
      </c>
      <c r="AL3" s="44">
        <f>ROUND(AK3*(1+取值表!$D$4)*取值表!$H$4,0)</f>
        <v>98539</v>
      </c>
      <c r="AM3" s="44">
        <f t="shared" ref="AM3:AO3" si="5">AL3</f>
        <v>98539</v>
      </c>
      <c r="AN3" s="44">
        <f t="shared" si="5"/>
        <v>98539</v>
      </c>
      <c r="AO3" s="44">
        <f t="shared" si="5"/>
        <v>98539</v>
      </c>
      <c r="AP3" s="44">
        <f>ROUND(AO3*(1+取值表!$D$4)*取值表!$H$4,0)</f>
        <v>92798</v>
      </c>
      <c r="AQ3" s="44">
        <f t="shared" ref="AQ3:AS3" si="6">AP3</f>
        <v>92798</v>
      </c>
      <c r="AR3" s="44">
        <f t="shared" si="6"/>
        <v>92798</v>
      </c>
      <c r="AS3" s="44">
        <f t="shared" si="6"/>
        <v>92798</v>
      </c>
      <c r="AT3" s="44">
        <f>ROUND(AS3*(1+取值表!$D$4)*取值表!$H$4,0)</f>
        <v>87392</v>
      </c>
      <c r="AU3" s="44">
        <f t="shared" ref="AU3:AW3" si="7">AT3</f>
        <v>87392</v>
      </c>
      <c r="AV3" s="44">
        <f t="shared" si="7"/>
        <v>87392</v>
      </c>
      <c r="AW3" s="44">
        <f t="shared" si="7"/>
        <v>87392</v>
      </c>
      <c r="AX3" s="44">
        <f>ROUND(AW3*(1+取值表!$D$4)*取值表!$H$4,0)</f>
        <v>82301</v>
      </c>
      <c r="AY3" s="44">
        <f t="shared" ref="AY3:BA3" si="8">AX3</f>
        <v>82301</v>
      </c>
      <c r="AZ3" s="44">
        <f t="shared" si="8"/>
        <v>82301</v>
      </c>
      <c r="BA3" s="44">
        <f t="shared" si="8"/>
        <v>82301</v>
      </c>
      <c r="BB3" s="44">
        <f>ROUND(BA3*(1+取值表!$D$4)*取值表!$H$4,0)</f>
        <v>77506</v>
      </c>
      <c r="BC3" s="44">
        <f t="shared" ref="BC3:BE3" si="9">BB3</f>
        <v>77506</v>
      </c>
      <c r="BD3" s="44">
        <f t="shared" si="9"/>
        <v>77506</v>
      </c>
      <c r="BE3" s="44">
        <f t="shared" si="9"/>
        <v>77506</v>
      </c>
      <c r="BF3" s="44">
        <f>ROUND(BE3*(1+取值表!$D$4)*取值表!$H$4,0)</f>
        <v>72991</v>
      </c>
      <c r="BG3" s="44">
        <f t="shared" ref="BG3:BI3" si="10">BF3</f>
        <v>72991</v>
      </c>
      <c r="BH3" s="44">
        <f t="shared" si="10"/>
        <v>72991</v>
      </c>
      <c r="BI3" s="44">
        <f t="shared" si="10"/>
        <v>72991</v>
      </c>
      <c r="BJ3" s="44">
        <f>ROUND(BI3*(1+取值表!$D$4)*取值表!$H$4,0)</f>
        <v>68739</v>
      </c>
      <c r="BK3" s="44">
        <f t="shared" ref="BK3:BM3" si="11">BJ3</f>
        <v>68739</v>
      </c>
      <c r="BL3" s="44">
        <f t="shared" si="11"/>
        <v>68739</v>
      </c>
      <c r="BM3" s="44">
        <f t="shared" si="11"/>
        <v>68739</v>
      </c>
      <c r="BN3" s="44">
        <f>ROUND(BM3*(1+取值表!$D$4)*取值表!$H$4,0)</f>
        <v>64734</v>
      </c>
      <c r="BO3" s="44">
        <f t="shared" ref="BO3:BQ3" si="12">BN3</f>
        <v>64734</v>
      </c>
      <c r="BP3" s="44">
        <f t="shared" si="12"/>
        <v>64734</v>
      </c>
      <c r="BQ3" s="44">
        <f t="shared" si="12"/>
        <v>64734</v>
      </c>
      <c r="BR3" s="44">
        <f>ROUND(BQ3*(1+取值表!$D$4)*取值表!$H$4,0)</f>
        <v>60963</v>
      </c>
      <c r="BS3" s="44">
        <f t="shared" ref="BS3:BU3" si="13">BR3</f>
        <v>60963</v>
      </c>
      <c r="BT3" s="44">
        <f t="shared" si="13"/>
        <v>60963</v>
      </c>
      <c r="BU3" s="44">
        <f t="shared" si="13"/>
        <v>60963</v>
      </c>
      <c r="BV3" s="44">
        <f>ROUND(BU3*(1+取值表!$D$4)*取值表!$H$4,0)</f>
        <v>57411</v>
      </c>
      <c r="BW3" s="44">
        <f t="shared" ref="BW3:BY3" si="14">BV3</f>
        <v>57411</v>
      </c>
      <c r="BX3" s="44">
        <f t="shared" si="14"/>
        <v>57411</v>
      </c>
      <c r="BY3" s="44">
        <f t="shared" si="14"/>
        <v>57411</v>
      </c>
      <c r="BZ3" s="44">
        <f>ROUND(BY3*(1+取值表!$D$4)*取值表!$H$4,0)</f>
        <v>54066</v>
      </c>
      <c r="CA3" s="44">
        <f t="shared" ref="CA3:CC3" si="15">BZ3</f>
        <v>54066</v>
      </c>
      <c r="CB3" s="44">
        <f t="shared" si="15"/>
        <v>54066</v>
      </c>
      <c r="CC3" s="44">
        <f t="shared" si="15"/>
        <v>54066</v>
      </c>
      <c r="CD3" s="44">
        <f>ROUND(CC3*(1+取值表!$D$4)*取值表!$H$4,0)</f>
        <v>50916</v>
      </c>
      <c r="CE3" s="44">
        <f t="shared" ref="CE3:CG3" si="16">CD3</f>
        <v>50916</v>
      </c>
      <c r="CF3" s="44">
        <f t="shared" si="16"/>
        <v>50916</v>
      </c>
      <c r="CG3" s="44">
        <f t="shared" si="16"/>
        <v>50916</v>
      </c>
      <c r="CH3" s="44">
        <f>ROUND(CG3*(1+取值表!$D$4)*取值表!$H$4,0)</f>
        <v>47950</v>
      </c>
      <c r="CI3" s="44">
        <f t="shared" ref="CI3:CK3" si="17">CH3</f>
        <v>47950</v>
      </c>
      <c r="CJ3" s="44">
        <f t="shared" si="17"/>
        <v>47950</v>
      </c>
      <c r="CK3" s="44">
        <f t="shared" si="17"/>
        <v>47950</v>
      </c>
      <c r="CL3" s="44">
        <f>ROUND(CK3*(1+取值表!$D$4)*取值表!$H$4,0)</f>
        <v>45156</v>
      </c>
      <c r="CM3" s="44">
        <f t="shared" ref="CM3:CN3" si="18">CL3</f>
        <v>45156</v>
      </c>
      <c r="CN3" s="44">
        <f t="shared" si="18"/>
        <v>45156</v>
      </c>
      <c r="CO3" s="44">
        <f>CN3</f>
        <v>45156</v>
      </c>
      <c r="CP3" s="44">
        <f>ROUND(CO3*(1+取值表!$D$4)*取值表!$H$4,0)</f>
        <v>42525</v>
      </c>
      <c r="CQ3" s="44">
        <f t="shared" ref="CQ3" si="19">CP3</f>
        <v>42525</v>
      </c>
      <c r="CR3" s="44">
        <f t="shared" ref="CR3:CS3" si="20">CQ3</f>
        <v>42525</v>
      </c>
      <c r="CS3" s="44">
        <f t="shared" si="20"/>
        <v>42525</v>
      </c>
      <c r="CT3" s="44">
        <f>ROUND(CS3*(1+取值表!$D$4)*取值表!$H$4,0)</f>
        <v>40048</v>
      </c>
      <c r="CU3" s="44">
        <f t="shared" ref="CU3" si="21">CT3</f>
        <v>40048</v>
      </c>
      <c r="CV3" s="44">
        <f t="shared" ref="CV3:CW3" si="22">CU3</f>
        <v>40048</v>
      </c>
      <c r="CW3" s="44">
        <f t="shared" si="22"/>
        <v>40048</v>
      </c>
      <c r="CX3" s="44">
        <f>ROUND(CW3*(1+取值表!$D$4)*取值表!$H$4,0)</f>
        <v>37715</v>
      </c>
      <c r="CY3" s="44">
        <f t="shared" ref="CY3" si="23">CX3</f>
        <v>37715</v>
      </c>
      <c r="CZ3" s="44">
        <f t="shared" ref="CZ3:DA3" si="24">CY3</f>
        <v>37715</v>
      </c>
      <c r="DA3" s="44">
        <f t="shared" si="24"/>
        <v>37715</v>
      </c>
      <c r="DB3" s="44">
        <f>ROUND(DA3*(1+取值表!$D$4)*取值表!$H$4,0)</f>
        <v>35518</v>
      </c>
      <c r="DC3" s="44">
        <f t="shared" ref="DC3" si="25">DB3</f>
        <v>35518</v>
      </c>
      <c r="DD3" s="44">
        <f t="shared" ref="DD3:DE3" si="26">DC3</f>
        <v>35518</v>
      </c>
      <c r="DE3" s="44">
        <f t="shared" si="26"/>
        <v>35518</v>
      </c>
      <c r="DF3" s="44">
        <f>ROUND(DE3*(1+取值表!$D$4)*取值表!$H$4,0)</f>
        <v>33449</v>
      </c>
      <c r="DG3" s="44">
        <f t="shared" ref="DG3" si="27">DF3</f>
        <v>33449</v>
      </c>
      <c r="DH3" s="44">
        <f t="shared" ref="DH3:DI3" si="28">DG3</f>
        <v>33449</v>
      </c>
      <c r="DI3" s="44">
        <f t="shared" si="28"/>
        <v>33449</v>
      </c>
      <c r="DJ3" s="44">
        <f>ROUND(DI3*(1+取值表!$D$4)*取值表!$H$4,0)</f>
        <v>31500</v>
      </c>
      <c r="DK3" s="44">
        <f t="shared" ref="DK3" si="29">DJ3</f>
        <v>31500</v>
      </c>
      <c r="DL3" s="44">
        <f t="shared" ref="DL3:DM3" si="30">DK3</f>
        <v>31500</v>
      </c>
      <c r="DM3" s="44">
        <f t="shared" si="30"/>
        <v>31500</v>
      </c>
      <c r="DN3" s="44">
        <f>ROUND(DM3*(1+取值表!$D$4)*取值表!$H$4,0)</f>
        <v>29665</v>
      </c>
      <c r="DO3" s="44">
        <f t="shared" ref="DO3" si="31">DN3</f>
        <v>29665</v>
      </c>
      <c r="DP3" s="44">
        <f t="shared" ref="DP3:DQ3" si="32">DO3</f>
        <v>29665</v>
      </c>
      <c r="DQ3" s="44">
        <f t="shared" si="32"/>
        <v>29665</v>
      </c>
      <c r="DR3" s="44">
        <f>ROUND(DQ3*(1+取值表!$D$4)*取值表!$H$4,0)</f>
        <v>27937</v>
      </c>
      <c r="DS3" s="44">
        <f t="shared" ref="DS3" si="33">DR3</f>
        <v>27937</v>
      </c>
      <c r="DT3" s="44">
        <f t="shared" ref="DT3:DU3" si="34">DS3</f>
        <v>27937</v>
      </c>
      <c r="DU3" s="44">
        <f t="shared" si="34"/>
        <v>27937</v>
      </c>
      <c r="DV3" s="44">
        <f>ROUND(DU3*(1+取值表!$D$4)*取值表!$H$4,0)</f>
        <v>26309</v>
      </c>
      <c r="DW3" s="44">
        <f t="shared" ref="DW3" si="35">DV3</f>
        <v>26309</v>
      </c>
      <c r="DX3" s="44">
        <f t="shared" ref="DX3:DY3" si="36">DW3</f>
        <v>26309</v>
      </c>
      <c r="DY3" s="44">
        <f t="shared" si="36"/>
        <v>26309</v>
      </c>
      <c r="DZ3" s="44">
        <f>ROUND(DY3*(1+取值表!$D$4)*取值表!$H$4,0)</f>
        <v>24776</v>
      </c>
      <c r="EA3" s="44">
        <f t="shared" ref="EA3" si="37">DZ3</f>
        <v>24776</v>
      </c>
      <c r="EB3" s="44">
        <f t="shared" ref="EB3:EC3" si="38">EA3</f>
        <v>24776</v>
      </c>
      <c r="EC3" s="44">
        <f t="shared" si="38"/>
        <v>24776</v>
      </c>
      <c r="ED3" s="44">
        <f>ROUND(EC3*(1+取值表!$D$4)*取值表!$H$4,0)</f>
        <v>23333</v>
      </c>
      <c r="EE3" s="44">
        <f t="shared" ref="EE3" si="39">ED3</f>
        <v>23333</v>
      </c>
      <c r="EF3" s="44">
        <f t="shared" ref="EF3:EG3" si="40">EE3</f>
        <v>23333</v>
      </c>
      <c r="EG3" s="44">
        <f t="shared" si="40"/>
        <v>23333</v>
      </c>
      <c r="EH3" s="44">
        <f>ROUND(EG3*(1+取值表!$D$4)*取值表!$H$4,0)</f>
        <v>21974</v>
      </c>
      <c r="EI3" s="44">
        <f t="shared" ref="EI3" si="41">EH3</f>
        <v>21974</v>
      </c>
      <c r="EJ3" s="44">
        <f t="shared" ref="EJ3:EK3" si="42">EI3</f>
        <v>21974</v>
      </c>
      <c r="EK3" s="44">
        <f t="shared" si="42"/>
        <v>21974</v>
      </c>
      <c r="EL3" s="44">
        <f>ROUND(EK3*(1+取值表!$D$4)*取值表!$H$4,0)</f>
        <v>20694</v>
      </c>
      <c r="EM3" s="44">
        <f t="shared" ref="EM3" si="43">EL3</f>
        <v>20694</v>
      </c>
      <c r="EN3" s="44">
        <f t="shared" ref="EN3:EO3" si="44">EM3</f>
        <v>20694</v>
      </c>
      <c r="EO3" s="44">
        <f t="shared" si="44"/>
        <v>20694</v>
      </c>
      <c r="EP3" s="44">
        <f>ROUND(EO3*(1+取值表!$D$4)*取值表!$H$4,0)</f>
        <v>19488</v>
      </c>
      <c r="EQ3" s="44">
        <f t="shared" ref="EQ3" si="45">EP3</f>
        <v>19488</v>
      </c>
      <c r="ER3" s="44">
        <f t="shared" ref="ER3" si="46">EQ3</f>
        <v>19488</v>
      </c>
      <c r="ES3" s="44">
        <f t="shared" ref="ES3" si="47">ER3</f>
        <v>19488</v>
      </c>
      <c r="ET3" s="45">
        <f>SUM(J3:ES3)</f>
        <v>9038764</v>
      </c>
    </row>
    <row r="4" spans="1:268" s="40" customFormat="1" ht="12">
      <c r="A4" s="448"/>
      <c r="B4" s="449"/>
      <c r="C4" s="450"/>
      <c r="D4" s="451"/>
      <c r="E4" s="452"/>
      <c r="F4" s="446"/>
      <c r="G4" s="446"/>
      <c r="H4" s="447"/>
      <c r="I4" s="41"/>
      <c r="J4" s="42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5">
        <f t="shared" ref="ET4:ET6" si="48">SUM(J4:ES4)</f>
        <v>0</v>
      </c>
    </row>
    <row r="5" spans="1:268" s="52" customFormat="1" ht="12">
      <c r="A5" s="455">
        <v>2</v>
      </c>
      <c r="B5" s="456" t="s">
        <v>575</v>
      </c>
      <c r="C5" s="457" t="s">
        <v>722</v>
      </c>
      <c r="D5" s="458" t="s">
        <v>708</v>
      </c>
      <c r="E5" s="459" t="s">
        <v>548</v>
      </c>
      <c r="F5" s="453">
        <v>2</v>
      </c>
      <c r="G5" s="453">
        <v>4300</v>
      </c>
      <c r="H5" s="454">
        <f>8600*12</f>
        <v>103200</v>
      </c>
      <c r="I5" s="41">
        <v>48000</v>
      </c>
      <c r="J5" s="43">
        <f>8600*3</f>
        <v>25800</v>
      </c>
      <c r="K5" s="42">
        <f>J5</f>
        <v>25800</v>
      </c>
      <c r="L5" s="42">
        <f>K5</f>
        <v>25800</v>
      </c>
      <c r="M5" s="42">
        <f>L5</f>
        <v>25800</v>
      </c>
      <c r="N5" s="44">
        <f>ROUND(M5*(1+取值表!$D$4)*取值表!$H$4,0)</f>
        <v>24297</v>
      </c>
      <c r="O5" s="42">
        <f>N5</f>
        <v>24297</v>
      </c>
      <c r="P5" s="42">
        <f>O5</f>
        <v>24297</v>
      </c>
      <c r="Q5" s="42">
        <f>P5</f>
        <v>24297</v>
      </c>
      <c r="R5" s="44">
        <f>ROUND(Q5*(1+取值表!$D$4)*取值表!$H$4,0)</f>
        <v>22881</v>
      </c>
      <c r="S5" s="42">
        <f t="shared" ref="S5:U5" si="49">R5</f>
        <v>22881</v>
      </c>
      <c r="T5" s="42">
        <f t="shared" si="49"/>
        <v>22881</v>
      </c>
      <c r="U5" s="42">
        <f t="shared" si="49"/>
        <v>22881</v>
      </c>
      <c r="V5" s="44">
        <f>ROUND(U5*(1+取值表!$D$4)*取值表!$H$4,0)</f>
        <v>21548</v>
      </c>
      <c r="W5" s="42">
        <f t="shared" ref="W5:Y5" si="50">V5</f>
        <v>21548</v>
      </c>
      <c r="X5" s="42">
        <f t="shared" si="50"/>
        <v>21548</v>
      </c>
      <c r="Y5" s="42">
        <f t="shared" si="50"/>
        <v>21548</v>
      </c>
      <c r="Z5" s="44">
        <f>ROUND(Y5*(1+取值表!$D$4)*取值表!$H$4,0)</f>
        <v>20293</v>
      </c>
      <c r="AA5" s="42">
        <f t="shared" ref="AA5:AC5" si="51">Z5</f>
        <v>20293</v>
      </c>
      <c r="AB5" s="42">
        <f t="shared" si="51"/>
        <v>20293</v>
      </c>
      <c r="AC5" s="42">
        <f t="shared" si="51"/>
        <v>20293</v>
      </c>
      <c r="AD5" s="44">
        <f>ROUND(AC5*(1+取值表!$D$4)*取值表!$H$4,0)</f>
        <v>19111</v>
      </c>
      <c r="AE5" s="42">
        <f t="shared" ref="AE5:AG5" si="52">AD5</f>
        <v>19111</v>
      </c>
      <c r="AF5" s="42">
        <f t="shared" si="52"/>
        <v>19111</v>
      </c>
      <c r="AG5" s="42">
        <f t="shared" si="52"/>
        <v>19111</v>
      </c>
      <c r="AH5" s="44">
        <f>ROUND(AG5*(1+取值表!$D$4)*取值表!$H$4,0)</f>
        <v>17998</v>
      </c>
      <c r="AI5" s="42">
        <f t="shared" ref="AI5:AK5" si="53">AH5</f>
        <v>17998</v>
      </c>
      <c r="AJ5" s="42">
        <f t="shared" si="53"/>
        <v>17998</v>
      </c>
      <c r="AK5" s="42">
        <f t="shared" si="53"/>
        <v>17998</v>
      </c>
      <c r="AL5" s="44">
        <f>ROUND(AK5*(1+取值表!$D$4)*取值表!$H$4,0)</f>
        <v>16949</v>
      </c>
      <c r="AM5" s="42">
        <f t="shared" ref="AM5:AO5" si="54">AL5</f>
        <v>16949</v>
      </c>
      <c r="AN5" s="42">
        <f t="shared" si="54"/>
        <v>16949</v>
      </c>
      <c r="AO5" s="42">
        <f t="shared" si="54"/>
        <v>16949</v>
      </c>
      <c r="AP5" s="44">
        <f>ROUND(AO5*(1+取值表!$D$4)*取值表!$H$4,0)</f>
        <v>15962</v>
      </c>
      <c r="AQ5" s="42">
        <f t="shared" ref="AQ5:AS5" si="55">AP5</f>
        <v>15962</v>
      </c>
      <c r="AR5" s="42">
        <f t="shared" si="55"/>
        <v>15962</v>
      </c>
      <c r="AS5" s="42">
        <f t="shared" si="55"/>
        <v>15962</v>
      </c>
      <c r="AT5" s="44">
        <f>ROUND(AS5*(1+取值表!$D$4)*取值表!$H$4,0)</f>
        <v>15032</v>
      </c>
      <c r="AU5" s="42">
        <f t="shared" ref="AU5:AW5" si="56">AT5</f>
        <v>15032</v>
      </c>
      <c r="AV5" s="42">
        <f t="shared" si="56"/>
        <v>15032</v>
      </c>
      <c r="AW5" s="42">
        <f t="shared" si="56"/>
        <v>15032</v>
      </c>
      <c r="AX5" s="44">
        <f>ROUND(AW5*(1+取值表!$D$4)*取值表!$H$4,0)</f>
        <v>14156</v>
      </c>
      <c r="AY5" s="42">
        <f t="shared" ref="AY5:BA5" si="57">AX5</f>
        <v>14156</v>
      </c>
      <c r="AZ5" s="42">
        <f t="shared" si="57"/>
        <v>14156</v>
      </c>
      <c r="BA5" s="42">
        <f t="shared" si="57"/>
        <v>14156</v>
      </c>
      <c r="BB5" s="44">
        <f>ROUND(BA5*(1+取值表!$D$4)*取值表!$H$4,0)</f>
        <v>13331</v>
      </c>
      <c r="BC5" s="42">
        <f t="shared" ref="BC5:BE5" si="58">BB5</f>
        <v>13331</v>
      </c>
      <c r="BD5" s="42">
        <f t="shared" si="58"/>
        <v>13331</v>
      </c>
      <c r="BE5" s="42">
        <f t="shared" si="58"/>
        <v>13331</v>
      </c>
      <c r="BF5" s="44">
        <f>ROUND(BE5*(1+取值表!$D$4)*取值表!$H$4,0)</f>
        <v>12554</v>
      </c>
      <c r="BG5" s="42">
        <f t="shared" ref="BG5:BI5" si="59">BF5</f>
        <v>12554</v>
      </c>
      <c r="BH5" s="42">
        <f t="shared" si="59"/>
        <v>12554</v>
      </c>
      <c r="BI5" s="42">
        <f t="shared" si="59"/>
        <v>12554</v>
      </c>
      <c r="BJ5" s="44">
        <f>ROUND(BI5*(1+取值表!$D$4)*取值表!$H$4,0)</f>
        <v>11823</v>
      </c>
      <c r="BK5" s="42">
        <f t="shared" ref="BK5:BM5" si="60">BJ5</f>
        <v>11823</v>
      </c>
      <c r="BL5" s="42">
        <f t="shared" si="60"/>
        <v>11823</v>
      </c>
      <c r="BM5" s="42">
        <f t="shared" si="60"/>
        <v>11823</v>
      </c>
      <c r="BN5" s="44">
        <f>ROUND(BM5*(1+取值表!$D$4)*取值表!$H$4,0)</f>
        <v>11134</v>
      </c>
      <c r="BO5" s="42">
        <f t="shared" ref="BO5:BQ5" si="61">BN5</f>
        <v>11134</v>
      </c>
      <c r="BP5" s="42">
        <f t="shared" si="61"/>
        <v>11134</v>
      </c>
      <c r="BQ5" s="42">
        <f t="shared" si="61"/>
        <v>11134</v>
      </c>
      <c r="BR5" s="44">
        <f>ROUND(BQ5*(1+取值表!$D$4)*取值表!$H$4,0)</f>
        <v>10485</v>
      </c>
      <c r="BS5" s="42">
        <f t="shared" ref="BS5:BU5" si="62">BR5</f>
        <v>10485</v>
      </c>
      <c r="BT5" s="42">
        <f t="shared" si="62"/>
        <v>10485</v>
      </c>
      <c r="BU5" s="42">
        <f t="shared" si="62"/>
        <v>10485</v>
      </c>
      <c r="BV5" s="44">
        <f>ROUND(BU5*(1+取值表!$D$4)*取值表!$H$4,0)</f>
        <v>9874</v>
      </c>
      <c r="BW5" s="42">
        <f t="shared" ref="BW5:BY5" si="63">BV5</f>
        <v>9874</v>
      </c>
      <c r="BX5" s="42">
        <f t="shared" si="63"/>
        <v>9874</v>
      </c>
      <c r="BY5" s="42">
        <f t="shared" si="63"/>
        <v>9874</v>
      </c>
      <c r="BZ5" s="44">
        <f>ROUND(BY5*(1+取值表!$D$4)*取值表!$H$4,0)</f>
        <v>9299</v>
      </c>
      <c r="CA5" s="42">
        <f t="shared" ref="CA5:CC5" si="64">BZ5</f>
        <v>9299</v>
      </c>
      <c r="CB5" s="42">
        <f t="shared" si="64"/>
        <v>9299</v>
      </c>
      <c r="CC5" s="42">
        <f t="shared" si="64"/>
        <v>9299</v>
      </c>
      <c r="CD5" s="44">
        <f>ROUND(CC5*(1+取值表!$D$4)*取值表!$H$4,0)</f>
        <v>8757</v>
      </c>
      <c r="CE5" s="42">
        <f t="shared" ref="CE5:CG5" si="65">CD5</f>
        <v>8757</v>
      </c>
      <c r="CF5" s="42">
        <f t="shared" si="65"/>
        <v>8757</v>
      </c>
      <c r="CG5" s="42">
        <f t="shared" si="65"/>
        <v>8757</v>
      </c>
      <c r="CH5" s="44">
        <f>ROUND(CG5*(1+取值表!$D$4)*取值表!$H$4,0)</f>
        <v>8247</v>
      </c>
      <c r="CI5" s="42">
        <f t="shared" ref="CI5:CK5" si="66">CH5</f>
        <v>8247</v>
      </c>
      <c r="CJ5" s="42">
        <f t="shared" si="66"/>
        <v>8247</v>
      </c>
      <c r="CK5" s="42">
        <f t="shared" si="66"/>
        <v>8247</v>
      </c>
      <c r="CL5" s="44">
        <f>ROUND(CK5*(1+取值表!$D$4)*取值表!$H$4,0)</f>
        <v>7767</v>
      </c>
      <c r="CM5" s="42">
        <f t="shared" ref="CM5:CO5" si="67">CL5</f>
        <v>7767</v>
      </c>
      <c r="CN5" s="42">
        <f t="shared" si="67"/>
        <v>7767</v>
      </c>
      <c r="CO5" s="42">
        <f t="shared" si="67"/>
        <v>7767</v>
      </c>
      <c r="CP5" s="44">
        <f>ROUND(CO5*(1+取值表!$D$4)*取值表!$H$4,0)</f>
        <v>7315</v>
      </c>
      <c r="CQ5" s="42">
        <f t="shared" ref="CQ5" si="68">CP5</f>
        <v>7315</v>
      </c>
      <c r="CR5" s="42">
        <f t="shared" ref="CR5" si="69">CQ5</f>
        <v>7315</v>
      </c>
      <c r="CS5" s="42">
        <f t="shared" ref="CS5" si="70">CR5</f>
        <v>7315</v>
      </c>
      <c r="CT5" s="44">
        <f>ROUND(CS5*(1+取值表!$D$4)*取值表!$H$4,0)</f>
        <v>6889</v>
      </c>
      <c r="CU5" s="42">
        <f t="shared" ref="CU5" si="71">CT5</f>
        <v>6889</v>
      </c>
      <c r="CV5" s="42">
        <f t="shared" ref="CV5" si="72">CU5</f>
        <v>6889</v>
      </c>
      <c r="CW5" s="42">
        <f t="shared" ref="CW5" si="73">CV5</f>
        <v>6889</v>
      </c>
      <c r="CX5" s="44">
        <f>ROUND(CW5*(1+取值表!$D$4)*取值表!$H$4,0)</f>
        <v>6488</v>
      </c>
      <c r="CY5" s="42">
        <f t="shared" ref="CY5" si="74">CX5</f>
        <v>6488</v>
      </c>
      <c r="CZ5" s="42">
        <f t="shared" ref="CZ5" si="75">CY5</f>
        <v>6488</v>
      </c>
      <c r="DA5" s="42">
        <f t="shared" ref="DA5" si="76">CZ5</f>
        <v>6488</v>
      </c>
      <c r="DB5" s="44">
        <f>ROUND(DA5*(1+取值表!$D$4)*取值表!$H$4,0)</f>
        <v>6110</v>
      </c>
      <c r="DC5" s="42">
        <f t="shared" ref="DC5" si="77">DB5</f>
        <v>6110</v>
      </c>
      <c r="DD5" s="42">
        <f t="shared" ref="DD5" si="78">DC5</f>
        <v>6110</v>
      </c>
      <c r="DE5" s="42">
        <f t="shared" ref="DE5" si="79">DD5</f>
        <v>6110</v>
      </c>
      <c r="DF5" s="44">
        <f>ROUND(DE5*(1+取值表!$D$4)*取值表!$H$4,0)</f>
        <v>5754</v>
      </c>
      <c r="DG5" s="42">
        <f t="shared" ref="DG5" si="80">DF5</f>
        <v>5754</v>
      </c>
      <c r="DH5" s="42">
        <f t="shared" ref="DH5" si="81">DG5</f>
        <v>5754</v>
      </c>
      <c r="DI5" s="42">
        <f t="shared" ref="DI5" si="82">DH5</f>
        <v>5754</v>
      </c>
      <c r="DJ5" s="44">
        <f>ROUND(DI5*(1+取值表!$D$4)*取值表!$H$4,0)</f>
        <v>5419</v>
      </c>
      <c r="DK5" s="42">
        <f t="shared" ref="DK5" si="83">DJ5</f>
        <v>5419</v>
      </c>
      <c r="DL5" s="42">
        <f t="shared" ref="DL5" si="84">DK5</f>
        <v>5419</v>
      </c>
      <c r="DM5" s="42">
        <f t="shared" ref="DM5" si="85">DL5</f>
        <v>5419</v>
      </c>
      <c r="DN5" s="44">
        <f>ROUND(DM5*(1+取值表!$D$4)*取值表!$H$4,0)</f>
        <v>5103</v>
      </c>
      <c r="DO5" s="42">
        <f t="shared" ref="DO5" si="86">DN5</f>
        <v>5103</v>
      </c>
      <c r="DP5" s="42">
        <f t="shared" ref="DP5" si="87">DO5</f>
        <v>5103</v>
      </c>
      <c r="DQ5" s="42">
        <f t="shared" ref="DQ5" si="88">DP5</f>
        <v>5103</v>
      </c>
      <c r="DR5" s="44">
        <f>ROUND(DQ5*(1+取值表!$D$4)*取值表!$H$4,0)</f>
        <v>4806</v>
      </c>
      <c r="DS5" s="42">
        <f t="shared" ref="DS5" si="89">DR5</f>
        <v>4806</v>
      </c>
      <c r="DT5" s="42">
        <f t="shared" ref="DT5" si="90">DS5</f>
        <v>4806</v>
      </c>
      <c r="DU5" s="42">
        <f t="shared" ref="DU5" si="91">DT5</f>
        <v>4806</v>
      </c>
      <c r="DV5" s="44">
        <f>ROUND(DU5*(1+取值表!$D$4)*取值表!$H$4,0)</f>
        <v>4526</v>
      </c>
      <c r="DW5" s="42">
        <f t="shared" ref="DW5" si="92">DV5</f>
        <v>4526</v>
      </c>
      <c r="DX5" s="42">
        <f t="shared" ref="DX5" si="93">DW5</f>
        <v>4526</v>
      </c>
      <c r="DY5" s="42">
        <f t="shared" ref="DY5" si="94">DX5</f>
        <v>4526</v>
      </c>
      <c r="DZ5" s="44">
        <f>ROUND(DY5*(1+取值表!$D$4)*取值表!$H$4,0)</f>
        <v>4262</v>
      </c>
      <c r="EA5" s="42">
        <f t="shared" ref="EA5" si="95">DZ5</f>
        <v>4262</v>
      </c>
      <c r="EB5" s="42">
        <f t="shared" ref="EB5" si="96">EA5</f>
        <v>4262</v>
      </c>
      <c r="EC5" s="42">
        <f t="shared" ref="EC5" si="97">EB5</f>
        <v>4262</v>
      </c>
      <c r="ED5" s="44">
        <f>ROUND(EC5*(1+取值表!$D$4)*取值表!$H$4,0)</f>
        <v>4014</v>
      </c>
      <c r="EE5" s="42">
        <f t="shared" ref="EE5" si="98">ED5</f>
        <v>4014</v>
      </c>
      <c r="EF5" s="42">
        <f t="shared" ref="EF5" si="99">EE5</f>
        <v>4014</v>
      </c>
      <c r="EG5" s="42">
        <f t="shared" ref="EG5" si="100">EF5</f>
        <v>4014</v>
      </c>
      <c r="EH5" s="44">
        <f>ROUND(EG5*(1+取值表!$D$4)*取值表!$H$4,0)</f>
        <v>3780</v>
      </c>
      <c r="EI5" s="42">
        <f t="shared" ref="EI5" si="101">EH5</f>
        <v>3780</v>
      </c>
      <c r="EJ5" s="42">
        <f t="shared" ref="EJ5" si="102">EI5</f>
        <v>3780</v>
      </c>
      <c r="EK5" s="42">
        <f t="shared" ref="EK5" si="103">EJ5</f>
        <v>3780</v>
      </c>
      <c r="EL5" s="44">
        <f>ROUND(EK5*(1+取值表!$D$4)*取值表!$H$4,0)</f>
        <v>3560</v>
      </c>
      <c r="EM5" s="42">
        <f>EL5</f>
        <v>3560</v>
      </c>
      <c r="EN5" s="42">
        <f t="shared" ref="EN5" si="104">EM5</f>
        <v>3560</v>
      </c>
      <c r="EO5" s="42">
        <f t="shared" ref="EO5" si="105">EN5</f>
        <v>3560</v>
      </c>
      <c r="EP5" s="44">
        <f>ROUND(EO5*(1+取值表!$D$4)*取值表!$H$4,0)</f>
        <v>3353</v>
      </c>
      <c r="EQ5" s="42">
        <f>EP5</f>
        <v>3353</v>
      </c>
      <c r="ER5" s="42">
        <f t="shared" ref="ER5" si="106">EQ5</f>
        <v>3353</v>
      </c>
      <c r="ES5" s="42">
        <f t="shared" ref="ES5" si="107">ER5</f>
        <v>3353</v>
      </c>
      <c r="ET5" s="45">
        <f t="shared" si="48"/>
        <v>1554708</v>
      </c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  <c r="HV5" s="47"/>
      <c r="HW5" s="47"/>
      <c r="HX5" s="47"/>
      <c r="HY5" s="47"/>
      <c r="HZ5" s="47"/>
      <c r="IA5" s="47"/>
      <c r="IB5" s="47"/>
      <c r="IC5" s="47"/>
      <c r="ID5" s="47"/>
      <c r="IE5" s="47"/>
      <c r="IF5" s="47"/>
      <c r="IG5" s="47"/>
      <c r="IH5" s="47"/>
      <c r="II5" s="47"/>
      <c r="IJ5" s="47"/>
      <c r="IK5" s="47"/>
      <c r="IL5" s="47"/>
      <c r="IM5" s="47"/>
      <c r="IN5" s="47"/>
      <c r="IO5" s="47"/>
      <c r="IP5" s="47"/>
      <c r="IQ5" s="47"/>
      <c r="IR5" s="47"/>
      <c r="IS5" s="47"/>
      <c r="IT5" s="47"/>
      <c r="IU5" s="47"/>
      <c r="IV5" s="47"/>
      <c r="IW5" s="47"/>
      <c r="IX5" s="47"/>
      <c r="IY5" s="47"/>
      <c r="IZ5" s="47"/>
      <c r="JA5" s="47"/>
      <c r="JB5" s="47"/>
      <c r="JC5" s="47"/>
      <c r="JD5" s="47"/>
      <c r="JE5" s="48">
        <f>SUM(J5:JD5)</f>
        <v>3109416</v>
      </c>
      <c r="JF5" s="49"/>
      <c r="JG5" s="50"/>
      <c r="JH5" s="51">
        <v>877676.66666666698</v>
      </c>
    </row>
    <row r="6" spans="1:268" s="52" customFormat="1" ht="12">
      <c r="A6" s="455"/>
      <c r="B6" s="456"/>
      <c r="C6" s="457"/>
      <c r="D6" s="458"/>
      <c r="E6" s="459"/>
      <c r="F6" s="453"/>
      <c r="G6" s="453"/>
      <c r="H6" s="454"/>
      <c r="I6" s="41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5">
        <f t="shared" si="48"/>
        <v>0</v>
      </c>
      <c r="EU6" s="47"/>
      <c r="EV6" s="47"/>
      <c r="EW6" s="47"/>
      <c r="EX6" s="47"/>
      <c r="EY6" s="47"/>
      <c r="EZ6" s="47"/>
      <c r="FA6" s="47"/>
      <c r="FB6" s="47"/>
      <c r="FC6" s="47"/>
      <c r="FD6" s="47"/>
      <c r="FE6" s="47"/>
      <c r="FF6" s="47"/>
      <c r="FG6" s="47"/>
      <c r="FH6" s="47"/>
      <c r="FI6" s="47"/>
      <c r="FJ6" s="47"/>
      <c r="FK6" s="47"/>
      <c r="FL6" s="47"/>
      <c r="FM6" s="47"/>
      <c r="FN6" s="47"/>
      <c r="FO6" s="47"/>
      <c r="FP6" s="47"/>
      <c r="FQ6" s="47"/>
      <c r="FR6" s="47"/>
      <c r="FS6" s="47"/>
      <c r="FT6" s="47"/>
      <c r="FU6" s="47"/>
      <c r="FV6" s="47"/>
      <c r="FW6" s="47"/>
      <c r="FX6" s="47"/>
      <c r="FY6" s="47"/>
      <c r="FZ6" s="47"/>
      <c r="GA6" s="47"/>
      <c r="GB6" s="47"/>
      <c r="GC6" s="47"/>
      <c r="GD6" s="47"/>
      <c r="GE6" s="47"/>
      <c r="GF6" s="47"/>
      <c r="GG6" s="47"/>
      <c r="GH6" s="47"/>
      <c r="GI6" s="47"/>
      <c r="GJ6" s="47"/>
      <c r="GK6" s="47"/>
      <c r="GL6" s="47"/>
      <c r="GM6" s="47"/>
      <c r="GN6" s="47"/>
      <c r="GO6" s="47"/>
      <c r="GP6" s="47"/>
      <c r="GQ6" s="47"/>
      <c r="GR6" s="47"/>
      <c r="GS6" s="47"/>
      <c r="GT6" s="47"/>
      <c r="GU6" s="47"/>
      <c r="GV6" s="47"/>
      <c r="GW6" s="47"/>
      <c r="GX6" s="47"/>
      <c r="GY6" s="47"/>
      <c r="GZ6" s="47"/>
      <c r="HA6" s="47"/>
      <c r="HB6" s="47"/>
      <c r="HC6" s="47"/>
      <c r="HD6" s="47"/>
      <c r="HE6" s="47"/>
      <c r="HF6" s="47"/>
      <c r="HG6" s="47"/>
      <c r="HH6" s="47"/>
      <c r="HI6" s="47"/>
      <c r="HJ6" s="47"/>
      <c r="HK6" s="47"/>
      <c r="HL6" s="47"/>
      <c r="HM6" s="47"/>
      <c r="HN6" s="47"/>
      <c r="HO6" s="47"/>
      <c r="HP6" s="47"/>
      <c r="HQ6" s="47"/>
      <c r="HR6" s="47"/>
      <c r="HS6" s="47"/>
      <c r="HT6" s="47"/>
      <c r="HU6" s="47"/>
      <c r="HV6" s="47"/>
      <c r="HW6" s="47"/>
      <c r="HX6" s="47"/>
      <c r="HY6" s="47"/>
      <c r="HZ6" s="47"/>
      <c r="IA6" s="47"/>
      <c r="IB6" s="47"/>
      <c r="IC6" s="47"/>
      <c r="ID6" s="47"/>
      <c r="IE6" s="47"/>
      <c r="IF6" s="47"/>
      <c r="IG6" s="47"/>
      <c r="IH6" s="47"/>
      <c r="II6" s="47"/>
      <c r="IJ6" s="47"/>
      <c r="IK6" s="47"/>
      <c r="IL6" s="47"/>
      <c r="IM6" s="47"/>
      <c r="IN6" s="47"/>
      <c r="IO6" s="47"/>
      <c r="IP6" s="47"/>
      <c r="IQ6" s="47"/>
      <c r="IR6" s="47"/>
      <c r="IS6" s="47"/>
      <c r="IT6" s="47"/>
      <c r="IU6" s="47"/>
      <c r="IV6" s="47"/>
      <c r="IW6" s="47"/>
      <c r="IX6" s="47"/>
      <c r="IY6" s="47"/>
      <c r="IZ6" s="47"/>
      <c r="JA6" s="47"/>
      <c r="JB6" s="47"/>
      <c r="JC6" s="47"/>
      <c r="JD6" s="47"/>
      <c r="JE6" s="53">
        <f>SUM(J6:JD6)</f>
        <v>0</v>
      </c>
      <c r="JF6" s="49"/>
      <c r="JG6" s="50"/>
      <c r="JH6" s="51">
        <v>621676.67000000004</v>
      </c>
    </row>
    <row r="7" spans="1:268" s="52" customFormat="1" ht="12">
      <c r="A7" s="335">
        <v>3</v>
      </c>
      <c r="B7" s="336" t="s">
        <v>1294</v>
      </c>
      <c r="C7" s="337"/>
      <c r="D7" s="338"/>
      <c r="E7" s="339" t="s">
        <v>1295</v>
      </c>
      <c r="F7" s="333">
        <f>基础资料!J4-地下车库现金流!F3-地下车库现金流!F5</f>
        <v>672</v>
      </c>
      <c r="G7" s="352">
        <v>2500</v>
      </c>
      <c r="H7" s="334">
        <f>G7*F7*12</f>
        <v>20160000</v>
      </c>
      <c r="I7" s="332"/>
      <c r="J7" s="42">
        <f>ROUND(G7*F7*3*取值表!H4,0)</f>
        <v>4741632</v>
      </c>
      <c r="K7" s="42">
        <f>J7</f>
        <v>4741632</v>
      </c>
      <c r="L7" s="42">
        <f>K7</f>
        <v>4741632</v>
      </c>
      <c r="M7" s="42">
        <f>L7</f>
        <v>4741632</v>
      </c>
      <c r="N7" s="42">
        <f>ROUND(M7*(1+取值表!$D$4)*取值表!$H$4,0)</f>
        <v>4465388</v>
      </c>
      <c r="O7" s="42">
        <f>N7</f>
        <v>4465388</v>
      </c>
      <c r="P7" s="42">
        <f>O7</f>
        <v>4465388</v>
      </c>
      <c r="Q7" s="42">
        <f>P7</f>
        <v>4465388</v>
      </c>
      <c r="R7" s="42">
        <f>ROUND(Q7*(1+取值表!$D$4)*取值表!$H$4,0)</f>
        <v>4205238</v>
      </c>
      <c r="S7" s="42">
        <f t="shared" ref="S7:U7" si="108">R7</f>
        <v>4205238</v>
      </c>
      <c r="T7" s="42">
        <f t="shared" si="108"/>
        <v>4205238</v>
      </c>
      <c r="U7" s="42">
        <f t="shared" si="108"/>
        <v>4205238</v>
      </c>
      <c r="V7" s="42">
        <f>ROUND(U7*(1+取值表!$D$4)*取值表!$H$4,0)</f>
        <v>3960244</v>
      </c>
      <c r="W7" s="42">
        <f t="shared" ref="W7:Y7" si="109">V7</f>
        <v>3960244</v>
      </c>
      <c r="X7" s="42">
        <f t="shared" si="109"/>
        <v>3960244</v>
      </c>
      <c r="Y7" s="42">
        <f t="shared" si="109"/>
        <v>3960244</v>
      </c>
      <c r="Z7" s="42">
        <f>ROUND(Y7*(1+取值表!$D$4)*取值表!$H$4,0)</f>
        <v>3729523</v>
      </c>
      <c r="AA7" s="42">
        <f t="shared" ref="AA7:AC7" si="110">Z7</f>
        <v>3729523</v>
      </c>
      <c r="AB7" s="42">
        <f t="shared" si="110"/>
        <v>3729523</v>
      </c>
      <c r="AC7" s="42">
        <f t="shared" si="110"/>
        <v>3729523</v>
      </c>
      <c r="AD7" s="42">
        <f>ROUND(AC7*(1+取值表!$D$4)*取值表!$H$4,0)</f>
        <v>3512244</v>
      </c>
      <c r="AE7" s="42">
        <f t="shared" ref="AE7:AG7" si="111">AD7</f>
        <v>3512244</v>
      </c>
      <c r="AF7" s="42">
        <f t="shared" si="111"/>
        <v>3512244</v>
      </c>
      <c r="AG7" s="42">
        <f t="shared" si="111"/>
        <v>3512244</v>
      </c>
      <c r="AH7" s="42">
        <f>ROUND(AG7*(1+取值表!$D$4)*取值表!$H$4,0)</f>
        <v>3307623</v>
      </c>
      <c r="AI7" s="42">
        <f t="shared" ref="AI7:AK7" si="112">AH7</f>
        <v>3307623</v>
      </c>
      <c r="AJ7" s="42">
        <f t="shared" si="112"/>
        <v>3307623</v>
      </c>
      <c r="AK7" s="42">
        <f t="shared" si="112"/>
        <v>3307623</v>
      </c>
      <c r="AL7" s="42">
        <f>ROUND(AK7*(1+取值表!$D$4)*取值表!$H$4,0)</f>
        <v>3114924</v>
      </c>
      <c r="AM7" s="42">
        <f t="shared" ref="AM7:AO7" si="113">AL7</f>
        <v>3114924</v>
      </c>
      <c r="AN7" s="42">
        <f t="shared" si="113"/>
        <v>3114924</v>
      </c>
      <c r="AO7" s="42">
        <f t="shared" si="113"/>
        <v>3114924</v>
      </c>
      <c r="AP7" s="42">
        <f>ROUND(AO7*(1+取值表!$D$4)*取值表!$H$4,0)</f>
        <v>2933451</v>
      </c>
      <c r="AQ7" s="42">
        <f t="shared" ref="AQ7:AS7" si="114">AP7</f>
        <v>2933451</v>
      </c>
      <c r="AR7" s="42">
        <f t="shared" si="114"/>
        <v>2933451</v>
      </c>
      <c r="AS7" s="42">
        <f t="shared" si="114"/>
        <v>2933451</v>
      </c>
      <c r="AT7" s="42">
        <f>ROUND(AS7*(1+取值表!$D$4)*取值表!$H$4,0)</f>
        <v>2762550</v>
      </c>
      <c r="AU7" s="42">
        <f t="shared" ref="AU7:AW7" si="115">AT7</f>
        <v>2762550</v>
      </c>
      <c r="AV7" s="42">
        <f t="shared" si="115"/>
        <v>2762550</v>
      </c>
      <c r="AW7" s="42">
        <f t="shared" si="115"/>
        <v>2762550</v>
      </c>
      <c r="AX7" s="42">
        <f>ROUND(AW7*(1+取值表!$D$4)*取值表!$H$4,0)</f>
        <v>2601606</v>
      </c>
      <c r="AY7" s="42">
        <f t="shared" ref="AY7:BA7" si="116">AX7</f>
        <v>2601606</v>
      </c>
      <c r="AZ7" s="42">
        <f t="shared" si="116"/>
        <v>2601606</v>
      </c>
      <c r="BA7" s="42">
        <f t="shared" si="116"/>
        <v>2601606</v>
      </c>
      <c r="BB7" s="42">
        <f>ROUND(BA7*(1+取值表!$D$4)*取值表!$H$4,0)</f>
        <v>2450039</v>
      </c>
      <c r="BC7" s="42">
        <f t="shared" ref="BC7:BE7" si="117">BB7</f>
        <v>2450039</v>
      </c>
      <c r="BD7" s="42">
        <f t="shared" si="117"/>
        <v>2450039</v>
      </c>
      <c r="BE7" s="42">
        <f t="shared" si="117"/>
        <v>2450039</v>
      </c>
      <c r="BF7" s="42">
        <f>ROUND(BE7*(1+取值表!$D$4)*取值表!$H$4,0)</f>
        <v>2307302</v>
      </c>
      <c r="BG7" s="42">
        <f t="shared" ref="BG7:BI7" si="118">BF7</f>
        <v>2307302</v>
      </c>
      <c r="BH7" s="42">
        <f t="shared" si="118"/>
        <v>2307302</v>
      </c>
      <c r="BI7" s="42">
        <f t="shared" si="118"/>
        <v>2307302</v>
      </c>
      <c r="BJ7" s="42">
        <f>ROUND(BI7*(1+取值表!$D$4)*取值表!$H$4,0)</f>
        <v>2172880</v>
      </c>
      <c r="BK7" s="42">
        <f t="shared" ref="BK7:BM7" si="119">BJ7</f>
        <v>2172880</v>
      </c>
      <c r="BL7" s="42">
        <f t="shared" si="119"/>
        <v>2172880</v>
      </c>
      <c r="BM7" s="42">
        <f t="shared" si="119"/>
        <v>2172880</v>
      </c>
      <c r="BN7" s="42">
        <f>ROUND(BM7*(1+取值表!$D$4)*取值表!$H$4,0)</f>
        <v>2046290</v>
      </c>
      <c r="BO7" s="42">
        <f t="shared" ref="BO7:BQ7" si="120">BN7</f>
        <v>2046290</v>
      </c>
      <c r="BP7" s="42">
        <f t="shared" si="120"/>
        <v>2046290</v>
      </c>
      <c r="BQ7" s="42">
        <f t="shared" si="120"/>
        <v>2046290</v>
      </c>
      <c r="BR7" s="42">
        <f>ROUND(BQ7*(1+取值表!$D$4)*取值表!$H$4,0)</f>
        <v>1927075</v>
      </c>
      <c r="BS7" s="42">
        <f t="shared" ref="BS7:BU7" si="121">BR7</f>
        <v>1927075</v>
      </c>
      <c r="BT7" s="42">
        <f t="shared" si="121"/>
        <v>1927075</v>
      </c>
      <c r="BU7" s="42">
        <f t="shared" si="121"/>
        <v>1927075</v>
      </c>
      <c r="BV7" s="42">
        <f>ROUND(BU7*(1+取值表!$D$4)*取值表!$H$4,0)</f>
        <v>1814805</v>
      </c>
      <c r="BW7" s="42">
        <f t="shared" ref="BW7:BY7" si="122">BV7</f>
        <v>1814805</v>
      </c>
      <c r="BX7" s="42">
        <f t="shared" si="122"/>
        <v>1814805</v>
      </c>
      <c r="BY7" s="42">
        <f t="shared" si="122"/>
        <v>1814805</v>
      </c>
      <c r="BZ7" s="42">
        <f>ROUND(BY7*(1+取值表!$D$4)*取值表!$H$4,0)</f>
        <v>1709076</v>
      </c>
      <c r="CA7" s="42">
        <f t="shared" ref="CA7:CC7" si="123">BZ7</f>
        <v>1709076</v>
      </c>
      <c r="CB7" s="42">
        <f t="shared" si="123"/>
        <v>1709076</v>
      </c>
      <c r="CC7" s="42">
        <f t="shared" si="123"/>
        <v>1709076</v>
      </c>
      <c r="CD7" s="42">
        <f>ROUND(CC7*(1+取值表!$D$4)*取值表!$H$4,0)</f>
        <v>1609507</v>
      </c>
      <c r="CE7" s="42">
        <f t="shared" ref="CE7:CG7" si="124">CD7</f>
        <v>1609507</v>
      </c>
      <c r="CF7" s="42">
        <f t="shared" si="124"/>
        <v>1609507</v>
      </c>
      <c r="CG7" s="42">
        <f t="shared" si="124"/>
        <v>1609507</v>
      </c>
      <c r="CH7" s="42">
        <f>ROUND(CG7*(1+取值表!$D$4)*取值表!$H$4,0)</f>
        <v>1515738</v>
      </c>
      <c r="CI7" s="42">
        <f t="shared" ref="CI7:CK7" si="125">CH7</f>
        <v>1515738</v>
      </c>
      <c r="CJ7" s="42">
        <f t="shared" si="125"/>
        <v>1515738</v>
      </c>
      <c r="CK7" s="42">
        <f t="shared" si="125"/>
        <v>1515738</v>
      </c>
      <c r="CL7" s="42">
        <f>ROUND(CK7*(1+取值表!$D$4)*取值表!$H$4,0)</f>
        <v>1427432</v>
      </c>
      <c r="CM7" s="42">
        <f t="shared" ref="CM7:CO7" si="126">CL7</f>
        <v>1427432</v>
      </c>
      <c r="CN7" s="42">
        <f t="shared" si="126"/>
        <v>1427432</v>
      </c>
      <c r="CO7" s="42">
        <f t="shared" si="126"/>
        <v>1427432</v>
      </c>
      <c r="CP7" s="42">
        <f>ROUND(CO7*(1+取值表!$D$4)*取值表!$H$4,0)</f>
        <v>1344271</v>
      </c>
      <c r="CQ7" s="42">
        <f t="shared" ref="CQ7" si="127">CP7</f>
        <v>1344271</v>
      </c>
      <c r="CR7" s="42">
        <f t="shared" ref="CR7" si="128">CQ7</f>
        <v>1344271</v>
      </c>
      <c r="CS7" s="42">
        <f t="shared" ref="CS7" si="129">CR7</f>
        <v>1344271</v>
      </c>
      <c r="CT7" s="42">
        <f>ROUND(CS7*(1+取值表!$D$4)*取值表!$H$4,0)</f>
        <v>1265955</v>
      </c>
      <c r="CU7" s="42">
        <f t="shared" ref="CU7" si="130">CT7</f>
        <v>1265955</v>
      </c>
      <c r="CV7" s="42">
        <f t="shared" ref="CV7" si="131">CU7</f>
        <v>1265955</v>
      </c>
      <c r="CW7" s="42">
        <f t="shared" ref="CW7" si="132">CV7</f>
        <v>1265955</v>
      </c>
      <c r="CX7" s="42">
        <f>ROUND(CW7*(1+取值表!$D$4)*取值表!$H$4,0)</f>
        <v>1192201</v>
      </c>
      <c r="CY7" s="42">
        <f t="shared" ref="CY7" si="133">CX7</f>
        <v>1192201</v>
      </c>
      <c r="CZ7" s="42">
        <f t="shared" ref="CZ7" si="134">CY7</f>
        <v>1192201</v>
      </c>
      <c r="DA7" s="42">
        <f t="shared" ref="DA7" si="135">CZ7</f>
        <v>1192201</v>
      </c>
      <c r="DB7" s="42">
        <f>ROUND(DA7*(1+取值表!$D$4)*取值表!$H$4,0)</f>
        <v>1122744</v>
      </c>
      <c r="DC7" s="42">
        <f t="shared" ref="DC7" si="136">DB7</f>
        <v>1122744</v>
      </c>
      <c r="DD7" s="42">
        <f t="shared" ref="DD7" si="137">DC7</f>
        <v>1122744</v>
      </c>
      <c r="DE7" s="42">
        <f t="shared" ref="DE7" si="138">DD7</f>
        <v>1122744</v>
      </c>
      <c r="DF7" s="42">
        <f>ROUND(DE7*(1+取值表!$D$4)*取值表!$H$4,0)</f>
        <v>1057334</v>
      </c>
      <c r="DG7" s="42">
        <f t="shared" ref="DG7" si="139">DF7</f>
        <v>1057334</v>
      </c>
      <c r="DH7" s="42">
        <f t="shared" ref="DH7" si="140">DG7</f>
        <v>1057334</v>
      </c>
      <c r="DI7" s="42">
        <f t="shared" ref="DI7" si="141">DH7</f>
        <v>1057334</v>
      </c>
      <c r="DJ7" s="42">
        <f>ROUND(DI7*(1+取值表!$D$4)*取值表!$H$4,0)</f>
        <v>995735</v>
      </c>
      <c r="DK7" s="42">
        <f t="shared" ref="DK7" si="142">DJ7</f>
        <v>995735</v>
      </c>
      <c r="DL7" s="42">
        <f t="shared" ref="DL7" si="143">DK7</f>
        <v>995735</v>
      </c>
      <c r="DM7" s="42">
        <f t="shared" ref="DM7" si="144">DL7</f>
        <v>995735</v>
      </c>
      <c r="DN7" s="42">
        <f>ROUND(DM7*(1+取值表!$D$4)*取值表!$H$4,0)</f>
        <v>937724</v>
      </c>
      <c r="DO7" s="42">
        <f t="shared" ref="DO7" si="145">DN7</f>
        <v>937724</v>
      </c>
      <c r="DP7" s="42">
        <f t="shared" ref="DP7" si="146">DO7</f>
        <v>937724</v>
      </c>
      <c r="DQ7" s="42">
        <f t="shared" ref="DQ7" si="147">DP7</f>
        <v>937724</v>
      </c>
      <c r="DR7" s="42">
        <f>ROUND(DQ7*(1+取值表!$D$4)*取值表!$H$4,0)</f>
        <v>883093</v>
      </c>
      <c r="DS7" s="42">
        <f t="shared" ref="DS7" si="148">DR7</f>
        <v>883093</v>
      </c>
      <c r="DT7" s="42">
        <f t="shared" ref="DT7" si="149">DS7</f>
        <v>883093</v>
      </c>
      <c r="DU7" s="42">
        <f t="shared" ref="DU7" si="150">DT7</f>
        <v>883093</v>
      </c>
      <c r="DV7" s="42">
        <f>ROUND(DU7*(1+取值表!$D$4)*取值表!$H$4,0)</f>
        <v>831645</v>
      </c>
      <c r="DW7" s="42">
        <f t="shared" ref="DW7" si="151">DV7</f>
        <v>831645</v>
      </c>
      <c r="DX7" s="42">
        <f t="shared" ref="DX7" si="152">DW7</f>
        <v>831645</v>
      </c>
      <c r="DY7" s="42">
        <f t="shared" ref="DY7" si="153">DX7</f>
        <v>831645</v>
      </c>
      <c r="DZ7" s="42">
        <f>ROUND(DY7*(1+取值表!$D$4)*取值表!$H$4,0)</f>
        <v>783194</v>
      </c>
      <c r="EA7" s="42">
        <f t="shared" ref="EA7" si="154">DZ7</f>
        <v>783194</v>
      </c>
      <c r="EB7" s="42">
        <f t="shared" ref="EB7" si="155">EA7</f>
        <v>783194</v>
      </c>
      <c r="EC7" s="42">
        <f t="shared" ref="EC7" si="156">EB7</f>
        <v>783194</v>
      </c>
      <c r="ED7" s="42">
        <f>ROUND(EC7*(1+取值表!$D$4)*取值表!$H$4,0)</f>
        <v>737566</v>
      </c>
      <c r="EE7" s="42">
        <f t="shared" ref="EE7" si="157">ED7</f>
        <v>737566</v>
      </c>
      <c r="EF7" s="42">
        <f t="shared" ref="EF7" si="158">EE7</f>
        <v>737566</v>
      </c>
      <c r="EG7" s="42">
        <f t="shared" ref="EG7" si="159">EF7</f>
        <v>737566</v>
      </c>
      <c r="EH7" s="42">
        <f>ROUND(EG7*(1+取值表!$D$4)*取值表!$H$4,0)</f>
        <v>694596</v>
      </c>
      <c r="EI7" s="42">
        <f t="shared" ref="EI7" si="160">EH7</f>
        <v>694596</v>
      </c>
      <c r="EJ7" s="42">
        <f t="shared" ref="EJ7" si="161">EI7</f>
        <v>694596</v>
      </c>
      <c r="EK7" s="42">
        <f t="shared" ref="EK7" si="162">EJ7</f>
        <v>694596</v>
      </c>
      <c r="EL7" s="42">
        <f>ROUND(EK7*(1+取值表!$D$4)*取值表!$H$4,0)</f>
        <v>654129</v>
      </c>
      <c r="EM7" s="42">
        <f t="shared" ref="EM7" si="163">EL7</f>
        <v>654129</v>
      </c>
      <c r="EN7" s="42">
        <f t="shared" ref="EN7" si="164">EM7</f>
        <v>654129</v>
      </c>
      <c r="EO7" s="42">
        <f t="shared" ref="EO7" si="165">EN7</f>
        <v>654129</v>
      </c>
      <c r="EP7" s="42">
        <f>ROUND(EO7*(1+取值表!$D$4)*取值表!$H$4,0)</f>
        <v>616020</v>
      </c>
      <c r="EQ7" s="42">
        <f t="shared" ref="EQ7" si="166">EP7</f>
        <v>616020</v>
      </c>
      <c r="ER7" s="42">
        <f t="shared" ref="ER7" si="167">EQ7</f>
        <v>616020</v>
      </c>
      <c r="ES7" s="42">
        <f t="shared" ref="ES7" si="168">ER7</f>
        <v>616020</v>
      </c>
      <c r="ET7" s="45">
        <f>SUM(J7:ES7)</f>
        <v>285723096</v>
      </c>
      <c r="EU7" s="272"/>
      <c r="EV7" s="272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2"/>
      <c r="FL7" s="272"/>
      <c r="FM7" s="272"/>
      <c r="FN7" s="272"/>
      <c r="FO7" s="272"/>
      <c r="FP7" s="272"/>
      <c r="FQ7" s="272"/>
      <c r="FR7" s="272"/>
      <c r="FS7" s="272"/>
      <c r="FT7" s="272"/>
      <c r="FU7" s="272"/>
      <c r="FV7" s="272"/>
      <c r="FW7" s="272"/>
      <c r="FX7" s="272"/>
      <c r="FY7" s="272"/>
      <c r="FZ7" s="272"/>
      <c r="GA7" s="272"/>
      <c r="GB7" s="272"/>
      <c r="GC7" s="272"/>
      <c r="GD7" s="272"/>
      <c r="GE7" s="272"/>
      <c r="GF7" s="272"/>
      <c r="GG7" s="272"/>
      <c r="GH7" s="272"/>
      <c r="GI7" s="272"/>
      <c r="GJ7" s="272"/>
      <c r="GK7" s="272"/>
      <c r="GL7" s="272"/>
      <c r="GM7" s="272"/>
      <c r="GN7" s="272"/>
      <c r="GO7" s="272"/>
      <c r="GP7" s="272"/>
      <c r="GQ7" s="272"/>
      <c r="GR7" s="272"/>
      <c r="GS7" s="272"/>
      <c r="GT7" s="272"/>
      <c r="GU7" s="272"/>
      <c r="GV7" s="272"/>
      <c r="GW7" s="272"/>
      <c r="GX7" s="272"/>
      <c r="GY7" s="272"/>
      <c r="GZ7" s="272"/>
      <c r="HA7" s="272"/>
      <c r="HB7" s="272"/>
      <c r="HC7" s="272"/>
      <c r="HD7" s="272"/>
      <c r="HE7" s="272"/>
      <c r="HF7" s="272"/>
      <c r="HG7" s="272"/>
      <c r="HH7" s="272"/>
      <c r="HI7" s="272"/>
      <c r="HJ7" s="272"/>
      <c r="HK7" s="272"/>
      <c r="HL7" s="272"/>
      <c r="HM7" s="272"/>
      <c r="HN7" s="272"/>
      <c r="HO7" s="272"/>
      <c r="HP7" s="272"/>
      <c r="HQ7" s="272"/>
      <c r="HR7" s="272"/>
      <c r="HS7" s="272"/>
      <c r="HT7" s="272"/>
      <c r="HU7" s="272"/>
      <c r="HV7" s="272"/>
      <c r="HW7" s="272"/>
      <c r="HX7" s="272"/>
      <c r="HY7" s="272"/>
      <c r="HZ7" s="272"/>
      <c r="IA7" s="272"/>
      <c r="IB7" s="272"/>
      <c r="IC7" s="272"/>
      <c r="ID7" s="272"/>
      <c r="IE7" s="272"/>
      <c r="IF7" s="272"/>
      <c r="IG7" s="272"/>
      <c r="IH7" s="272"/>
      <c r="II7" s="272"/>
      <c r="IJ7" s="272"/>
      <c r="IK7" s="272"/>
      <c r="IL7" s="272"/>
      <c r="IM7" s="272"/>
      <c r="IN7" s="272"/>
      <c r="IO7" s="272"/>
      <c r="IP7" s="272"/>
      <c r="IQ7" s="272"/>
      <c r="IR7" s="272"/>
      <c r="IS7" s="272"/>
      <c r="IT7" s="272"/>
      <c r="IU7" s="272"/>
      <c r="IV7" s="272"/>
      <c r="IW7" s="272"/>
      <c r="IX7" s="272"/>
      <c r="IY7" s="272"/>
      <c r="IZ7" s="272"/>
      <c r="JA7" s="272"/>
      <c r="JB7" s="272"/>
      <c r="JC7" s="272"/>
      <c r="JD7" s="272"/>
      <c r="JE7" s="348"/>
      <c r="JF7" s="51"/>
      <c r="JG7" s="51"/>
      <c r="JH7" s="51"/>
    </row>
    <row r="8" spans="1:268" ht="21" customHeight="1">
      <c r="A8" s="448" t="s">
        <v>609</v>
      </c>
      <c r="B8" s="448"/>
      <c r="C8" s="448"/>
      <c r="D8" s="448"/>
      <c r="E8" s="54"/>
      <c r="F8" s="41">
        <f>F3+F5+F7</f>
        <v>683</v>
      </c>
      <c r="G8" s="55"/>
      <c r="H8" s="56">
        <f>SUM(H3:H7)</f>
        <v>20863200</v>
      </c>
      <c r="I8" s="41">
        <f>SUM(I3:I7)</f>
        <v>398000</v>
      </c>
      <c r="J8" s="41">
        <f>SUM(J3:J7)</f>
        <v>4917432</v>
      </c>
      <c r="K8" s="344">
        <f>SUM(K3:K7)</f>
        <v>4917432</v>
      </c>
      <c r="L8" s="344">
        <f>SUM(L3:L7)</f>
        <v>4917432</v>
      </c>
      <c r="M8" s="344">
        <f t="shared" ref="M8:BV8" si="169">SUM(M3:M7)</f>
        <v>4917432</v>
      </c>
      <c r="N8" s="344">
        <f t="shared" si="169"/>
        <v>4630946</v>
      </c>
      <c r="O8" s="344">
        <f t="shared" si="169"/>
        <v>4630946</v>
      </c>
      <c r="P8" s="344">
        <f t="shared" si="169"/>
        <v>4630946</v>
      </c>
      <c r="Q8" s="344">
        <f t="shared" si="169"/>
        <v>4630946</v>
      </c>
      <c r="R8" s="344">
        <f t="shared" si="169"/>
        <v>4361150</v>
      </c>
      <c r="S8" s="344">
        <f t="shared" si="169"/>
        <v>4361150</v>
      </c>
      <c r="T8" s="344">
        <f t="shared" si="169"/>
        <v>4361150</v>
      </c>
      <c r="U8" s="344">
        <f t="shared" si="169"/>
        <v>4361150</v>
      </c>
      <c r="V8" s="344">
        <f t="shared" si="169"/>
        <v>4107073</v>
      </c>
      <c r="W8" s="344">
        <f t="shared" si="169"/>
        <v>4107073</v>
      </c>
      <c r="X8" s="344">
        <f t="shared" si="169"/>
        <v>4107073</v>
      </c>
      <c r="Y8" s="344">
        <f t="shared" si="169"/>
        <v>4107073</v>
      </c>
      <c r="Z8" s="344">
        <f t="shared" si="169"/>
        <v>3867798</v>
      </c>
      <c r="AA8" s="344">
        <f t="shared" si="169"/>
        <v>3867798</v>
      </c>
      <c r="AB8" s="344">
        <f t="shared" si="169"/>
        <v>3867798</v>
      </c>
      <c r="AC8" s="344">
        <f t="shared" si="169"/>
        <v>3867798</v>
      </c>
      <c r="AD8" s="344">
        <f t="shared" si="169"/>
        <v>3642463</v>
      </c>
      <c r="AE8" s="344">
        <f t="shared" si="169"/>
        <v>3642463</v>
      </c>
      <c r="AF8" s="344">
        <f t="shared" si="169"/>
        <v>3642463</v>
      </c>
      <c r="AG8" s="344">
        <f t="shared" si="169"/>
        <v>3642463</v>
      </c>
      <c r="AH8" s="344">
        <f t="shared" si="169"/>
        <v>3430256</v>
      </c>
      <c r="AI8" s="344">
        <f t="shared" si="169"/>
        <v>3430256</v>
      </c>
      <c r="AJ8" s="344">
        <f t="shared" si="169"/>
        <v>3430256</v>
      </c>
      <c r="AK8" s="344">
        <f t="shared" si="169"/>
        <v>3430256</v>
      </c>
      <c r="AL8" s="344">
        <f t="shared" si="169"/>
        <v>3230412</v>
      </c>
      <c r="AM8" s="344">
        <f t="shared" si="169"/>
        <v>3230412</v>
      </c>
      <c r="AN8" s="344">
        <f t="shared" si="169"/>
        <v>3230412</v>
      </c>
      <c r="AO8" s="344">
        <f t="shared" si="169"/>
        <v>3230412</v>
      </c>
      <c r="AP8" s="344">
        <f t="shared" si="169"/>
        <v>3042211</v>
      </c>
      <c r="AQ8" s="344">
        <f t="shared" si="169"/>
        <v>3042211</v>
      </c>
      <c r="AR8" s="344">
        <f t="shared" si="169"/>
        <v>3042211</v>
      </c>
      <c r="AS8" s="344">
        <f t="shared" si="169"/>
        <v>3042211</v>
      </c>
      <c r="AT8" s="344">
        <f t="shared" si="169"/>
        <v>2864974</v>
      </c>
      <c r="AU8" s="344">
        <f t="shared" si="169"/>
        <v>2864974</v>
      </c>
      <c r="AV8" s="344">
        <f t="shared" si="169"/>
        <v>2864974</v>
      </c>
      <c r="AW8" s="344">
        <f t="shared" si="169"/>
        <v>2864974</v>
      </c>
      <c r="AX8" s="344">
        <f t="shared" si="169"/>
        <v>2698063</v>
      </c>
      <c r="AY8" s="344">
        <f t="shared" si="169"/>
        <v>2698063</v>
      </c>
      <c r="AZ8" s="344">
        <f t="shared" si="169"/>
        <v>2698063</v>
      </c>
      <c r="BA8" s="344">
        <f t="shared" si="169"/>
        <v>2698063</v>
      </c>
      <c r="BB8" s="344">
        <f t="shared" si="169"/>
        <v>2540876</v>
      </c>
      <c r="BC8" s="344">
        <f t="shared" si="169"/>
        <v>2540876</v>
      </c>
      <c r="BD8" s="344">
        <f t="shared" si="169"/>
        <v>2540876</v>
      </c>
      <c r="BE8" s="344">
        <f t="shared" si="169"/>
        <v>2540876</v>
      </c>
      <c r="BF8" s="344">
        <f t="shared" si="169"/>
        <v>2392847</v>
      </c>
      <c r="BG8" s="344">
        <f t="shared" si="169"/>
        <v>2392847</v>
      </c>
      <c r="BH8" s="344">
        <f t="shared" si="169"/>
        <v>2392847</v>
      </c>
      <c r="BI8" s="344">
        <f t="shared" si="169"/>
        <v>2392847</v>
      </c>
      <c r="BJ8" s="344">
        <f t="shared" si="169"/>
        <v>2253442</v>
      </c>
      <c r="BK8" s="344">
        <f t="shared" si="169"/>
        <v>2253442</v>
      </c>
      <c r="BL8" s="344">
        <f t="shared" si="169"/>
        <v>2253442</v>
      </c>
      <c r="BM8" s="344">
        <f t="shared" si="169"/>
        <v>2253442</v>
      </c>
      <c r="BN8" s="344">
        <f t="shared" si="169"/>
        <v>2122158</v>
      </c>
      <c r="BO8" s="344">
        <f t="shared" si="169"/>
        <v>2122158</v>
      </c>
      <c r="BP8" s="344">
        <f t="shared" si="169"/>
        <v>2122158</v>
      </c>
      <c r="BQ8" s="344">
        <f t="shared" si="169"/>
        <v>2122158</v>
      </c>
      <c r="BR8" s="344">
        <f t="shared" si="169"/>
        <v>1998523</v>
      </c>
      <c r="BS8" s="344">
        <f t="shared" si="169"/>
        <v>1998523</v>
      </c>
      <c r="BT8" s="344">
        <f t="shared" si="169"/>
        <v>1998523</v>
      </c>
      <c r="BU8" s="344">
        <f t="shared" si="169"/>
        <v>1998523</v>
      </c>
      <c r="BV8" s="344">
        <f t="shared" si="169"/>
        <v>1882090</v>
      </c>
      <c r="BW8" s="344">
        <f t="shared" ref="BW8:EH8" si="170">SUM(BW3:BW7)</f>
        <v>1882090</v>
      </c>
      <c r="BX8" s="344">
        <f t="shared" si="170"/>
        <v>1882090</v>
      </c>
      <c r="BY8" s="344">
        <f t="shared" si="170"/>
        <v>1882090</v>
      </c>
      <c r="BZ8" s="344">
        <f t="shared" si="170"/>
        <v>1772441</v>
      </c>
      <c r="CA8" s="344">
        <f t="shared" si="170"/>
        <v>1772441</v>
      </c>
      <c r="CB8" s="344">
        <f t="shared" si="170"/>
        <v>1772441</v>
      </c>
      <c r="CC8" s="344">
        <f t="shared" si="170"/>
        <v>1772441</v>
      </c>
      <c r="CD8" s="344">
        <f t="shared" si="170"/>
        <v>1669180</v>
      </c>
      <c r="CE8" s="344">
        <f t="shared" si="170"/>
        <v>1669180</v>
      </c>
      <c r="CF8" s="344">
        <f t="shared" si="170"/>
        <v>1669180</v>
      </c>
      <c r="CG8" s="344">
        <f t="shared" si="170"/>
        <v>1669180</v>
      </c>
      <c r="CH8" s="344">
        <f t="shared" si="170"/>
        <v>1571935</v>
      </c>
      <c r="CI8" s="344">
        <f t="shared" si="170"/>
        <v>1571935</v>
      </c>
      <c r="CJ8" s="344">
        <f t="shared" si="170"/>
        <v>1571935</v>
      </c>
      <c r="CK8" s="344">
        <f t="shared" si="170"/>
        <v>1571935</v>
      </c>
      <c r="CL8" s="344">
        <f t="shared" si="170"/>
        <v>1480355</v>
      </c>
      <c r="CM8" s="344">
        <f t="shared" si="170"/>
        <v>1480355</v>
      </c>
      <c r="CN8" s="344">
        <f t="shared" si="170"/>
        <v>1480355</v>
      </c>
      <c r="CO8" s="344">
        <f t="shared" si="170"/>
        <v>1480355</v>
      </c>
      <c r="CP8" s="344">
        <f t="shared" si="170"/>
        <v>1394111</v>
      </c>
      <c r="CQ8" s="344">
        <f t="shared" si="170"/>
        <v>1394111</v>
      </c>
      <c r="CR8" s="344">
        <f t="shared" si="170"/>
        <v>1394111</v>
      </c>
      <c r="CS8" s="344">
        <f t="shared" si="170"/>
        <v>1394111</v>
      </c>
      <c r="CT8" s="344">
        <f t="shared" si="170"/>
        <v>1312892</v>
      </c>
      <c r="CU8" s="344">
        <f t="shared" si="170"/>
        <v>1312892</v>
      </c>
      <c r="CV8" s="344">
        <f t="shared" si="170"/>
        <v>1312892</v>
      </c>
      <c r="CW8" s="344">
        <f t="shared" si="170"/>
        <v>1312892</v>
      </c>
      <c r="CX8" s="344">
        <f t="shared" si="170"/>
        <v>1236404</v>
      </c>
      <c r="CY8" s="344">
        <f t="shared" si="170"/>
        <v>1236404</v>
      </c>
      <c r="CZ8" s="344">
        <f t="shared" si="170"/>
        <v>1236404</v>
      </c>
      <c r="DA8" s="344">
        <f t="shared" si="170"/>
        <v>1236404</v>
      </c>
      <c r="DB8" s="344">
        <f t="shared" si="170"/>
        <v>1164372</v>
      </c>
      <c r="DC8" s="344">
        <f t="shared" si="170"/>
        <v>1164372</v>
      </c>
      <c r="DD8" s="344">
        <f t="shared" si="170"/>
        <v>1164372</v>
      </c>
      <c r="DE8" s="344">
        <f t="shared" si="170"/>
        <v>1164372</v>
      </c>
      <c r="DF8" s="344">
        <f t="shared" si="170"/>
        <v>1096537</v>
      </c>
      <c r="DG8" s="344">
        <f t="shared" si="170"/>
        <v>1096537</v>
      </c>
      <c r="DH8" s="344">
        <f t="shared" si="170"/>
        <v>1096537</v>
      </c>
      <c r="DI8" s="344">
        <f t="shared" si="170"/>
        <v>1096537</v>
      </c>
      <c r="DJ8" s="344">
        <f t="shared" si="170"/>
        <v>1032654</v>
      </c>
      <c r="DK8" s="344">
        <f t="shared" si="170"/>
        <v>1032654</v>
      </c>
      <c r="DL8" s="344">
        <f t="shared" si="170"/>
        <v>1032654</v>
      </c>
      <c r="DM8" s="344">
        <f t="shared" si="170"/>
        <v>1032654</v>
      </c>
      <c r="DN8" s="344">
        <f t="shared" si="170"/>
        <v>972492</v>
      </c>
      <c r="DO8" s="344">
        <f t="shared" si="170"/>
        <v>972492</v>
      </c>
      <c r="DP8" s="344">
        <f t="shared" si="170"/>
        <v>972492</v>
      </c>
      <c r="DQ8" s="344">
        <f t="shared" si="170"/>
        <v>972492</v>
      </c>
      <c r="DR8" s="344">
        <f t="shared" si="170"/>
        <v>915836</v>
      </c>
      <c r="DS8" s="344">
        <f t="shared" si="170"/>
        <v>915836</v>
      </c>
      <c r="DT8" s="344">
        <f t="shared" si="170"/>
        <v>915836</v>
      </c>
      <c r="DU8" s="344">
        <f t="shared" si="170"/>
        <v>915836</v>
      </c>
      <c r="DV8" s="344">
        <f t="shared" si="170"/>
        <v>862480</v>
      </c>
      <c r="DW8" s="344">
        <f t="shared" si="170"/>
        <v>862480</v>
      </c>
      <c r="DX8" s="344">
        <f t="shared" si="170"/>
        <v>862480</v>
      </c>
      <c r="DY8" s="344">
        <f t="shared" si="170"/>
        <v>862480</v>
      </c>
      <c r="DZ8" s="344">
        <f t="shared" si="170"/>
        <v>812232</v>
      </c>
      <c r="EA8" s="344">
        <f t="shared" si="170"/>
        <v>812232</v>
      </c>
      <c r="EB8" s="344">
        <f t="shared" si="170"/>
        <v>812232</v>
      </c>
      <c r="EC8" s="344">
        <f t="shared" si="170"/>
        <v>812232</v>
      </c>
      <c r="ED8" s="344">
        <f t="shared" si="170"/>
        <v>764913</v>
      </c>
      <c r="EE8" s="344">
        <f t="shared" si="170"/>
        <v>764913</v>
      </c>
      <c r="EF8" s="344">
        <f t="shared" si="170"/>
        <v>764913</v>
      </c>
      <c r="EG8" s="344">
        <f t="shared" si="170"/>
        <v>764913</v>
      </c>
      <c r="EH8" s="344">
        <f t="shared" si="170"/>
        <v>720350</v>
      </c>
      <c r="EI8" s="344">
        <f t="shared" ref="EI8:EO8" si="171">SUM(EI3:EI7)</f>
        <v>720350</v>
      </c>
      <c r="EJ8" s="344">
        <f t="shared" si="171"/>
        <v>720350</v>
      </c>
      <c r="EK8" s="344">
        <f t="shared" si="171"/>
        <v>720350</v>
      </c>
      <c r="EL8" s="344">
        <f t="shared" si="171"/>
        <v>678383</v>
      </c>
      <c r="EM8" s="344">
        <f t="shared" si="171"/>
        <v>678383</v>
      </c>
      <c r="EN8" s="344">
        <f t="shared" si="171"/>
        <v>678383</v>
      </c>
      <c r="EO8" s="344">
        <f t="shared" si="171"/>
        <v>678383</v>
      </c>
      <c r="EP8" s="344">
        <f>SUM(EP3:EP7)</f>
        <v>638861</v>
      </c>
      <c r="EQ8" s="344">
        <f t="shared" ref="EQ8:ES8" si="172">SUM(EQ3:EQ7)</f>
        <v>638861</v>
      </c>
      <c r="ER8" s="344">
        <f t="shared" si="172"/>
        <v>638861</v>
      </c>
      <c r="ES8" s="344">
        <f t="shared" si="172"/>
        <v>638861</v>
      </c>
      <c r="ET8" s="57">
        <f>SUM(ET3:ET7)</f>
        <v>296316568</v>
      </c>
      <c r="EU8" s="40"/>
    </row>
    <row r="9" spans="1:268" ht="21" customHeight="1">
      <c r="A9" s="98"/>
      <c r="B9" s="98"/>
      <c r="C9" s="98"/>
      <c r="D9" s="98"/>
      <c r="E9" s="63"/>
      <c r="F9" s="64"/>
      <c r="G9" s="65"/>
      <c r="H9" s="66"/>
      <c r="I9" s="64"/>
      <c r="J9" s="64"/>
      <c r="K9" s="64"/>
      <c r="L9" s="349"/>
      <c r="M9" s="349"/>
      <c r="N9" s="350"/>
      <c r="O9" s="350"/>
      <c r="P9" s="350"/>
      <c r="Q9" s="350"/>
      <c r="R9" s="350"/>
      <c r="S9" s="350"/>
      <c r="T9" s="350"/>
      <c r="U9" s="350"/>
      <c r="V9" s="350"/>
      <c r="W9" s="350"/>
      <c r="X9" s="350"/>
      <c r="Y9" s="350"/>
      <c r="Z9" s="350"/>
      <c r="AA9" s="350"/>
      <c r="AB9" s="350"/>
      <c r="AC9" s="350"/>
      <c r="AD9" s="350"/>
      <c r="AE9" s="350"/>
      <c r="AF9" s="350"/>
      <c r="AG9" s="350"/>
      <c r="AH9" s="350"/>
      <c r="AI9" s="350"/>
      <c r="AJ9" s="350"/>
      <c r="AK9" s="350"/>
      <c r="AL9" s="350"/>
      <c r="AM9" s="350"/>
      <c r="AN9" s="350"/>
      <c r="AO9" s="350"/>
      <c r="AP9" s="350"/>
      <c r="AQ9" s="350"/>
      <c r="AR9" s="350"/>
      <c r="AS9" s="350"/>
      <c r="AT9" s="350"/>
      <c r="AU9" s="350"/>
      <c r="AV9" s="350"/>
      <c r="AW9" s="350"/>
      <c r="AX9" s="350"/>
      <c r="AY9" s="350"/>
      <c r="AZ9" s="350"/>
      <c r="BA9" s="350"/>
      <c r="BB9" s="350"/>
      <c r="BC9" s="350"/>
      <c r="BD9" s="350"/>
      <c r="BE9" s="350"/>
      <c r="BF9" s="350"/>
      <c r="BG9" s="350"/>
      <c r="BH9" s="350"/>
      <c r="BI9" s="350"/>
      <c r="BJ9" s="350"/>
      <c r="BK9" s="350"/>
      <c r="BL9" s="350"/>
      <c r="BM9" s="350"/>
      <c r="BN9" s="350"/>
      <c r="BO9" s="350"/>
      <c r="BP9" s="350"/>
      <c r="BQ9" s="350"/>
      <c r="BR9" s="350"/>
      <c r="BS9" s="350"/>
      <c r="BT9" s="350"/>
      <c r="BU9" s="350"/>
      <c r="BV9" s="350"/>
      <c r="BW9" s="350"/>
      <c r="BX9" s="350"/>
      <c r="BY9" s="350"/>
      <c r="BZ9" s="350"/>
      <c r="CA9" s="350"/>
      <c r="CB9" s="350"/>
      <c r="CC9" s="350"/>
      <c r="CD9" s="350"/>
      <c r="CE9" s="350"/>
      <c r="CF9" s="350"/>
      <c r="CG9" s="350"/>
      <c r="CH9" s="350"/>
      <c r="CI9" s="350"/>
      <c r="CJ9" s="350"/>
      <c r="CK9" s="350"/>
      <c r="CL9" s="350"/>
      <c r="CM9" s="350"/>
      <c r="CN9" s="350"/>
      <c r="CO9" s="350"/>
      <c r="CP9" s="350"/>
      <c r="CQ9" s="350"/>
      <c r="CR9" s="350"/>
      <c r="CS9" s="350"/>
      <c r="CT9" s="350"/>
      <c r="CU9" s="350"/>
      <c r="CV9" s="350"/>
      <c r="CW9" s="350"/>
      <c r="CX9" s="350"/>
      <c r="CY9" s="350"/>
      <c r="CZ9" s="350"/>
      <c r="DA9" s="350"/>
      <c r="DB9" s="350"/>
      <c r="DC9" s="350"/>
      <c r="DD9" s="350"/>
      <c r="DE9" s="350"/>
      <c r="DF9" s="350"/>
      <c r="DG9" s="350"/>
      <c r="DH9" s="350"/>
      <c r="DI9" s="350"/>
      <c r="DJ9" s="350"/>
      <c r="DK9" s="350"/>
      <c r="DL9" s="350"/>
      <c r="DM9" s="350"/>
      <c r="DN9" s="350"/>
      <c r="DO9" s="350"/>
      <c r="DP9" s="350"/>
      <c r="DQ9" s="350"/>
      <c r="DR9" s="350"/>
      <c r="DS9" s="350"/>
      <c r="DT9" s="350"/>
      <c r="DU9" s="350"/>
      <c r="DV9" s="350"/>
      <c r="DW9" s="350"/>
      <c r="DX9" s="350"/>
      <c r="DY9" s="350"/>
      <c r="DZ9" s="350"/>
      <c r="EA9" s="350"/>
      <c r="EB9" s="350"/>
      <c r="EC9" s="350"/>
      <c r="ED9" s="350"/>
      <c r="EE9" s="350"/>
      <c r="EF9" s="350"/>
      <c r="EG9" s="350"/>
      <c r="EH9" s="350"/>
      <c r="EI9" s="350"/>
      <c r="EJ9" s="350"/>
      <c r="EK9" s="350"/>
      <c r="EL9" s="350"/>
      <c r="EM9" s="350"/>
      <c r="EN9" s="350"/>
      <c r="EO9" s="350"/>
      <c r="EP9" s="350"/>
      <c r="EQ9" s="350"/>
      <c r="ER9" s="350"/>
      <c r="ES9" s="350"/>
      <c r="ET9" s="350"/>
      <c r="EU9" s="40"/>
    </row>
    <row r="10" spans="1:268" ht="21" customHeight="1">
      <c r="A10" s="59"/>
      <c r="B10" s="203"/>
      <c r="C10" s="204"/>
      <c r="D10" s="205"/>
      <c r="E10" s="63"/>
      <c r="F10" s="64"/>
      <c r="G10" s="65"/>
      <c r="H10" s="66"/>
      <c r="I10" s="64"/>
      <c r="EU10" s="40"/>
    </row>
    <row r="11" spans="1:268">
      <c r="A11" s="59"/>
      <c r="B11" s="113"/>
      <c r="C11" s="113"/>
      <c r="D11" s="114"/>
      <c r="E11" s="443">
        <v>1</v>
      </c>
      <c r="F11" s="443"/>
      <c r="G11" s="443"/>
      <c r="H11" s="443"/>
      <c r="I11" s="443">
        <v>2</v>
      </c>
      <c r="J11" s="443"/>
      <c r="K11" s="443"/>
      <c r="L11" s="443"/>
      <c r="M11" s="443">
        <v>3</v>
      </c>
      <c r="N11" s="443"/>
      <c r="O11" s="443"/>
      <c r="P11" s="443"/>
      <c r="Q11" s="443">
        <v>4</v>
      </c>
      <c r="R11" s="443"/>
      <c r="S11" s="443"/>
      <c r="T11" s="443"/>
      <c r="U11" s="443">
        <v>5</v>
      </c>
      <c r="V11" s="443"/>
      <c r="W11" s="443"/>
      <c r="X11" s="443"/>
      <c r="Y11" s="443">
        <v>6</v>
      </c>
      <c r="Z11" s="443"/>
      <c r="AA11" s="443"/>
      <c r="AB11" s="443"/>
      <c r="AC11" s="443">
        <v>7</v>
      </c>
      <c r="AD11" s="443"/>
      <c r="AE11" s="443"/>
      <c r="AF11" s="443"/>
      <c r="AG11" s="443">
        <v>8</v>
      </c>
      <c r="AH11" s="443"/>
      <c r="AI11" s="443"/>
      <c r="AJ11" s="443"/>
      <c r="AK11" s="443">
        <v>9</v>
      </c>
      <c r="AL11" s="443"/>
      <c r="AM11" s="443"/>
      <c r="AN11" s="443"/>
      <c r="AO11" s="443">
        <v>10</v>
      </c>
      <c r="AP11" s="443"/>
      <c r="AQ11" s="443"/>
      <c r="AR11" s="443"/>
      <c r="AS11" s="443">
        <v>11</v>
      </c>
      <c r="AT11" s="443"/>
      <c r="AU11" s="443"/>
      <c r="AV11" s="443"/>
      <c r="AW11" s="443">
        <v>12</v>
      </c>
      <c r="AX11" s="443"/>
      <c r="AY11" s="443"/>
      <c r="AZ11" s="443"/>
      <c r="BA11" s="443">
        <v>13</v>
      </c>
      <c r="BB11" s="443"/>
      <c r="BC11" s="443"/>
      <c r="BD11" s="443"/>
      <c r="BE11" s="443">
        <v>14</v>
      </c>
      <c r="BF11" s="443"/>
      <c r="BG11" s="443"/>
      <c r="BH11" s="443"/>
      <c r="BI11" s="443">
        <v>15</v>
      </c>
      <c r="BJ11" s="443"/>
      <c r="BK11" s="443"/>
      <c r="BL11" s="443"/>
      <c r="BM11" s="443">
        <v>16</v>
      </c>
      <c r="BN11" s="443"/>
      <c r="BO11" s="443"/>
      <c r="BP11" s="443"/>
      <c r="BQ11" s="443">
        <v>17</v>
      </c>
      <c r="BR11" s="443"/>
      <c r="BS11" s="443"/>
      <c r="BT11" s="443"/>
      <c r="BU11" s="443">
        <v>18</v>
      </c>
      <c r="BV11" s="443"/>
      <c r="BW11" s="443"/>
      <c r="BX11" s="443"/>
      <c r="BY11" s="443">
        <v>19</v>
      </c>
      <c r="BZ11" s="443"/>
      <c r="CA11" s="443"/>
      <c r="CB11" s="443"/>
      <c r="CC11" s="443">
        <v>20</v>
      </c>
      <c r="CD11" s="443"/>
      <c r="CE11" s="443"/>
      <c r="CF11" s="443"/>
      <c r="CG11" s="443">
        <v>21</v>
      </c>
      <c r="CH11" s="443"/>
      <c r="CI11" s="443"/>
      <c r="CJ11" s="443"/>
      <c r="CK11" s="443">
        <v>22</v>
      </c>
      <c r="CL11" s="443"/>
      <c r="CM11" s="443"/>
      <c r="CN11" s="443"/>
      <c r="CO11" s="443">
        <v>23</v>
      </c>
      <c r="CP11" s="443"/>
      <c r="CQ11" s="443"/>
      <c r="CR11" s="443"/>
      <c r="CS11" s="443">
        <v>24</v>
      </c>
      <c r="CT11" s="443"/>
      <c r="CU11" s="443"/>
      <c r="CV11" s="443"/>
      <c r="CW11" s="443">
        <v>25</v>
      </c>
      <c r="CX11" s="443"/>
      <c r="CY11" s="443"/>
      <c r="CZ11" s="443"/>
      <c r="DA11" s="443">
        <v>26</v>
      </c>
      <c r="DB11" s="443"/>
      <c r="DC11" s="443"/>
      <c r="DD11" s="443"/>
      <c r="DE11" s="443">
        <v>27</v>
      </c>
      <c r="DF11" s="443"/>
      <c r="DG11" s="443"/>
      <c r="DH11" s="443"/>
      <c r="DI11" s="443">
        <v>28</v>
      </c>
      <c r="DJ11" s="443"/>
      <c r="DK11" s="443"/>
      <c r="DL11" s="443"/>
      <c r="DM11" s="443">
        <v>29</v>
      </c>
      <c r="DN11" s="443"/>
      <c r="DO11" s="443"/>
      <c r="DP11" s="443"/>
      <c r="DQ11" s="443">
        <v>30</v>
      </c>
      <c r="DR11" s="443"/>
      <c r="DS11" s="443"/>
      <c r="DT11" s="443"/>
      <c r="DU11" s="443">
        <v>31</v>
      </c>
      <c r="DV11" s="443"/>
      <c r="DW11" s="443"/>
      <c r="DX11" s="443"/>
      <c r="DY11" s="443">
        <v>32</v>
      </c>
      <c r="DZ11" s="443"/>
      <c r="EA11" s="443"/>
      <c r="EB11" s="443"/>
      <c r="EC11" s="443">
        <v>33</v>
      </c>
      <c r="ED11" s="443"/>
      <c r="EE11" s="443"/>
      <c r="EF11" s="443"/>
      <c r="EG11" s="443">
        <v>34</v>
      </c>
      <c r="EH11" s="443"/>
      <c r="EI11" s="443"/>
      <c r="EJ11" s="443"/>
      <c r="EK11" s="443">
        <v>35</v>
      </c>
      <c r="EL11" s="443"/>
      <c r="EM11" s="443"/>
      <c r="EN11" s="443"/>
      <c r="EO11" s="115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67"/>
    </row>
    <row r="12" spans="1:268" s="209" customFormat="1" ht="18.75" customHeight="1">
      <c r="A12" s="206"/>
      <c r="B12" s="116" t="s">
        <v>791</v>
      </c>
      <c r="C12" s="116" t="s">
        <v>1203</v>
      </c>
      <c r="D12" s="117" t="s">
        <v>1204</v>
      </c>
      <c r="E12" s="118" t="str">
        <f>J1</f>
        <v>2018年2季度</v>
      </c>
      <c r="F12" s="118" t="str">
        <f t="shared" ref="F12:BQ12" si="173">K1</f>
        <v>2018年3季度</v>
      </c>
      <c r="G12" s="118" t="str">
        <f t="shared" si="173"/>
        <v>2018年4季度</v>
      </c>
      <c r="H12" s="118" t="str">
        <f t="shared" si="173"/>
        <v>2019年1季度</v>
      </c>
      <c r="I12" s="118" t="str">
        <f t="shared" si="173"/>
        <v>2019年2季度</v>
      </c>
      <c r="J12" s="118" t="str">
        <f t="shared" si="173"/>
        <v>2019年3季度</v>
      </c>
      <c r="K12" s="118" t="str">
        <f t="shared" si="173"/>
        <v>2019年4季度</v>
      </c>
      <c r="L12" s="118" t="str">
        <f t="shared" si="173"/>
        <v>2020年1季度</v>
      </c>
      <c r="M12" s="118" t="str">
        <f t="shared" si="173"/>
        <v>2020年2季度</v>
      </c>
      <c r="N12" s="118" t="str">
        <f t="shared" si="173"/>
        <v>2020年3季度</v>
      </c>
      <c r="O12" s="118" t="str">
        <f t="shared" si="173"/>
        <v>2020年4季度</v>
      </c>
      <c r="P12" s="118" t="str">
        <f t="shared" si="173"/>
        <v>2021年1季度</v>
      </c>
      <c r="Q12" s="118" t="str">
        <f t="shared" si="173"/>
        <v>2021年2季度</v>
      </c>
      <c r="R12" s="118" t="str">
        <f t="shared" si="173"/>
        <v>2021年3季度</v>
      </c>
      <c r="S12" s="118" t="str">
        <f t="shared" si="173"/>
        <v>2021年4季度</v>
      </c>
      <c r="T12" s="118" t="str">
        <f t="shared" si="173"/>
        <v>2022年1季度</v>
      </c>
      <c r="U12" s="118" t="str">
        <f t="shared" si="173"/>
        <v>2022年2季度</v>
      </c>
      <c r="V12" s="118" t="str">
        <f t="shared" si="173"/>
        <v>2022年3季度</v>
      </c>
      <c r="W12" s="118" t="str">
        <f t="shared" si="173"/>
        <v>2022年4季度</v>
      </c>
      <c r="X12" s="118" t="str">
        <f t="shared" si="173"/>
        <v>2023年1季度</v>
      </c>
      <c r="Y12" s="118" t="str">
        <f t="shared" si="173"/>
        <v>2023年2季度</v>
      </c>
      <c r="Z12" s="118" t="str">
        <f t="shared" si="173"/>
        <v>2023年3季度</v>
      </c>
      <c r="AA12" s="118" t="str">
        <f t="shared" si="173"/>
        <v>2023年4季度</v>
      </c>
      <c r="AB12" s="118" t="str">
        <f t="shared" si="173"/>
        <v>2024年1季度</v>
      </c>
      <c r="AC12" s="118" t="str">
        <f t="shared" si="173"/>
        <v>2024年2季度</v>
      </c>
      <c r="AD12" s="118" t="str">
        <f t="shared" si="173"/>
        <v>2024年3季度</v>
      </c>
      <c r="AE12" s="118" t="str">
        <f t="shared" si="173"/>
        <v>2024年4季度</v>
      </c>
      <c r="AF12" s="118" t="str">
        <f t="shared" si="173"/>
        <v>2025年1季度</v>
      </c>
      <c r="AG12" s="118" t="str">
        <f t="shared" si="173"/>
        <v>2025年2季度</v>
      </c>
      <c r="AH12" s="118" t="str">
        <f t="shared" si="173"/>
        <v>2025年3季度</v>
      </c>
      <c r="AI12" s="118" t="str">
        <f t="shared" si="173"/>
        <v>2025年4季度</v>
      </c>
      <c r="AJ12" s="118" t="str">
        <f t="shared" si="173"/>
        <v>2026年1季度</v>
      </c>
      <c r="AK12" s="118" t="str">
        <f t="shared" si="173"/>
        <v>2026年2季度</v>
      </c>
      <c r="AL12" s="118" t="str">
        <f t="shared" si="173"/>
        <v>2026年3季度</v>
      </c>
      <c r="AM12" s="118" t="str">
        <f t="shared" si="173"/>
        <v>2026年4季度</v>
      </c>
      <c r="AN12" s="118" t="str">
        <f t="shared" si="173"/>
        <v>2027年1季度</v>
      </c>
      <c r="AO12" s="118" t="str">
        <f t="shared" si="173"/>
        <v>2027年2季度</v>
      </c>
      <c r="AP12" s="118" t="str">
        <f t="shared" si="173"/>
        <v>2027年3季度</v>
      </c>
      <c r="AQ12" s="118" t="str">
        <f t="shared" si="173"/>
        <v>2027年4季度</v>
      </c>
      <c r="AR12" s="118" t="str">
        <f t="shared" si="173"/>
        <v>2028年1季度</v>
      </c>
      <c r="AS12" s="118" t="str">
        <f t="shared" si="173"/>
        <v>2028年2季度</v>
      </c>
      <c r="AT12" s="118" t="str">
        <f t="shared" si="173"/>
        <v>2028年3季度</v>
      </c>
      <c r="AU12" s="118" t="str">
        <f t="shared" si="173"/>
        <v>2028年4季度</v>
      </c>
      <c r="AV12" s="118" t="str">
        <f t="shared" si="173"/>
        <v>2029年1季度</v>
      </c>
      <c r="AW12" s="118" t="str">
        <f t="shared" si="173"/>
        <v>2029年2季度</v>
      </c>
      <c r="AX12" s="118" t="str">
        <f t="shared" si="173"/>
        <v>2029年3季度</v>
      </c>
      <c r="AY12" s="118" t="str">
        <f t="shared" si="173"/>
        <v>2029年4季度</v>
      </c>
      <c r="AZ12" s="118" t="str">
        <f t="shared" si="173"/>
        <v>2030年1季度</v>
      </c>
      <c r="BA12" s="118" t="str">
        <f t="shared" si="173"/>
        <v>2030年2季度</v>
      </c>
      <c r="BB12" s="118" t="str">
        <f t="shared" si="173"/>
        <v>2030年3季度</v>
      </c>
      <c r="BC12" s="118" t="str">
        <f t="shared" si="173"/>
        <v>2030年4季度</v>
      </c>
      <c r="BD12" s="118" t="str">
        <f t="shared" si="173"/>
        <v>2031年1季度</v>
      </c>
      <c r="BE12" s="118" t="str">
        <f t="shared" si="173"/>
        <v>2031年2季度</v>
      </c>
      <c r="BF12" s="118" t="str">
        <f t="shared" si="173"/>
        <v>2031年3季度</v>
      </c>
      <c r="BG12" s="118" t="str">
        <f t="shared" si="173"/>
        <v>2031年4季度</v>
      </c>
      <c r="BH12" s="118" t="str">
        <f t="shared" si="173"/>
        <v>2032年1季度</v>
      </c>
      <c r="BI12" s="118" t="str">
        <f t="shared" si="173"/>
        <v>2032年2季度</v>
      </c>
      <c r="BJ12" s="118" t="str">
        <f t="shared" si="173"/>
        <v>2032年3季度</v>
      </c>
      <c r="BK12" s="118" t="str">
        <f t="shared" si="173"/>
        <v>2032年4季度</v>
      </c>
      <c r="BL12" s="118" t="str">
        <f t="shared" si="173"/>
        <v>2033年1季度</v>
      </c>
      <c r="BM12" s="118" t="str">
        <f t="shared" si="173"/>
        <v>2033年2季度</v>
      </c>
      <c r="BN12" s="118" t="str">
        <f t="shared" si="173"/>
        <v>2033年3季度</v>
      </c>
      <c r="BO12" s="118" t="str">
        <f t="shared" si="173"/>
        <v>2033年4季度</v>
      </c>
      <c r="BP12" s="118" t="str">
        <f t="shared" si="173"/>
        <v>2034年1季度</v>
      </c>
      <c r="BQ12" s="118" t="str">
        <f t="shared" si="173"/>
        <v>2034年2季度</v>
      </c>
      <c r="BR12" s="118" t="str">
        <f t="shared" ref="BR12:CJ12" si="174">BW1</f>
        <v>2034年3季度</v>
      </c>
      <c r="BS12" s="118" t="str">
        <f t="shared" si="174"/>
        <v>2034年4季度</v>
      </c>
      <c r="BT12" s="118" t="str">
        <f t="shared" si="174"/>
        <v>2035年1季度</v>
      </c>
      <c r="BU12" s="118" t="str">
        <f t="shared" si="174"/>
        <v>2035年2季度</v>
      </c>
      <c r="BV12" s="118" t="str">
        <f t="shared" si="174"/>
        <v>2035年3季度</v>
      </c>
      <c r="BW12" s="118" t="str">
        <f t="shared" si="174"/>
        <v>2035年4季度</v>
      </c>
      <c r="BX12" s="118" t="str">
        <f t="shared" si="174"/>
        <v>2036年1季度</v>
      </c>
      <c r="BY12" s="118" t="str">
        <f t="shared" si="174"/>
        <v>2036年2季度</v>
      </c>
      <c r="BZ12" s="118" t="str">
        <f t="shared" si="174"/>
        <v>2036年3季度</v>
      </c>
      <c r="CA12" s="118" t="str">
        <f t="shared" si="174"/>
        <v>2036年4季度</v>
      </c>
      <c r="CB12" s="118" t="str">
        <f t="shared" si="174"/>
        <v>2037年1季度</v>
      </c>
      <c r="CC12" s="118" t="str">
        <f t="shared" si="174"/>
        <v>2037年2季度</v>
      </c>
      <c r="CD12" s="118" t="str">
        <f t="shared" si="174"/>
        <v>2037年3季度</v>
      </c>
      <c r="CE12" s="118" t="str">
        <f t="shared" si="174"/>
        <v>2037年4季度</v>
      </c>
      <c r="CF12" s="118" t="str">
        <f t="shared" si="174"/>
        <v>2038年1季度</v>
      </c>
      <c r="CG12" s="118" t="str">
        <f t="shared" si="174"/>
        <v>2038年2季度</v>
      </c>
      <c r="CH12" s="118" t="str">
        <f t="shared" si="174"/>
        <v>2038年3季度</v>
      </c>
      <c r="CI12" s="118" t="str">
        <f t="shared" si="174"/>
        <v>2038年4季度</v>
      </c>
      <c r="CJ12" s="118" t="str">
        <f t="shared" si="174"/>
        <v>2039年1季度</v>
      </c>
      <c r="CK12" s="346" t="str">
        <f t="shared" ref="CK12" si="175">CP1</f>
        <v>2039年2季度</v>
      </c>
      <c r="CL12" s="346" t="str">
        <f t="shared" ref="CL12" si="176">CQ1</f>
        <v>2039年3季度</v>
      </c>
      <c r="CM12" s="346" t="str">
        <f t="shared" ref="CM12" si="177">CR1</f>
        <v>2039年4季度</v>
      </c>
      <c r="CN12" s="346" t="str">
        <f t="shared" ref="CN12" si="178">CS1</f>
        <v>2040年1季度</v>
      </c>
      <c r="CO12" s="346" t="str">
        <f t="shared" ref="CO12" si="179">CT1</f>
        <v>2040年2季度</v>
      </c>
      <c r="CP12" s="346" t="str">
        <f t="shared" ref="CP12" si="180">CU1</f>
        <v>2040年3季度</v>
      </c>
      <c r="CQ12" s="346" t="str">
        <f t="shared" ref="CQ12" si="181">CV1</f>
        <v>2040年4季度</v>
      </c>
      <c r="CR12" s="346" t="str">
        <f t="shared" ref="CR12" si="182">CW1</f>
        <v>2041年1季度</v>
      </c>
      <c r="CS12" s="346" t="str">
        <f t="shared" ref="CS12" si="183">CX1</f>
        <v>2041年2季度</v>
      </c>
      <c r="CT12" s="346" t="str">
        <f t="shared" ref="CT12" si="184">CY1</f>
        <v>2041年3季度</v>
      </c>
      <c r="CU12" s="346" t="str">
        <f t="shared" ref="CU12" si="185">CZ1</f>
        <v>2041年4季度</v>
      </c>
      <c r="CV12" s="346" t="str">
        <f t="shared" ref="CV12" si="186">DA1</f>
        <v>2042年1季度</v>
      </c>
      <c r="CW12" s="346" t="str">
        <f t="shared" ref="CW12" si="187">DB1</f>
        <v>2042年2季度</v>
      </c>
      <c r="CX12" s="346" t="str">
        <f t="shared" ref="CX12" si="188">DC1</f>
        <v>2042年3季度</v>
      </c>
      <c r="CY12" s="346" t="str">
        <f t="shared" ref="CY12" si="189">DD1</f>
        <v>2042年4季度</v>
      </c>
      <c r="CZ12" s="346" t="str">
        <f t="shared" ref="CZ12" si="190">DE1</f>
        <v>2043年1季度</v>
      </c>
      <c r="DA12" s="346" t="str">
        <f t="shared" ref="DA12" si="191">DF1</f>
        <v>2043年2季度</v>
      </c>
      <c r="DB12" s="346" t="str">
        <f t="shared" ref="DB12" si="192">DG1</f>
        <v>2043年3季度</v>
      </c>
      <c r="DC12" s="346" t="str">
        <f t="shared" ref="DC12" si="193">DH1</f>
        <v>2043年4季度</v>
      </c>
      <c r="DD12" s="346" t="str">
        <f t="shared" ref="DD12" si="194">DI1</f>
        <v>2044年1季度</v>
      </c>
      <c r="DE12" s="346" t="str">
        <f t="shared" ref="DE12" si="195">DJ1</f>
        <v>2044年2季度</v>
      </c>
      <c r="DF12" s="346" t="str">
        <f t="shared" ref="DF12" si="196">DK1</f>
        <v>2044年3季度</v>
      </c>
      <c r="DG12" s="346" t="str">
        <f t="shared" ref="DG12" si="197">DL1</f>
        <v>2044年4季度</v>
      </c>
      <c r="DH12" s="346" t="str">
        <f t="shared" ref="DH12" si="198">DM1</f>
        <v>2045年1季度</v>
      </c>
      <c r="DI12" s="346" t="str">
        <f t="shared" ref="DI12" si="199">DN1</f>
        <v>2045年2季度</v>
      </c>
      <c r="DJ12" s="346" t="str">
        <f t="shared" ref="DJ12" si="200">DO1</f>
        <v>2045年3季度</v>
      </c>
      <c r="DK12" s="346" t="str">
        <f t="shared" ref="DK12" si="201">DP1</f>
        <v>2045年4季度</v>
      </c>
      <c r="DL12" s="346" t="str">
        <f t="shared" ref="DL12" si="202">DQ1</f>
        <v>2046年1季度</v>
      </c>
      <c r="DM12" s="346" t="str">
        <f t="shared" ref="DM12" si="203">DR1</f>
        <v>2046年2季度</v>
      </c>
      <c r="DN12" s="346" t="str">
        <f t="shared" ref="DN12" si="204">DS1</f>
        <v>2046年3季度</v>
      </c>
      <c r="DO12" s="346" t="str">
        <f t="shared" ref="DO12" si="205">DT1</f>
        <v>2046年4季度</v>
      </c>
      <c r="DP12" s="346" t="str">
        <f t="shared" ref="DP12" si="206">DU1</f>
        <v>2047年1季度</v>
      </c>
      <c r="DQ12" s="346" t="str">
        <f t="shared" ref="DQ12" si="207">DV1</f>
        <v>2047年2季度</v>
      </c>
      <c r="DR12" s="346" t="str">
        <f t="shared" ref="DR12" si="208">DW1</f>
        <v>2047年3季度</v>
      </c>
      <c r="DS12" s="346" t="str">
        <f t="shared" ref="DS12" si="209">DX1</f>
        <v>2047年4季度</v>
      </c>
      <c r="DT12" s="346" t="str">
        <f t="shared" ref="DT12" si="210">DY1</f>
        <v>2048年1季度</v>
      </c>
      <c r="DU12" s="346" t="str">
        <f t="shared" ref="DU12" si="211">DZ1</f>
        <v>2048年2季度</v>
      </c>
      <c r="DV12" s="346" t="str">
        <f t="shared" ref="DV12" si="212">EA1</f>
        <v>2048年3季度</v>
      </c>
      <c r="DW12" s="346" t="str">
        <f t="shared" ref="DW12" si="213">EB1</f>
        <v>2048年4季度</v>
      </c>
      <c r="DX12" s="346" t="str">
        <f t="shared" ref="DX12" si="214">EC1</f>
        <v>2049年1季度</v>
      </c>
      <c r="DY12" s="346" t="str">
        <f t="shared" ref="DY12" si="215">ED1</f>
        <v>2049年2季度</v>
      </c>
      <c r="DZ12" s="346" t="str">
        <f t="shared" ref="DZ12" si="216">EE1</f>
        <v>2049年3季度</v>
      </c>
      <c r="EA12" s="346" t="str">
        <f t="shared" ref="EA12" si="217">EF1</f>
        <v>2049年4季度</v>
      </c>
      <c r="EB12" s="346" t="str">
        <f t="shared" ref="EB12" si="218">EG1</f>
        <v>2050年1季度</v>
      </c>
      <c r="EC12" s="346" t="str">
        <f t="shared" ref="EC12" si="219">EH1</f>
        <v>2050年2季度</v>
      </c>
      <c r="ED12" s="346" t="str">
        <f t="shared" ref="ED12" si="220">EI1</f>
        <v>2050年3季度</v>
      </c>
      <c r="EE12" s="346" t="str">
        <f t="shared" ref="EE12" si="221">EJ1</f>
        <v>2050年4季度</v>
      </c>
      <c r="EF12" s="346" t="str">
        <f t="shared" ref="EF12" si="222">EK1</f>
        <v>2051年1季度</v>
      </c>
      <c r="EG12" s="346" t="str">
        <f t="shared" ref="EG12" si="223">EL1</f>
        <v>2051年2季度</v>
      </c>
      <c r="EH12" s="346" t="str">
        <f t="shared" ref="EH12" si="224">EM1</f>
        <v>2051年3季度</v>
      </c>
      <c r="EI12" s="346" t="str">
        <f t="shared" ref="EI12" si="225">EN1</f>
        <v>2051年4季度</v>
      </c>
      <c r="EJ12" s="346" t="str">
        <f t="shared" ref="EJ12" si="226">EO1</f>
        <v>2052年1季度</v>
      </c>
      <c r="EK12" s="346" t="str">
        <f>EP1</f>
        <v>2052年2季度</v>
      </c>
      <c r="EL12" s="346" t="str">
        <f t="shared" ref="EL12:EN12" si="227">EQ1</f>
        <v>2052年3季度</v>
      </c>
      <c r="EM12" s="346" t="str">
        <f t="shared" si="227"/>
        <v>2052年4季度</v>
      </c>
      <c r="EN12" s="346" t="str">
        <f t="shared" si="227"/>
        <v>2053年1季度</v>
      </c>
      <c r="EO12" s="118" t="s">
        <v>1205</v>
      </c>
      <c r="EP12" s="207"/>
      <c r="EQ12" s="207"/>
      <c r="ER12" s="207"/>
      <c r="ES12" s="207"/>
      <c r="ET12" s="207"/>
      <c r="EU12" s="207"/>
      <c r="EV12" s="207"/>
      <c r="EW12" s="207"/>
      <c r="EX12" s="207"/>
      <c r="EY12" s="207"/>
      <c r="EZ12" s="207"/>
      <c r="FA12" s="207"/>
      <c r="FB12" s="207"/>
      <c r="FC12" s="207"/>
      <c r="FD12" s="207"/>
      <c r="FE12" s="207"/>
      <c r="FF12" s="207"/>
      <c r="FG12" s="207"/>
      <c r="FH12" s="207"/>
      <c r="FI12" s="207"/>
      <c r="FJ12" s="207"/>
      <c r="FK12" s="207"/>
      <c r="FL12" s="207"/>
      <c r="FM12" s="207"/>
      <c r="FN12" s="207"/>
      <c r="FO12" s="207"/>
      <c r="FP12" s="207"/>
      <c r="FQ12" s="207"/>
      <c r="FR12" s="207"/>
      <c r="FS12" s="207"/>
      <c r="FT12" s="207"/>
      <c r="FU12" s="207"/>
      <c r="FV12" s="207"/>
      <c r="FW12" s="207"/>
      <c r="FX12" s="207"/>
      <c r="FY12" s="207"/>
      <c r="FZ12" s="207"/>
      <c r="GA12" s="207"/>
      <c r="GB12" s="207"/>
      <c r="GC12" s="207"/>
      <c r="GD12" s="207"/>
      <c r="GE12" s="207"/>
      <c r="GF12" s="207"/>
      <c r="GG12" s="207"/>
      <c r="GH12" s="207"/>
      <c r="GI12" s="207"/>
      <c r="GJ12" s="207"/>
      <c r="GK12" s="207"/>
      <c r="GL12" s="207"/>
      <c r="GM12" s="207"/>
      <c r="GN12" s="207"/>
      <c r="GO12" s="207"/>
      <c r="GP12" s="207"/>
      <c r="GQ12" s="207"/>
      <c r="GR12" s="207"/>
      <c r="GS12" s="207"/>
      <c r="GT12" s="207"/>
      <c r="GU12" s="207"/>
      <c r="GV12" s="207"/>
      <c r="GW12" s="207"/>
      <c r="GX12" s="208"/>
    </row>
    <row r="13" spans="1:268" s="212" customFormat="1">
      <c r="A13" s="210"/>
      <c r="B13" s="6" t="s">
        <v>1206</v>
      </c>
      <c r="C13" s="6"/>
      <c r="D13" s="119"/>
      <c r="E13" s="120">
        <f>E14+E15+E16</f>
        <v>4918907</v>
      </c>
      <c r="F13" s="120">
        <f>F14+F15+F16</f>
        <v>4918907</v>
      </c>
      <c r="G13" s="120">
        <f>G14+G15+G16</f>
        <v>4918907</v>
      </c>
      <c r="H13" s="120">
        <f t="shared" ref="H13:BQ13" si="228">H14+H15+H16</f>
        <v>4918907</v>
      </c>
      <c r="I13" s="120">
        <f>I14+I15+I16</f>
        <v>4632335</v>
      </c>
      <c r="J13" s="120">
        <f t="shared" si="228"/>
        <v>4632335</v>
      </c>
      <c r="K13" s="120">
        <f t="shared" si="228"/>
        <v>4632335</v>
      </c>
      <c r="L13" s="120">
        <f t="shared" si="228"/>
        <v>4632335</v>
      </c>
      <c r="M13" s="120">
        <f t="shared" si="228"/>
        <v>4362458</v>
      </c>
      <c r="N13" s="120">
        <f t="shared" si="228"/>
        <v>4362458</v>
      </c>
      <c r="O13" s="120">
        <f t="shared" si="228"/>
        <v>4362458</v>
      </c>
      <c r="P13" s="120">
        <f t="shared" si="228"/>
        <v>4362458</v>
      </c>
      <c r="Q13" s="120">
        <f t="shared" si="228"/>
        <v>4108305</v>
      </c>
      <c r="R13" s="120">
        <f t="shared" si="228"/>
        <v>4108305</v>
      </c>
      <c r="S13" s="120">
        <f t="shared" si="228"/>
        <v>4108305</v>
      </c>
      <c r="T13" s="120">
        <f t="shared" si="228"/>
        <v>4108305</v>
      </c>
      <c r="U13" s="120">
        <f t="shared" si="228"/>
        <v>3868958</v>
      </c>
      <c r="V13" s="120">
        <f t="shared" si="228"/>
        <v>3868958</v>
      </c>
      <c r="W13" s="120">
        <f t="shared" si="228"/>
        <v>3868958</v>
      </c>
      <c r="X13" s="120">
        <f t="shared" si="228"/>
        <v>3868958</v>
      </c>
      <c r="Y13" s="120">
        <f t="shared" si="228"/>
        <v>3643556</v>
      </c>
      <c r="Z13" s="120">
        <f t="shared" si="228"/>
        <v>3643556</v>
      </c>
      <c r="AA13" s="120">
        <f t="shared" si="228"/>
        <v>3643556</v>
      </c>
      <c r="AB13" s="120">
        <f t="shared" si="228"/>
        <v>3643556</v>
      </c>
      <c r="AC13" s="120">
        <f t="shared" si="228"/>
        <v>3431285</v>
      </c>
      <c r="AD13" s="120">
        <f t="shared" si="228"/>
        <v>3431285</v>
      </c>
      <c r="AE13" s="120">
        <f t="shared" si="228"/>
        <v>3431285</v>
      </c>
      <c r="AF13" s="120">
        <f t="shared" si="228"/>
        <v>3431285</v>
      </c>
      <c r="AG13" s="120">
        <f t="shared" si="228"/>
        <v>3231381</v>
      </c>
      <c r="AH13" s="120">
        <f t="shared" si="228"/>
        <v>3231381</v>
      </c>
      <c r="AI13" s="120">
        <f t="shared" si="228"/>
        <v>3231381</v>
      </c>
      <c r="AJ13" s="120">
        <f t="shared" si="228"/>
        <v>3231381</v>
      </c>
      <c r="AK13" s="120">
        <f t="shared" si="228"/>
        <v>3043124</v>
      </c>
      <c r="AL13" s="120">
        <f t="shared" si="228"/>
        <v>3043124</v>
      </c>
      <c r="AM13" s="120">
        <f t="shared" si="228"/>
        <v>3043124</v>
      </c>
      <c r="AN13" s="120">
        <f t="shared" si="228"/>
        <v>3043124</v>
      </c>
      <c r="AO13" s="120">
        <f t="shared" si="228"/>
        <v>2865833</v>
      </c>
      <c r="AP13" s="120">
        <f t="shared" si="228"/>
        <v>2865833</v>
      </c>
      <c r="AQ13" s="120">
        <f t="shared" si="228"/>
        <v>2865833</v>
      </c>
      <c r="AR13" s="120">
        <f t="shared" si="228"/>
        <v>2865833</v>
      </c>
      <c r="AS13" s="120">
        <f t="shared" si="228"/>
        <v>2698872</v>
      </c>
      <c r="AT13" s="120">
        <f t="shared" si="228"/>
        <v>2698872</v>
      </c>
      <c r="AU13" s="120">
        <f t="shared" si="228"/>
        <v>2698872</v>
      </c>
      <c r="AV13" s="120">
        <f t="shared" si="228"/>
        <v>2698872</v>
      </c>
      <c r="AW13" s="120">
        <f t="shared" si="228"/>
        <v>2541638</v>
      </c>
      <c r="AX13" s="120">
        <f t="shared" si="228"/>
        <v>2541638</v>
      </c>
      <c r="AY13" s="120">
        <f t="shared" si="228"/>
        <v>2541638</v>
      </c>
      <c r="AZ13" s="120">
        <f t="shared" si="228"/>
        <v>2541638</v>
      </c>
      <c r="BA13" s="120">
        <f t="shared" si="228"/>
        <v>2393565</v>
      </c>
      <c r="BB13" s="120">
        <f t="shared" si="228"/>
        <v>2393565</v>
      </c>
      <c r="BC13" s="120">
        <f t="shared" si="228"/>
        <v>2393565</v>
      </c>
      <c r="BD13" s="120">
        <f t="shared" si="228"/>
        <v>2393565</v>
      </c>
      <c r="BE13" s="120">
        <f t="shared" si="228"/>
        <v>2254118</v>
      </c>
      <c r="BF13" s="120">
        <f t="shared" si="228"/>
        <v>2254118</v>
      </c>
      <c r="BG13" s="120">
        <f t="shared" si="228"/>
        <v>2254118</v>
      </c>
      <c r="BH13" s="120">
        <f t="shared" si="228"/>
        <v>2254118</v>
      </c>
      <c r="BI13" s="120">
        <f t="shared" si="228"/>
        <v>2122795</v>
      </c>
      <c r="BJ13" s="120">
        <f t="shared" si="228"/>
        <v>2122795</v>
      </c>
      <c r="BK13" s="120">
        <f t="shared" si="228"/>
        <v>2122795</v>
      </c>
      <c r="BL13" s="120">
        <f t="shared" si="228"/>
        <v>2122795</v>
      </c>
      <c r="BM13" s="120">
        <f t="shared" si="228"/>
        <v>1999123</v>
      </c>
      <c r="BN13" s="120">
        <f t="shared" si="228"/>
        <v>1999123</v>
      </c>
      <c r="BO13" s="120">
        <f t="shared" si="228"/>
        <v>1999123</v>
      </c>
      <c r="BP13" s="120">
        <f t="shared" si="228"/>
        <v>1999123</v>
      </c>
      <c r="BQ13" s="120">
        <f t="shared" si="228"/>
        <v>1882655</v>
      </c>
      <c r="BR13" s="120">
        <f t="shared" ref="BR13:CJ13" si="229">BR14+BR15+BR16</f>
        <v>1882655</v>
      </c>
      <c r="BS13" s="120">
        <f t="shared" si="229"/>
        <v>1882655</v>
      </c>
      <c r="BT13" s="120">
        <f t="shared" si="229"/>
        <v>1882655</v>
      </c>
      <c r="BU13" s="120">
        <f t="shared" si="229"/>
        <v>1772973</v>
      </c>
      <c r="BV13" s="120">
        <f t="shared" si="229"/>
        <v>1772973</v>
      </c>
      <c r="BW13" s="120">
        <f t="shared" si="229"/>
        <v>1772973</v>
      </c>
      <c r="BX13" s="120">
        <f t="shared" si="229"/>
        <v>1772973</v>
      </c>
      <c r="BY13" s="120">
        <f t="shared" si="229"/>
        <v>1669681</v>
      </c>
      <c r="BZ13" s="120">
        <f t="shared" si="229"/>
        <v>1669681</v>
      </c>
      <c r="CA13" s="120">
        <f t="shared" si="229"/>
        <v>1669681</v>
      </c>
      <c r="CB13" s="120">
        <f t="shared" si="229"/>
        <v>1669681</v>
      </c>
      <c r="CC13" s="120">
        <f t="shared" si="229"/>
        <v>1572407</v>
      </c>
      <c r="CD13" s="120">
        <f t="shared" si="229"/>
        <v>1572407</v>
      </c>
      <c r="CE13" s="120">
        <f t="shared" si="229"/>
        <v>1572407</v>
      </c>
      <c r="CF13" s="120">
        <f t="shared" si="229"/>
        <v>1572407</v>
      </c>
      <c r="CG13" s="120">
        <f t="shared" si="229"/>
        <v>1480799</v>
      </c>
      <c r="CH13" s="120">
        <f t="shared" si="229"/>
        <v>1480799</v>
      </c>
      <c r="CI13" s="120">
        <f t="shared" si="229"/>
        <v>1480799</v>
      </c>
      <c r="CJ13" s="120">
        <f t="shared" si="229"/>
        <v>1480799</v>
      </c>
      <c r="CK13" s="120">
        <f t="shared" ref="CK13:EJ13" si="230">CK14+CK15+CK16</f>
        <v>1394555</v>
      </c>
      <c r="CL13" s="120">
        <f t="shared" si="230"/>
        <v>1394555</v>
      </c>
      <c r="CM13" s="120">
        <f t="shared" si="230"/>
        <v>1394555</v>
      </c>
      <c r="CN13" s="120">
        <f t="shared" si="230"/>
        <v>1394555</v>
      </c>
      <c r="CO13" s="120">
        <f t="shared" si="230"/>
        <v>1313336</v>
      </c>
      <c r="CP13" s="120">
        <f t="shared" si="230"/>
        <v>1313336</v>
      </c>
      <c r="CQ13" s="120">
        <f t="shared" si="230"/>
        <v>1313336</v>
      </c>
      <c r="CR13" s="120">
        <f t="shared" si="230"/>
        <v>1313336</v>
      </c>
      <c r="CS13" s="120">
        <f t="shared" si="230"/>
        <v>1236848</v>
      </c>
      <c r="CT13" s="120">
        <f t="shared" si="230"/>
        <v>1236848</v>
      </c>
      <c r="CU13" s="120">
        <f t="shared" si="230"/>
        <v>1236848</v>
      </c>
      <c r="CV13" s="120">
        <f t="shared" si="230"/>
        <v>1236848</v>
      </c>
      <c r="CW13" s="120">
        <f t="shared" si="230"/>
        <v>1164816</v>
      </c>
      <c r="CX13" s="120">
        <f t="shared" si="230"/>
        <v>1164816</v>
      </c>
      <c r="CY13" s="120">
        <f t="shared" si="230"/>
        <v>1164816</v>
      </c>
      <c r="CZ13" s="120">
        <f t="shared" si="230"/>
        <v>1164816</v>
      </c>
      <c r="DA13" s="120">
        <f t="shared" si="230"/>
        <v>1096981</v>
      </c>
      <c r="DB13" s="120">
        <f t="shared" si="230"/>
        <v>1096981</v>
      </c>
      <c r="DC13" s="120">
        <f t="shared" si="230"/>
        <v>1096981</v>
      </c>
      <c r="DD13" s="120">
        <f t="shared" si="230"/>
        <v>1096981</v>
      </c>
      <c r="DE13" s="120">
        <f t="shared" si="230"/>
        <v>1033098</v>
      </c>
      <c r="DF13" s="120">
        <f t="shared" si="230"/>
        <v>1033098</v>
      </c>
      <c r="DG13" s="120">
        <f t="shared" si="230"/>
        <v>1033098</v>
      </c>
      <c r="DH13" s="120">
        <f t="shared" si="230"/>
        <v>1033098</v>
      </c>
      <c r="DI13" s="120">
        <f t="shared" si="230"/>
        <v>972936</v>
      </c>
      <c r="DJ13" s="120">
        <f t="shared" si="230"/>
        <v>972936</v>
      </c>
      <c r="DK13" s="120">
        <f t="shared" si="230"/>
        <v>972936</v>
      </c>
      <c r="DL13" s="120">
        <f t="shared" si="230"/>
        <v>972936</v>
      </c>
      <c r="DM13" s="120">
        <f t="shared" si="230"/>
        <v>916280</v>
      </c>
      <c r="DN13" s="120">
        <f t="shared" si="230"/>
        <v>916280</v>
      </c>
      <c r="DO13" s="120">
        <f t="shared" si="230"/>
        <v>916280</v>
      </c>
      <c r="DP13" s="120">
        <f t="shared" si="230"/>
        <v>916280</v>
      </c>
      <c r="DQ13" s="120">
        <f t="shared" si="230"/>
        <v>862924</v>
      </c>
      <c r="DR13" s="120">
        <f t="shared" si="230"/>
        <v>862924</v>
      </c>
      <c r="DS13" s="120">
        <f t="shared" si="230"/>
        <v>862924</v>
      </c>
      <c r="DT13" s="120">
        <f t="shared" si="230"/>
        <v>862924</v>
      </c>
      <c r="DU13" s="120">
        <f t="shared" si="230"/>
        <v>812676</v>
      </c>
      <c r="DV13" s="120">
        <f t="shared" si="230"/>
        <v>812676</v>
      </c>
      <c r="DW13" s="120">
        <f t="shared" si="230"/>
        <v>812676</v>
      </c>
      <c r="DX13" s="120">
        <f t="shared" si="230"/>
        <v>812676</v>
      </c>
      <c r="DY13" s="120">
        <f t="shared" si="230"/>
        <v>765357</v>
      </c>
      <c r="DZ13" s="120">
        <f t="shared" si="230"/>
        <v>765357</v>
      </c>
      <c r="EA13" s="120">
        <f t="shared" si="230"/>
        <v>765357</v>
      </c>
      <c r="EB13" s="120">
        <f t="shared" si="230"/>
        <v>765357</v>
      </c>
      <c r="EC13" s="120">
        <f t="shared" si="230"/>
        <v>720794</v>
      </c>
      <c r="ED13" s="120">
        <f t="shared" si="230"/>
        <v>720794</v>
      </c>
      <c r="EE13" s="120">
        <f t="shared" si="230"/>
        <v>720794</v>
      </c>
      <c r="EF13" s="120">
        <f t="shared" si="230"/>
        <v>720794</v>
      </c>
      <c r="EG13" s="120">
        <f t="shared" si="230"/>
        <v>678827</v>
      </c>
      <c r="EH13" s="120">
        <f t="shared" si="230"/>
        <v>678827</v>
      </c>
      <c r="EI13" s="120">
        <f t="shared" si="230"/>
        <v>678827</v>
      </c>
      <c r="EJ13" s="120">
        <f t="shared" si="230"/>
        <v>678827</v>
      </c>
      <c r="EK13" s="120">
        <f>EK14+EK15+EK16</f>
        <v>639305</v>
      </c>
      <c r="EL13" s="120">
        <f t="shared" ref="EL13:EN13" si="231">EL14+EL15+EL16</f>
        <v>639305</v>
      </c>
      <c r="EM13" s="120">
        <f t="shared" si="231"/>
        <v>639305</v>
      </c>
      <c r="EN13" s="120">
        <f t="shared" si="231"/>
        <v>639305</v>
      </c>
      <c r="EO13" s="121">
        <f>SUM(E13:EN13)</f>
        <v>296414004</v>
      </c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211"/>
    </row>
    <row r="14" spans="1:268">
      <c r="A14" s="59"/>
      <c r="B14" s="11" t="s">
        <v>1207</v>
      </c>
      <c r="C14" s="11"/>
      <c r="D14" s="213"/>
      <c r="E14" s="120">
        <f>J8</f>
        <v>4917432</v>
      </c>
      <c r="F14" s="120">
        <f>K8</f>
        <v>4917432</v>
      </c>
      <c r="G14" s="120">
        <f>L8</f>
        <v>4917432</v>
      </c>
      <c r="H14" s="120">
        <f>M8</f>
        <v>4917432</v>
      </c>
      <c r="I14" s="120">
        <f t="shared" ref="I14:BT14" si="232">N8</f>
        <v>4630946</v>
      </c>
      <c r="J14" s="120">
        <f t="shared" si="232"/>
        <v>4630946</v>
      </c>
      <c r="K14" s="120">
        <f t="shared" si="232"/>
        <v>4630946</v>
      </c>
      <c r="L14" s="120">
        <f t="shared" si="232"/>
        <v>4630946</v>
      </c>
      <c r="M14" s="120">
        <f t="shared" si="232"/>
        <v>4361150</v>
      </c>
      <c r="N14" s="120">
        <f t="shared" si="232"/>
        <v>4361150</v>
      </c>
      <c r="O14" s="120">
        <f t="shared" si="232"/>
        <v>4361150</v>
      </c>
      <c r="P14" s="120">
        <f t="shared" si="232"/>
        <v>4361150</v>
      </c>
      <c r="Q14" s="120">
        <f t="shared" si="232"/>
        <v>4107073</v>
      </c>
      <c r="R14" s="120">
        <f t="shared" si="232"/>
        <v>4107073</v>
      </c>
      <c r="S14" s="120">
        <f t="shared" si="232"/>
        <v>4107073</v>
      </c>
      <c r="T14" s="120">
        <f t="shared" si="232"/>
        <v>4107073</v>
      </c>
      <c r="U14" s="120">
        <f t="shared" si="232"/>
        <v>3867798</v>
      </c>
      <c r="V14" s="120">
        <f t="shared" si="232"/>
        <v>3867798</v>
      </c>
      <c r="W14" s="120">
        <f t="shared" si="232"/>
        <v>3867798</v>
      </c>
      <c r="X14" s="120">
        <f t="shared" si="232"/>
        <v>3867798</v>
      </c>
      <c r="Y14" s="120">
        <f t="shared" si="232"/>
        <v>3642463</v>
      </c>
      <c r="Z14" s="120">
        <f t="shared" si="232"/>
        <v>3642463</v>
      </c>
      <c r="AA14" s="120">
        <f t="shared" si="232"/>
        <v>3642463</v>
      </c>
      <c r="AB14" s="120">
        <f t="shared" si="232"/>
        <v>3642463</v>
      </c>
      <c r="AC14" s="120">
        <f t="shared" si="232"/>
        <v>3430256</v>
      </c>
      <c r="AD14" s="120">
        <f t="shared" si="232"/>
        <v>3430256</v>
      </c>
      <c r="AE14" s="120">
        <f t="shared" si="232"/>
        <v>3430256</v>
      </c>
      <c r="AF14" s="120">
        <f t="shared" si="232"/>
        <v>3430256</v>
      </c>
      <c r="AG14" s="120">
        <f t="shared" si="232"/>
        <v>3230412</v>
      </c>
      <c r="AH14" s="120">
        <f t="shared" si="232"/>
        <v>3230412</v>
      </c>
      <c r="AI14" s="120">
        <f t="shared" si="232"/>
        <v>3230412</v>
      </c>
      <c r="AJ14" s="120">
        <f t="shared" si="232"/>
        <v>3230412</v>
      </c>
      <c r="AK14" s="120">
        <f t="shared" si="232"/>
        <v>3042211</v>
      </c>
      <c r="AL14" s="120">
        <f t="shared" si="232"/>
        <v>3042211</v>
      </c>
      <c r="AM14" s="120">
        <f t="shared" si="232"/>
        <v>3042211</v>
      </c>
      <c r="AN14" s="120">
        <f t="shared" si="232"/>
        <v>3042211</v>
      </c>
      <c r="AO14" s="120">
        <f t="shared" si="232"/>
        <v>2864974</v>
      </c>
      <c r="AP14" s="120">
        <f t="shared" si="232"/>
        <v>2864974</v>
      </c>
      <c r="AQ14" s="120">
        <f t="shared" si="232"/>
        <v>2864974</v>
      </c>
      <c r="AR14" s="120">
        <f t="shared" si="232"/>
        <v>2864974</v>
      </c>
      <c r="AS14" s="120">
        <f t="shared" si="232"/>
        <v>2698063</v>
      </c>
      <c r="AT14" s="120">
        <f t="shared" si="232"/>
        <v>2698063</v>
      </c>
      <c r="AU14" s="120">
        <f t="shared" si="232"/>
        <v>2698063</v>
      </c>
      <c r="AV14" s="120">
        <f t="shared" si="232"/>
        <v>2698063</v>
      </c>
      <c r="AW14" s="120">
        <f t="shared" si="232"/>
        <v>2540876</v>
      </c>
      <c r="AX14" s="120">
        <f t="shared" si="232"/>
        <v>2540876</v>
      </c>
      <c r="AY14" s="120">
        <f t="shared" si="232"/>
        <v>2540876</v>
      </c>
      <c r="AZ14" s="120">
        <f t="shared" si="232"/>
        <v>2540876</v>
      </c>
      <c r="BA14" s="120">
        <f t="shared" si="232"/>
        <v>2392847</v>
      </c>
      <c r="BB14" s="120">
        <f t="shared" si="232"/>
        <v>2392847</v>
      </c>
      <c r="BC14" s="120">
        <f t="shared" si="232"/>
        <v>2392847</v>
      </c>
      <c r="BD14" s="120">
        <f t="shared" si="232"/>
        <v>2392847</v>
      </c>
      <c r="BE14" s="120">
        <f t="shared" si="232"/>
        <v>2253442</v>
      </c>
      <c r="BF14" s="120">
        <f t="shared" si="232"/>
        <v>2253442</v>
      </c>
      <c r="BG14" s="120">
        <f t="shared" si="232"/>
        <v>2253442</v>
      </c>
      <c r="BH14" s="120">
        <f t="shared" si="232"/>
        <v>2253442</v>
      </c>
      <c r="BI14" s="120">
        <f t="shared" si="232"/>
        <v>2122158</v>
      </c>
      <c r="BJ14" s="120">
        <f t="shared" si="232"/>
        <v>2122158</v>
      </c>
      <c r="BK14" s="120">
        <f t="shared" si="232"/>
        <v>2122158</v>
      </c>
      <c r="BL14" s="120">
        <f t="shared" si="232"/>
        <v>2122158</v>
      </c>
      <c r="BM14" s="120">
        <f t="shared" si="232"/>
        <v>1998523</v>
      </c>
      <c r="BN14" s="120">
        <f t="shared" si="232"/>
        <v>1998523</v>
      </c>
      <c r="BO14" s="120">
        <f t="shared" si="232"/>
        <v>1998523</v>
      </c>
      <c r="BP14" s="120">
        <f t="shared" si="232"/>
        <v>1998523</v>
      </c>
      <c r="BQ14" s="120">
        <f t="shared" si="232"/>
        <v>1882090</v>
      </c>
      <c r="BR14" s="120">
        <f t="shared" si="232"/>
        <v>1882090</v>
      </c>
      <c r="BS14" s="120">
        <f t="shared" si="232"/>
        <v>1882090</v>
      </c>
      <c r="BT14" s="120">
        <f t="shared" si="232"/>
        <v>1882090</v>
      </c>
      <c r="BU14" s="120">
        <f t="shared" ref="BU14:EF14" si="233">BZ8</f>
        <v>1772441</v>
      </c>
      <c r="BV14" s="120">
        <f t="shared" si="233"/>
        <v>1772441</v>
      </c>
      <c r="BW14" s="120">
        <f t="shared" si="233"/>
        <v>1772441</v>
      </c>
      <c r="BX14" s="120">
        <f t="shared" si="233"/>
        <v>1772441</v>
      </c>
      <c r="BY14" s="120">
        <f t="shared" si="233"/>
        <v>1669180</v>
      </c>
      <c r="BZ14" s="120">
        <f t="shared" si="233"/>
        <v>1669180</v>
      </c>
      <c r="CA14" s="120">
        <f t="shared" si="233"/>
        <v>1669180</v>
      </c>
      <c r="CB14" s="120">
        <f t="shared" si="233"/>
        <v>1669180</v>
      </c>
      <c r="CC14" s="120">
        <f t="shared" si="233"/>
        <v>1571935</v>
      </c>
      <c r="CD14" s="120">
        <f t="shared" si="233"/>
        <v>1571935</v>
      </c>
      <c r="CE14" s="120">
        <f t="shared" si="233"/>
        <v>1571935</v>
      </c>
      <c r="CF14" s="120">
        <f t="shared" si="233"/>
        <v>1571935</v>
      </c>
      <c r="CG14" s="120">
        <f t="shared" si="233"/>
        <v>1480355</v>
      </c>
      <c r="CH14" s="120">
        <f t="shared" si="233"/>
        <v>1480355</v>
      </c>
      <c r="CI14" s="120">
        <f t="shared" si="233"/>
        <v>1480355</v>
      </c>
      <c r="CJ14" s="120">
        <f t="shared" si="233"/>
        <v>1480355</v>
      </c>
      <c r="CK14" s="120">
        <f t="shared" si="233"/>
        <v>1394111</v>
      </c>
      <c r="CL14" s="120">
        <f t="shared" si="233"/>
        <v>1394111</v>
      </c>
      <c r="CM14" s="120">
        <f t="shared" si="233"/>
        <v>1394111</v>
      </c>
      <c r="CN14" s="120">
        <f t="shared" si="233"/>
        <v>1394111</v>
      </c>
      <c r="CO14" s="120">
        <f t="shared" si="233"/>
        <v>1312892</v>
      </c>
      <c r="CP14" s="120">
        <f t="shared" si="233"/>
        <v>1312892</v>
      </c>
      <c r="CQ14" s="120">
        <f t="shared" si="233"/>
        <v>1312892</v>
      </c>
      <c r="CR14" s="120">
        <f t="shared" si="233"/>
        <v>1312892</v>
      </c>
      <c r="CS14" s="120">
        <f t="shared" si="233"/>
        <v>1236404</v>
      </c>
      <c r="CT14" s="120">
        <f t="shared" si="233"/>
        <v>1236404</v>
      </c>
      <c r="CU14" s="120">
        <f t="shared" si="233"/>
        <v>1236404</v>
      </c>
      <c r="CV14" s="120">
        <f t="shared" si="233"/>
        <v>1236404</v>
      </c>
      <c r="CW14" s="120">
        <f t="shared" si="233"/>
        <v>1164372</v>
      </c>
      <c r="CX14" s="120">
        <f t="shared" si="233"/>
        <v>1164372</v>
      </c>
      <c r="CY14" s="120">
        <f t="shared" si="233"/>
        <v>1164372</v>
      </c>
      <c r="CZ14" s="120">
        <f t="shared" si="233"/>
        <v>1164372</v>
      </c>
      <c r="DA14" s="120">
        <f t="shared" si="233"/>
        <v>1096537</v>
      </c>
      <c r="DB14" s="120">
        <f t="shared" si="233"/>
        <v>1096537</v>
      </c>
      <c r="DC14" s="120">
        <f t="shared" si="233"/>
        <v>1096537</v>
      </c>
      <c r="DD14" s="120">
        <f t="shared" si="233"/>
        <v>1096537</v>
      </c>
      <c r="DE14" s="120">
        <f t="shared" si="233"/>
        <v>1032654</v>
      </c>
      <c r="DF14" s="120">
        <f t="shared" si="233"/>
        <v>1032654</v>
      </c>
      <c r="DG14" s="120">
        <f t="shared" si="233"/>
        <v>1032654</v>
      </c>
      <c r="DH14" s="120">
        <f t="shared" si="233"/>
        <v>1032654</v>
      </c>
      <c r="DI14" s="120">
        <f t="shared" si="233"/>
        <v>972492</v>
      </c>
      <c r="DJ14" s="120">
        <f t="shared" si="233"/>
        <v>972492</v>
      </c>
      <c r="DK14" s="120">
        <f t="shared" si="233"/>
        <v>972492</v>
      </c>
      <c r="DL14" s="120">
        <f t="shared" si="233"/>
        <v>972492</v>
      </c>
      <c r="DM14" s="120">
        <f t="shared" si="233"/>
        <v>915836</v>
      </c>
      <c r="DN14" s="120">
        <f t="shared" si="233"/>
        <v>915836</v>
      </c>
      <c r="DO14" s="120">
        <f t="shared" si="233"/>
        <v>915836</v>
      </c>
      <c r="DP14" s="120">
        <f t="shared" si="233"/>
        <v>915836</v>
      </c>
      <c r="DQ14" s="120">
        <f t="shared" si="233"/>
        <v>862480</v>
      </c>
      <c r="DR14" s="120">
        <f t="shared" si="233"/>
        <v>862480</v>
      </c>
      <c r="DS14" s="120">
        <f t="shared" si="233"/>
        <v>862480</v>
      </c>
      <c r="DT14" s="120">
        <f t="shared" si="233"/>
        <v>862480</v>
      </c>
      <c r="DU14" s="120">
        <f t="shared" si="233"/>
        <v>812232</v>
      </c>
      <c r="DV14" s="120">
        <f t="shared" si="233"/>
        <v>812232</v>
      </c>
      <c r="DW14" s="120">
        <f t="shared" si="233"/>
        <v>812232</v>
      </c>
      <c r="DX14" s="120">
        <f t="shared" si="233"/>
        <v>812232</v>
      </c>
      <c r="DY14" s="120">
        <f t="shared" si="233"/>
        <v>764913</v>
      </c>
      <c r="DZ14" s="120">
        <f t="shared" si="233"/>
        <v>764913</v>
      </c>
      <c r="EA14" s="120">
        <f t="shared" si="233"/>
        <v>764913</v>
      </c>
      <c r="EB14" s="120">
        <f t="shared" si="233"/>
        <v>764913</v>
      </c>
      <c r="EC14" s="120">
        <f t="shared" si="233"/>
        <v>720350</v>
      </c>
      <c r="ED14" s="120">
        <f t="shared" si="233"/>
        <v>720350</v>
      </c>
      <c r="EE14" s="120">
        <f t="shared" si="233"/>
        <v>720350</v>
      </c>
      <c r="EF14" s="120">
        <f t="shared" si="233"/>
        <v>720350</v>
      </c>
      <c r="EG14" s="120">
        <f t="shared" ref="EG14:EJ14" si="234">EL8</f>
        <v>678383</v>
      </c>
      <c r="EH14" s="120">
        <f t="shared" si="234"/>
        <v>678383</v>
      </c>
      <c r="EI14" s="120">
        <f t="shared" si="234"/>
        <v>678383</v>
      </c>
      <c r="EJ14" s="120">
        <f t="shared" si="234"/>
        <v>678383</v>
      </c>
      <c r="EK14" s="120">
        <f>EP8</f>
        <v>638861</v>
      </c>
      <c r="EL14" s="120">
        <f t="shared" ref="EL14:EN14" si="235">EQ8</f>
        <v>638861</v>
      </c>
      <c r="EM14" s="120">
        <f t="shared" si="235"/>
        <v>638861</v>
      </c>
      <c r="EN14" s="120">
        <f t="shared" si="235"/>
        <v>638861</v>
      </c>
      <c r="EO14" s="121">
        <f t="shared" ref="EO14:EO21" si="236">SUM(E14:EN14)</f>
        <v>296316568</v>
      </c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67"/>
    </row>
    <row r="15" spans="1:268">
      <c r="A15" s="59"/>
      <c r="B15" s="11" t="s">
        <v>1208</v>
      </c>
      <c r="C15" s="11"/>
      <c r="D15" s="213"/>
      <c r="E15" s="214"/>
      <c r="F15" s="214"/>
      <c r="G15" s="214"/>
      <c r="H15" s="214"/>
      <c r="I15" s="214"/>
      <c r="J15" s="214"/>
      <c r="K15" s="214"/>
      <c r="L15" s="214"/>
      <c r="M15" s="214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  <c r="Y15" s="214"/>
      <c r="Z15" s="214"/>
      <c r="AA15" s="214"/>
      <c r="AB15" s="214"/>
      <c r="AC15" s="214"/>
      <c r="AD15" s="214"/>
      <c r="AE15" s="214"/>
      <c r="AF15" s="214"/>
      <c r="AG15" s="214"/>
      <c r="AH15" s="214"/>
      <c r="AI15" s="214"/>
      <c r="AJ15" s="214"/>
      <c r="AK15" s="214"/>
      <c r="AL15" s="214"/>
      <c r="AM15" s="214"/>
      <c r="AN15" s="214"/>
      <c r="AO15" s="214"/>
      <c r="AP15" s="214"/>
      <c r="AQ15" s="214"/>
      <c r="AR15" s="214"/>
      <c r="AS15" s="214"/>
      <c r="AT15" s="214"/>
      <c r="AU15" s="214"/>
      <c r="AV15" s="214"/>
      <c r="AW15" s="214"/>
      <c r="AX15" s="214"/>
      <c r="AY15" s="115"/>
      <c r="AZ15" s="115"/>
      <c r="BA15" s="115"/>
      <c r="BB15" s="115"/>
      <c r="BC15" s="115"/>
      <c r="BD15" s="115"/>
      <c r="BE15" s="115"/>
      <c r="BF15" s="115"/>
      <c r="BG15" s="115"/>
      <c r="BH15" s="115"/>
      <c r="BI15" s="115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5"/>
      <c r="CA15" s="115"/>
      <c r="CB15" s="115"/>
      <c r="CC15" s="115"/>
      <c r="CD15" s="115"/>
      <c r="CE15" s="115"/>
      <c r="CF15" s="115"/>
      <c r="CG15" s="115"/>
      <c r="CH15" s="115"/>
      <c r="CI15" s="115"/>
      <c r="CJ15" s="115"/>
      <c r="CK15" s="345"/>
      <c r="CL15" s="345"/>
      <c r="CM15" s="345"/>
      <c r="CN15" s="345"/>
      <c r="CO15" s="345"/>
      <c r="CP15" s="345"/>
      <c r="CQ15" s="345"/>
      <c r="CR15" s="345"/>
      <c r="CS15" s="345"/>
      <c r="CT15" s="345"/>
      <c r="CU15" s="345"/>
      <c r="CV15" s="345"/>
      <c r="CW15" s="345"/>
      <c r="CX15" s="345"/>
      <c r="CY15" s="345"/>
      <c r="CZ15" s="345"/>
      <c r="DA15" s="345"/>
      <c r="DB15" s="345"/>
      <c r="DC15" s="345"/>
      <c r="DD15" s="345"/>
      <c r="DE15" s="345"/>
      <c r="DF15" s="345"/>
      <c r="DG15" s="345"/>
      <c r="DH15" s="345"/>
      <c r="DI15" s="345"/>
      <c r="DJ15" s="345"/>
      <c r="DK15" s="345"/>
      <c r="DL15" s="345"/>
      <c r="DM15" s="345"/>
      <c r="DN15" s="345"/>
      <c r="DO15" s="345"/>
      <c r="DP15" s="345"/>
      <c r="DQ15" s="345"/>
      <c r="DR15" s="345"/>
      <c r="DS15" s="345"/>
      <c r="DT15" s="345"/>
      <c r="DU15" s="345"/>
      <c r="DV15" s="345"/>
      <c r="DW15" s="345"/>
      <c r="DX15" s="345"/>
      <c r="DY15" s="345"/>
      <c r="DZ15" s="345"/>
      <c r="EA15" s="345"/>
      <c r="EB15" s="345"/>
      <c r="EC15" s="345"/>
      <c r="ED15" s="345"/>
      <c r="EE15" s="345"/>
      <c r="EF15" s="345"/>
      <c r="EG15" s="345"/>
      <c r="EH15" s="345"/>
      <c r="EI15" s="345"/>
      <c r="EJ15" s="345"/>
      <c r="EK15" s="345"/>
      <c r="EL15" s="345"/>
      <c r="EM15" s="345"/>
      <c r="EN15" s="345"/>
      <c r="EO15" s="121">
        <f t="shared" si="236"/>
        <v>0</v>
      </c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67"/>
    </row>
    <row r="16" spans="1:268">
      <c r="A16" s="59"/>
      <c r="B16" s="11" t="s">
        <v>1209</v>
      </c>
      <c r="C16" s="11"/>
      <c r="D16" s="119"/>
      <c r="E16" s="120">
        <f>ROUND((E14+F14+G14+H14)*取值表!$J$4*1.5%/4,0)</f>
        <v>1475</v>
      </c>
      <c r="F16" s="120">
        <f>E16</f>
        <v>1475</v>
      </c>
      <c r="G16" s="120">
        <f>F16</f>
        <v>1475</v>
      </c>
      <c r="H16" s="120">
        <f>G16</f>
        <v>1475</v>
      </c>
      <c r="I16" s="120">
        <f>ROUND((I14+J14+K14+L14)*取值表!$J$4*1.5%/4,0)</f>
        <v>1389</v>
      </c>
      <c r="J16" s="120">
        <f t="shared" ref="J16:L16" si="237">I16</f>
        <v>1389</v>
      </c>
      <c r="K16" s="120">
        <f t="shared" si="237"/>
        <v>1389</v>
      </c>
      <c r="L16" s="120">
        <f t="shared" si="237"/>
        <v>1389</v>
      </c>
      <c r="M16" s="120">
        <f>ROUND((M14+N14+O14+P14)*取值表!$J$4*1.5%/4,0)</f>
        <v>1308</v>
      </c>
      <c r="N16" s="120">
        <f t="shared" ref="N16:P16" si="238">M16</f>
        <v>1308</v>
      </c>
      <c r="O16" s="120">
        <f t="shared" si="238"/>
        <v>1308</v>
      </c>
      <c r="P16" s="120">
        <f t="shared" si="238"/>
        <v>1308</v>
      </c>
      <c r="Q16" s="120">
        <f>ROUND((Q14+R14+S14+T14)*取值表!$J$4*1.5%/4,0)</f>
        <v>1232</v>
      </c>
      <c r="R16" s="120">
        <f t="shared" ref="R16:T16" si="239">Q16</f>
        <v>1232</v>
      </c>
      <c r="S16" s="120">
        <f t="shared" si="239"/>
        <v>1232</v>
      </c>
      <c r="T16" s="120">
        <f t="shared" si="239"/>
        <v>1232</v>
      </c>
      <c r="U16" s="120">
        <f>ROUND((U14+V14+W14+X14)*取值表!$J$4*1.5%/4,0)</f>
        <v>1160</v>
      </c>
      <c r="V16" s="120">
        <f t="shared" ref="V16:X16" si="240">U16</f>
        <v>1160</v>
      </c>
      <c r="W16" s="120">
        <f t="shared" si="240"/>
        <v>1160</v>
      </c>
      <c r="X16" s="120">
        <f t="shared" si="240"/>
        <v>1160</v>
      </c>
      <c r="Y16" s="120">
        <f>ROUND((Y14+Z14+AA14+AB14)*取值表!$J$4*1.5%/4,0)</f>
        <v>1093</v>
      </c>
      <c r="Z16" s="120">
        <f t="shared" ref="Z16:AB16" si="241">Y16</f>
        <v>1093</v>
      </c>
      <c r="AA16" s="120">
        <f t="shared" si="241"/>
        <v>1093</v>
      </c>
      <c r="AB16" s="120">
        <f t="shared" si="241"/>
        <v>1093</v>
      </c>
      <c r="AC16" s="120">
        <f>ROUND((AC14+AD14+AE14+AF14)*取值表!$J$4*1.5%/4,0)</f>
        <v>1029</v>
      </c>
      <c r="AD16" s="120">
        <f t="shared" ref="AD16:AF16" si="242">AC16</f>
        <v>1029</v>
      </c>
      <c r="AE16" s="120">
        <f t="shared" si="242"/>
        <v>1029</v>
      </c>
      <c r="AF16" s="120">
        <f t="shared" si="242"/>
        <v>1029</v>
      </c>
      <c r="AG16" s="120">
        <f>ROUND((AG14+AH14+AI14+AJ14)*取值表!$J$4*1.5%/4,0)</f>
        <v>969</v>
      </c>
      <c r="AH16" s="120">
        <f t="shared" ref="AH16:AJ16" si="243">AG16</f>
        <v>969</v>
      </c>
      <c r="AI16" s="120">
        <f t="shared" si="243"/>
        <v>969</v>
      </c>
      <c r="AJ16" s="120">
        <f t="shared" si="243"/>
        <v>969</v>
      </c>
      <c r="AK16" s="120">
        <f>ROUND((AK14+AL14+AM14+AN14)*取值表!$J$4*1.5%/4,0)</f>
        <v>913</v>
      </c>
      <c r="AL16" s="120">
        <f t="shared" ref="AL16:AN16" si="244">AK16</f>
        <v>913</v>
      </c>
      <c r="AM16" s="120">
        <f t="shared" si="244"/>
        <v>913</v>
      </c>
      <c r="AN16" s="120">
        <f t="shared" si="244"/>
        <v>913</v>
      </c>
      <c r="AO16" s="120">
        <f>ROUND((AO14+AP14+AQ14+AR14)*取值表!$J$4*1.5%/4,0)</f>
        <v>859</v>
      </c>
      <c r="AP16" s="120">
        <f t="shared" ref="AP16:AR16" si="245">AO16</f>
        <v>859</v>
      </c>
      <c r="AQ16" s="120">
        <f t="shared" si="245"/>
        <v>859</v>
      </c>
      <c r="AR16" s="120">
        <f t="shared" si="245"/>
        <v>859</v>
      </c>
      <c r="AS16" s="120">
        <f>ROUND((AS14+AT14+AU14+AV14)*取值表!$J$4*1.5%/4,0)</f>
        <v>809</v>
      </c>
      <c r="AT16" s="120">
        <f t="shared" ref="AT16:AV16" si="246">AS16</f>
        <v>809</v>
      </c>
      <c r="AU16" s="120">
        <f t="shared" si="246"/>
        <v>809</v>
      </c>
      <c r="AV16" s="120">
        <f t="shared" si="246"/>
        <v>809</v>
      </c>
      <c r="AW16" s="120">
        <f>ROUND((AW14+AX14+AY14+AZ14)*取值表!$J$4*1.5%/4,0)</f>
        <v>762</v>
      </c>
      <c r="AX16" s="120">
        <f t="shared" ref="AX16:AZ16" si="247">AW16</f>
        <v>762</v>
      </c>
      <c r="AY16" s="120">
        <f t="shared" si="247"/>
        <v>762</v>
      </c>
      <c r="AZ16" s="120">
        <f t="shared" si="247"/>
        <v>762</v>
      </c>
      <c r="BA16" s="120">
        <f>ROUND((BA14+BB14+BC14+BD14)*取值表!$J$4*1.5%/4,0)</f>
        <v>718</v>
      </c>
      <c r="BB16" s="120">
        <f t="shared" ref="BB16:BD16" si="248">BA16</f>
        <v>718</v>
      </c>
      <c r="BC16" s="120">
        <f t="shared" si="248"/>
        <v>718</v>
      </c>
      <c r="BD16" s="120">
        <f t="shared" si="248"/>
        <v>718</v>
      </c>
      <c r="BE16" s="120">
        <f>ROUND((BE14+BF14+BG14+BH14)*取值表!$J$4*1.5%/4,0)</f>
        <v>676</v>
      </c>
      <c r="BF16" s="120">
        <f t="shared" ref="BF16:BH16" si="249">BE16</f>
        <v>676</v>
      </c>
      <c r="BG16" s="120">
        <f t="shared" si="249"/>
        <v>676</v>
      </c>
      <c r="BH16" s="120">
        <f t="shared" si="249"/>
        <v>676</v>
      </c>
      <c r="BI16" s="120">
        <f>ROUND((BI14+BJ14+BK14+BL14)*取值表!$J$4*1.5%/4,0)</f>
        <v>637</v>
      </c>
      <c r="BJ16" s="120">
        <f t="shared" ref="BJ16:BL16" si="250">BI16</f>
        <v>637</v>
      </c>
      <c r="BK16" s="120">
        <f t="shared" si="250"/>
        <v>637</v>
      </c>
      <c r="BL16" s="120">
        <f t="shared" si="250"/>
        <v>637</v>
      </c>
      <c r="BM16" s="120">
        <f>ROUND((BM14+BN14+BO14+BP14)*取值表!$J$4*1.5%/4,0)</f>
        <v>600</v>
      </c>
      <c r="BN16" s="120">
        <f t="shared" ref="BN16:BP16" si="251">BM16</f>
        <v>600</v>
      </c>
      <c r="BO16" s="120">
        <f t="shared" si="251"/>
        <v>600</v>
      </c>
      <c r="BP16" s="120">
        <f t="shared" si="251"/>
        <v>600</v>
      </c>
      <c r="BQ16" s="120">
        <f>ROUND((BQ14+BR14+BS14+BT14)*取值表!$J$4*1.5%/4,0)</f>
        <v>565</v>
      </c>
      <c r="BR16" s="120">
        <f t="shared" ref="BR16:BT16" si="252">BQ16</f>
        <v>565</v>
      </c>
      <c r="BS16" s="120">
        <f t="shared" si="252"/>
        <v>565</v>
      </c>
      <c r="BT16" s="120">
        <f t="shared" si="252"/>
        <v>565</v>
      </c>
      <c r="BU16" s="120">
        <f>ROUND((BU14+BV14+BW14+BX14)*取值表!$J$4*1.5%/4,0)</f>
        <v>532</v>
      </c>
      <c r="BV16" s="120">
        <f t="shared" ref="BV16:BX16" si="253">BU16</f>
        <v>532</v>
      </c>
      <c r="BW16" s="120">
        <f t="shared" si="253"/>
        <v>532</v>
      </c>
      <c r="BX16" s="120">
        <f t="shared" si="253"/>
        <v>532</v>
      </c>
      <c r="BY16" s="120">
        <f>ROUND((BY14+BZ14+CA14+CB14)*取值表!$J$4*1.5%/4,0)</f>
        <v>501</v>
      </c>
      <c r="BZ16" s="120">
        <f t="shared" ref="BZ16:CB16" si="254">BY16</f>
        <v>501</v>
      </c>
      <c r="CA16" s="120">
        <f t="shared" si="254"/>
        <v>501</v>
      </c>
      <c r="CB16" s="120">
        <f t="shared" si="254"/>
        <v>501</v>
      </c>
      <c r="CC16" s="120">
        <f>ROUND((CC14+CD14+CE14+CF14)*取值表!$J$4*1.5%/4,0)</f>
        <v>472</v>
      </c>
      <c r="CD16" s="120">
        <f t="shared" ref="CD16:CF16" si="255">CC16</f>
        <v>472</v>
      </c>
      <c r="CE16" s="120">
        <f t="shared" si="255"/>
        <v>472</v>
      </c>
      <c r="CF16" s="120">
        <f t="shared" si="255"/>
        <v>472</v>
      </c>
      <c r="CG16" s="120">
        <f>ROUND((CG14+CH14+CI14+CJ14)*取值表!$J$4*1.5%/4,0)</f>
        <v>444</v>
      </c>
      <c r="CH16" s="120">
        <f t="shared" ref="CH16:CJ16" si="256">CG16</f>
        <v>444</v>
      </c>
      <c r="CI16" s="120">
        <f t="shared" si="256"/>
        <v>444</v>
      </c>
      <c r="CJ16" s="120">
        <f t="shared" si="256"/>
        <v>444</v>
      </c>
      <c r="CK16" s="120">
        <f t="shared" ref="CK16" si="257">CJ16</f>
        <v>444</v>
      </c>
      <c r="CL16" s="120">
        <f t="shared" ref="CL16" si="258">CK16</f>
        <v>444</v>
      </c>
      <c r="CM16" s="120">
        <f t="shared" ref="CM16" si="259">CL16</f>
        <v>444</v>
      </c>
      <c r="CN16" s="120">
        <f t="shared" ref="CN16" si="260">CM16</f>
        <v>444</v>
      </c>
      <c r="CO16" s="120">
        <f t="shared" ref="CO16" si="261">CN16</f>
        <v>444</v>
      </c>
      <c r="CP16" s="120">
        <f t="shared" ref="CP16" si="262">CO16</f>
        <v>444</v>
      </c>
      <c r="CQ16" s="120">
        <f t="shared" ref="CQ16" si="263">CP16</f>
        <v>444</v>
      </c>
      <c r="CR16" s="120">
        <f t="shared" ref="CR16" si="264">CQ16</f>
        <v>444</v>
      </c>
      <c r="CS16" s="120">
        <f t="shared" ref="CS16" si="265">CR16</f>
        <v>444</v>
      </c>
      <c r="CT16" s="120">
        <f t="shared" ref="CT16" si="266">CS16</f>
        <v>444</v>
      </c>
      <c r="CU16" s="120">
        <f t="shared" ref="CU16" si="267">CT16</f>
        <v>444</v>
      </c>
      <c r="CV16" s="120">
        <f t="shared" ref="CV16" si="268">CU16</f>
        <v>444</v>
      </c>
      <c r="CW16" s="120">
        <f t="shared" ref="CW16" si="269">CV16</f>
        <v>444</v>
      </c>
      <c r="CX16" s="120">
        <f t="shared" ref="CX16" si="270">CW16</f>
        <v>444</v>
      </c>
      <c r="CY16" s="120">
        <f t="shared" ref="CY16" si="271">CX16</f>
        <v>444</v>
      </c>
      <c r="CZ16" s="120">
        <f t="shared" ref="CZ16" si="272">CY16</f>
        <v>444</v>
      </c>
      <c r="DA16" s="120">
        <f t="shared" ref="DA16" si="273">CZ16</f>
        <v>444</v>
      </c>
      <c r="DB16" s="120">
        <f t="shared" ref="DB16" si="274">DA16</f>
        <v>444</v>
      </c>
      <c r="DC16" s="120">
        <f t="shared" ref="DC16" si="275">DB16</f>
        <v>444</v>
      </c>
      <c r="DD16" s="120">
        <f t="shared" ref="DD16" si="276">DC16</f>
        <v>444</v>
      </c>
      <c r="DE16" s="120">
        <f t="shared" ref="DE16" si="277">DD16</f>
        <v>444</v>
      </c>
      <c r="DF16" s="120">
        <f t="shared" ref="DF16" si="278">DE16</f>
        <v>444</v>
      </c>
      <c r="DG16" s="120">
        <f t="shared" ref="DG16" si="279">DF16</f>
        <v>444</v>
      </c>
      <c r="DH16" s="120">
        <f t="shared" ref="DH16" si="280">DG16</f>
        <v>444</v>
      </c>
      <c r="DI16" s="120">
        <f t="shared" ref="DI16" si="281">DH16</f>
        <v>444</v>
      </c>
      <c r="DJ16" s="120">
        <f t="shared" ref="DJ16" si="282">DI16</f>
        <v>444</v>
      </c>
      <c r="DK16" s="120">
        <f t="shared" ref="DK16" si="283">DJ16</f>
        <v>444</v>
      </c>
      <c r="DL16" s="120">
        <f t="shared" ref="DL16" si="284">DK16</f>
        <v>444</v>
      </c>
      <c r="DM16" s="120">
        <f t="shared" ref="DM16" si="285">DL16</f>
        <v>444</v>
      </c>
      <c r="DN16" s="120">
        <f t="shared" ref="DN16" si="286">DM16</f>
        <v>444</v>
      </c>
      <c r="DO16" s="120">
        <f t="shared" ref="DO16" si="287">DN16</f>
        <v>444</v>
      </c>
      <c r="DP16" s="120">
        <f t="shared" ref="DP16" si="288">DO16</f>
        <v>444</v>
      </c>
      <c r="DQ16" s="120">
        <f t="shared" ref="DQ16" si="289">DP16</f>
        <v>444</v>
      </c>
      <c r="DR16" s="120">
        <f t="shared" ref="DR16" si="290">DQ16</f>
        <v>444</v>
      </c>
      <c r="DS16" s="120">
        <f t="shared" ref="DS16" si="291">DR16</f>
        <v>444</v>
      </c>
      <c r="DT16" s="120">
        <f t="shared" ref="DT16" si="292">DS16</f>
        <v>444</v>
      </c>
      <c r="DU16" s="120">
        <f t="shared" ref="DU16" si="293">DT16</f>
        <v>444</v>
      </c>
      <c r="DV16" s="120">
        <f t="shared" ref="DV16" si="294">DU16</f>
        <v>444</v>
      </c>
      <c r="DW16" s="120">
        <f t="shared" ref="DW16" si="295">DV16</f>
        <v>444</v>
      </c>
      <c r="DX16" s="120">
        <f t="shared" ref="DX16" si="296">DW16</f>
        <v>444</v>
      </c>
      <c r="DY16" s="120">
        <f t="shared" ref="DY16" si="297">DX16</f>
        <v>444</v>
      </c>
      <c r="DZ16" s="120">
        <f t="shared" ref="DZ16" si="298">DY16</f>
        <v>444</v>
      </c>
      <c r="EA16" s="120">
        <f t="shared" ref="EA16" si="299">DZ16</f>
        <v>444</v>
      </c>
      <c r="EB16" s="120">
        <f t="shared" ref="EB16" si="300">EA16</f>
        <v>444</v>
      </c>
      <c r="EC16" s="120">
        <f t="shared" ref="EC16" si="301">EB16</f>
        <v>444</v>
      </c>
      <c r="ED16" s="120">
        <f t="shared" ref="ED16" si="302">EC16</f>
        <v>444</v>
      </c>
      <c r="EE16" s="120">
        <f t="shared" ref="EE16" si="303">ED16</f>
        <v>444</v>
      </c>
      <c r="EF16" s="120">
        <f t="shared" ref="EF16" si="304">EE16</f>
        <v>444</v>
      </c>
      <c r="EG16" s="120">
        <f t="shared" ref="EG16" si="305">EF16</f>
        <v>444</v>
      </c>
      <c r="EH16" s="120">
        <f t="shared" ref="EH16" si="306">EG16</f>
        <v>444</v>
      </c>
      <c r="EI16" s="120">
        <f t="shared" ref="EI16" si="307">EH16</f>
        <v>444</v>
      </c>
      <c r="EJ16" s="120">
        <f t="shared" ref="EJ16" si="308">EI16</f>
        <v>444</v>
      </c>
      <c r="EK16" s="120">
        <f>EJ16</f>
        <v>444</v>
      </c>
      <c r="EL16" s="120">
        <f t="shared" ref="EL16:EN16" si="309">EK16</f>
        <v>444</v>
      </c>
      <c r="EM16" s="120">
        <f t="shared" si="309"/>
        <v>444</v>
      </c>
      <c r="EN16" s="120">
        <f t="shared" si="309"/>
        <v>444</v>
      </c>
      <c r="EO16" s="121">
        <f t="shared" si="236"/>
        <v>97436</v>
      </c>
      <c r="ET16" s="40"/>
      <c r="EU16" s="40"/>
      <c r="EV16" s="40"/>
      <c r="EW16" s="40"/>
      <c r="EX16" s="40"/>
      <c r="EY16" s="40"/>
      <c r="EZ16" s="40"/>
      <c r="FA16" s="40"/>
      <c r="FB16" s="40"/>
      <c r="FC16" s="40"/>
      <c r="FD16" s="40"/>
      <c r="FE16" s="40"/>
      <c r="FF16" s="40"/>
      <c r="FG16" s="40"/>
      <c r="FH16" s="40"/>
      <c r="FI16" s="40"/>
      <c r="FJ16" s="40"/>
      <c r="FK16" s="40"/>
      <c r="FL16" s="40"/>
      <c r="FM16" s="40"/>
      <c r="FN16" s="40"/>
      <c r="FO16" s="40"/>
      <c r="FP16" s="40"/>
      <c r="FQ16" s="40"/>
      <c r="FR16" s="40"/>
      <c r="FS16" s="40"/>
      <c r="FT16" s="40"/>
      <c r="FU16" s="40"/>
      <c r="FV16" s="40"/>
      <c r="FW16" s="40"/>
      <c r="FX16" s="40"/>
      <c r="FY16" s="40"/>
      <c r="FZ16" s="40"/>
      <c r="GA16" s="40"/>
      <c r="GB16" s="40"/>
      <c r="GC16" s="40"/>
      <c r="GD16" s="40"/>
      <c r="GE16" s="40"/>
      <c r="GF16" s="40"/>
      <c r="GG16" s="40"/>
      <c r="GH16" s="40"/>
      <c r="GI16" s="40"/>
      <c r="GJ16" s="40"/>
      <c r="GK16" s="40"/>
      <c r="GL16" s="40"/>
      <c r="GM16" s="40"/>
      <c r="GN16" s="40"/>
      <c r="GO16" s="40"/>
      <c r="GP16" s="40"/>
      <c r="GQ16" s="40"/>
      <c r="GR16" s="40"/>
      <c r="GS16" s="40"/>
      <c r="GT16" s="40"/>
      <c r="GU16" s="40"/>
      <c r="GV16" s="40"/>
      <c r="GW16" s="40"/>
      <c r="GX16" s="67"/>
    </row>
    <row r="17" spans="1:206" s="212" customFormat="1">
      <c r="A17" s="210"/>
      <c r="B17" s="122" t="s">
        <v>1210</v>
      </c>
      <c r="C17" s="120"/>
      <c r="D17" s="119"/>
      <c r="E17" s="120">
        <f>E18+E19+E20</f>
        <v>1049367</v>
      </c>
      <c r="F17" s="120">
        <f t="shared" ref="F17:BQ17" si="310">F18+F19+F20</f>
        <v>1049367</v>
      </c>
      <c r="G17" s="120">
        <f t="shared" si="310"/>
        <v>1049367</v>
      </c>
      <c r="H17" s="120">
        <f t="shared" si="310"/>
        <v>1049367</v>
      </c>
      <c r="I17" s="120">
        <f t="shared" ref="I17:O17" si="311">I18+I19+I20</f>
        <v>988231</v>
      </c>
      <c r="J17" s="120">
        <f t="shared" si="311"/>
        <v>988231</v>
      </c>
      <c r="K17" s="120">
        <f t="shared" si="311"/>
        <v>988231</v>
      </c>
      <c r="L17" s="120">
        <f t="shared" si="311"/>
        <v>988231</v>
      </c>
      <c r="M17" s="120">
        <f t="shared" si="311"/>
        <v>930657</v>
      </c>
      <c r="N17" s="120">
        <f t="shared" si="311"/>
        <v>930657</v>
      </c>
      <c r="O17" s="120">
        <f t="shared" si="311"/>
        <v>930657</v>
      </c>
      <c r="P17" s="120">
        <f t="shared" si="310"/>
        <v>930657</v>
      </c>
      <c r="Q17" s="120">
        <f t="shared" si="310"/>
        <v>876439</v>
      </c>
      <c r="R17" s="120">
        <f t="shared" si="310"/>
        <v>876439</v>
      </c>
      <c r="S17" s="120">
        <f t="shared" si="310"/>
        <v>876439</v>
      </c>
      <c r="T17" s="120">
        <f t="shared" si="310"/>
        <v>876439</v>
      </c>
      <c r="U17" s="120">
        <f t="shared" si="310"/>
        <v>825377</v>
      </c>
      <c r="V17" s="120">
        <f t="shared" si="310"/>
        <v>825377</v>
      </c>
      <c r="W17" s="120">
        <f t="shared" si="310"/>
        <v>825377</v>
      </c>
      <c r="X17" s="120">
        <f t="shared" si="310"/>
        <v>825377</v>
      </c>
      <c r="Y17" s="120">
        <f t="shared" si="310"/>
        <v>777292</v>
      </c>
      <c r="Z17" s="120">
        <f t="shared" si="310"/>
        <v>777292</v>
      </c>
      <c r="AA17" s="120">
        <f t="shared" si="310"/>
        <v>777292</v>
      </c>
      <c r="AB17" s="120">
        <f t="shared" si="310"/>
        <v>777292</v>
      </c>
      <c r="AC17" s="120">
        <f t="shared" si="310"/>
        <v>732007</v>
      </c>
      <c r="AD17" s="120">
        <f t="shared" si="310"/>
        <v>732007</v>
      </c>
      <c r="AE17" s="120">
        <f t="shared" si="310"/>
        <v>732007</v>
      </c>
      <c r="AF17" s="120">
        <f t="shared" si="310"/>
        <v>732007</v>
      </c>
      <c r="AG17" s="120">
        <f t="shared" si="310"/>
        <v>689361</v>
      </c>
      <c r="AH17" s="120">
        <f t="shared" si="310"/>
        <v>689361</v>
      </c>
      <c r="AI17" s="120">
        <f t="shared" si="310"/>
        <v>689361</v>
      </c>
      <c r="AJ17" s="120">
        <f t="shared" si="310"/>
        <v>689361</v>
      </c>
      <c r="AK17" s="120">
        <f t="shared" si="310"/>
        <v>649200</v>
      </c>
      <c r="AL17" s="120">
        <f t="shared" si="310"/>
        <v>649200</v>
      </c>
      <c r="AM17" s="120">
        <f t="shared" si="310"/>
        <v>649200</v>
      </c>
      <c r="AN17" s="120">
        <f t="shared" si="310"/>
        <v>649200</v>
      </c>
      <c r="AO17" s="120">
        <f t="shared" si="310"/>
        <v>611377</v>
      </c>
      <c r="AP17" s="120">
        <f t="shared" si="310"/>
        <v>611377</v>
      </c>
      <c r="AQ17" s="120">
        <f t="shared" si="310"/>
        <v>611377</v>
      </c>
      <c r="AR17" s="120">
        <f t="shared" si="310"/>
        <v>611377</v>
      </c>
      <c r="AS17" s="120">
        <f t="shared" si="310"/>
        <v>575760</v>
      </c>
      <c r="AT17" s="120">
        <f t="shared" si="310"/>
        <v>575760</v>
      </c>
      <c r="AU17" s="120">
        <f t="shared" si="310"/>
        <v>575760</v>
      </c>
      <c r="AV17" s="120">
        <f t="shared" si="310"/>
        <v>575760</v>
      </c>
      <c r="AW17" s="120">
        <f t="shared" si="310"/>
        <v>542217</v>
      </c>
      <c r="AX17" s="120">
        <f t="shared" si="310"/>
        <v>542217</v>
      </c>
      <c r="AY17" s="120">
        <f t="shared" si="310"/>
        <v>542217</v>
      </c>
      <c r="AZ17" s="120">
        <f t="shared" si="310"/>
        <v>542217</v>
      </c>
      <c r="BA17" s="120">
        <f t="shared" si="310"/>
        <v>510628</v>
      </c>
      <c r="BB17" s="120">
        <f t="shared" si="310"/>
        <v>510628</v>
      </c>
      <c r="BC17" s="120">
        <f t="shared" si="310"/>
        <v>510628</v>
      </c>
      <c r="BD17" s="120">
        <f t="shared" si="310"/>
        <v>510628</v>
      </c>
      <c r="BE17" s="120">
        <f t="shared" si="310"/>
        <v>480879</v>
      </c>
      <c r="BF17" s="120">
        <f t="shared" si="310"/>
        <v>480879</v>
      </c>
      <c r="BG17" s="120">
        <f t="shared" si="310"/>
        <v>480879</v>
      </c>
      <c r="BH17" s="120">
        <f t="shared" si="310"/>
        <v>480879</v>
      </c>
      <c r="BI17" s="120">
        <f t="shared" si="310"/>
        <v>452863</v>
      </c>
      <c r="BJ17" s="120">
        <f t="shared" si="310"/>
        <v>452863</v>
      </c>
      <c r="BK17" s="120">
        <f t="shared" si="310"/>
        <v>452863</v>
      </c>
      <c r="BL17" s="120">
        <f t="shared" si="310"/>
        <v>452863</v>
      </c>
      <c r="BM17" s="120">
        <f t="shared" si="310"/>
        <v>426480</v>
      </c>
      <c r="BN17" s="120">
        <f t="shared" si="310"/>
        <v>426480</v>
      </c>
      <c r="BO17" s="120">
        <f t="shared" si="310"/>
        <v>426480</v>
      </c>
      <c r="BP17" s="120">
        <f t="shared" si="310"/>
        <v>426480</v>
      </c>
      <c r="BQ17" s="120">
        <f t="shared" si="310"/>
        <v>401633</v>
      </c>
      <c r="BR17" s="120">
        <f t="shared" ref="BR17:CJ17" si="312">BR18+BR19+BR20</f>
        <v>401633</v>
      </c>
      <c r="BS17" s="120">
        <f t="shared" si="312"/>
        <v>401633</v>
      </c>
      <c r="BT17" s="120">
        <f t="shared" si="312"/>
        <v>401633</v>
      </c>
      <c r="BU17" s="120">
        <f t="shared" si="312"/>
        <v>378235</v>
      </c>
      <c r="BV17" s="120">
        <f t="shared" si="312"/>
        <v>378235</v>
      </c>
      <c r="BW17" s="120">
        <f t="shared" si="312"/>
        <v>378235</v>
      </c>
      <c r="BX17" s="120">
        <f t="shared" si="312"/>
        <v>378235</v>
      </c>
      <c r="BY17" s="120">
        <f t="shared" si="312"/>
        <v>356199</v>
      </c>
      <c r="BZ17" s="120">
        <f t="shared" si="312"/>
        <v>356199</v>
      </c>
      <c r="CA17" s="120">
        <f t="shared" si="312"/>
        <v>356199</v>
      </c>
      <c r="CB17" s="120">
        <f t="shared" si="312"/>
        <v>356199</v>
      </c>
      <c r="CC17" s="120">
        <f t="shared" si="312"/>
        <v>335447</v>
      </c>
      <c r="CD17" s="120">
        <f t="shared" si="312"/>
        <v>335447</v>
      </c>
      <c r="CE17" s="120">
        <f t="shared" si="312"/>
        <v>335447</v>
      </c>
      <c r="CF17" s="120">
        <f t="shared" si="312"/>
        <v>335447</v>
      </c>
      <c r="CG17" s="120">
        <f t="shared" si="312"/>
        <v>315904</v>
      </c>
      <c r="CH17" s="120">
        <f t="shared" si="312"/>
        <v>315904</v>
      </c>
      <c r="CI17" s="120">
        <f t="shared" si="312"/>
        <v>315904</v>
      </c>
      <c r="CJ17" s="120">
        <f t="shared" si="312"/>
        <v>315904</v>
      </c>
      <c r="CK17" s="120">
        <f t="shared" ref="CK17:EJ17" si="313">CK18+CK19+CK20</f>
        <v>297505</v>
      </c>
      <c r="CL17" s="120">
        <f t="shared" si="313"/>
        <v>297505</v>
      </c>
      <c r="CM17" s="120">
        <f t="shared" si="313"/>
        <v>297505</v>
      </c>
      <c r="CN17" s="120">
        <f t="shared" si="313"/>
        <v>297505</v>
      </c>
      <c r="CO17" s="120">
        <f t="shared" si="313"/>
        <v>280178</v>
      </c>
      <c r="CP17" s="120">
        <f t="shared" si="313"/>
        <v>280178</v>
      </c>
      <c r="CQ17" s="120">
        <f t="shared" si="313"/>
        <v>280178</v>
      </c>
      <c r="CR17" s="120">
        <f t="shared" si="313"/>
        <v>280178</v>
      </c>
      <c r="CS17" s="120">
        <f t="shared" si="313"/>
        <v>263861</v>
      </c>
      <c r="CT17" s="120">
        <f t="shared" si="313"/>
        <v>263861</v>
      </c>
      <c r="CU17" s="120">
        <f t="shared" si="313"/>
        <v>263861</v>
      </c>
      <c r="CV17" s="120">
        <f t="shared" si="313"/>
        <v>263861</v>
      </c>
      <c r="CW17" s="120">
        <f t="shared" si="313"/>
        <v>248495</v>
      </c>
      <c r="CX17" s="120">
        <f t="shared" si="313"/>
        <v>248495</v>
      </c>
      <c r="CY17" s="120">
        <f t="shared" si="313"/>
        <v>248495</v>
      </c>
      <c r="CZ17" s="120">
        <f t="shared" si="313"/>
        <v>248495</v>
      </c>
      <c r="DA17" s="120">
        <f t="shared" si="313"/>
        <v>234023</v>
      </c>
      <c r="DB17" s="120">
        <f t="shared" si="313"/>
        <v>234023</v>
      </c>
      <c r="DC17" s="120">
        <f t="shared" si="313"/>
        <v>234023</v>
      </c>
      <c r="DD17" s="120">
        <f t="shared" si="313"/>
        <v>234023</v>
      </c>
      <c r="DE17" s="120">
        <f t="shared" si="313"/>
        <v>220395</v>
      </c>
      <c r="DF17" s="120">
        <f t="shared" si="313"/>
        <v>220395</v>
      </c>
      <c r="DG17" s="120">
        <f t="shared" si="313"/>
        <v>220395</v>
      </c>
      <c r="DH17" s="120">
        <f t="shared" si="313"/>
        <v>220395</v>
      </c>
      <c r="DI17" s="120">
        <f t="shared" si="313"/>
        <v>207559</v>
      </c>
      <c r="DJ17" s="120">
        <f t="shared" si="313"/>
        <v>207559</v>
      </c>
      <c r="DK17" s="120">
        <f t="shared" si="313"/>
        <v>207559</v>
      </c>
      <c r="DL17" s="120">
        <f t="shared" si="313"/>
        <v>207559</v>
      </c>
      <c r="DM17" s="120">
        <f t="shared" si="313"/>
        <v>195473</v>
      </c>
      <c r="DN17" s="120">
        <f t="shared" si="313"/>
        <v>195473</v>
      </c>
      <c r="DO17" s="120">
        <f t="shared" si="313"/>
        <v>195473</v>
      </c>
      <c r="DP17" s="120">
        <f t="shared" si="313"/>
        <v>195473</v>
      </c>
      <c r="DQ17" s="120">
        <f t="shared" si="313"/>
        <v>184091</v>
      </c>
      <c r="DR17" s="120">
        <f t="shared" si="313"/>
        <v>184091</v>
      </c>
      <c r="DS17" s="120">
        <f t="shared" si="313"/>
        <v>184091</v>
      </c>
      <c r="DT17" s="120">
        <f t="shared" si="313"/>
        <v>184091</v>
      </c>
      <c r="DU17" s="120">
        <f t="shared" si="313"/>
        <v>173371</v>
      </c>
      <c r="DV17" s="120">
        <f t="shared" si="313"/>
        <v>173371</v>
      </c>
      <c r="DW17" s="120">
        <f t="shared" si="313"/>
        <v>173371</v>
      </c>
      <c r="DX17" s="120">
        <f t="shared" si="313"/>
        <v>173371</v>
      </c>
      <c r="DY17" s="120">
        <f t="shared" si="313"/>
        <v>163276</v>
      </c>
      <c r="DZ17" s="120">
        <f t="shared" si="313"/>
        <v>163276</v>
      </c>
      <c r="EA17" s="120">
        <f t="shared" si="313"/>
        <v>163276</v>
      </c>
      <c r="EB17" s="120">
        <f t="shared" si="313"/>
        <v>163276</v>
      </c>
      <c r="EC17" s="120">
        <f t="shared" si="313"/>
        <v>153769</v>
      </c>
      <c r="ED17" s="120">
        <f t="shared" si="313"/>
        <v>153769</v>
      </c>
      <c r="EE17" s="120">
        <f t="shared" si="313"/>
        <v>153769</v>
      </c>
      <c r="EF17" s="120">
        <f t="shared" si="313"/>
        <v>153769</v>
      </c>
      <c r="EG17" s="120">
        <f t="shared" si="313"/>
        <v>144816</v>
      </c>
      <c r="EH17" s="120">
        <f t="shared" si="313"/>
        <v>144816</v>
      </c>
      <c r="EI17" s="120">
        <f t="shared" si="313"/>
        <v>144816</v>
      </c>
      <c r="EJ17" s="120">
        <f t="shared" si="313"/>
        <v>144816</v>
      </c>
      <c r="EK17" s="120">
        <f>EK18+EK19+EK20</f>
        <v>136385</v>
      </c>
      <c r="EL17" s="120">
        <f t="shared" ref="EL17:EN17" si="314">EL18+EL19+EL20</f>
        <v>136385</v>
      </c>
      <c r="EM17" s="120">
        <f t="shared" si="314"/>
        <v>136385</v>
      </c>
      <c r="EN17" s="120">
        <f t="shared" si="314"/>
        <v>136385</v>
      </c>
      <c r="EO17" s="121">
        <f t="shared" si="236"/>
        <v>63235000</v>
      </c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211"/>
    </row>
    <row r="18" spans="1:206" s="212" customFormat="1">
      <c r="A18" s="210"/>
      <c r="B18" s="11" t="s">
        <v>1211</v>
      </c>
      <c r="C18" s="11"/>
      <c r="D18" s="215">
        <v>0.12</v>
      </c>
      <c r="E18" s="216">
        <f>ROUND(E13*$D$18,0)</f>
        <v>590269</v>
      </c>
      <c r="F18" s="216">
        <f t="shared" ref="F18:J18" si="315">ROUND(F13*$D$18,0)</f>
        <v>590269</v>
      </c>
      <c r="G18" s="216">
        <f t="shared" si="315"/>
        <v>590269</v>
      </c>
      <c r="H18" s="216">
        <f t="shared" si="315"/>
        <v>590269</v>
      </c>
      <c r="I18" s="216">
        <f t="shared" si="315"/>
        <v>555880</v>
      </c>
      <c r="J18" s="216">
        <f t="shared" si="315"/>
        <v>555880</v>
      </c>
      <c r="K18" s="216">
        <f t="shared" ref="K18:BV18" si="316">ROUND(K13*$D$18,0)</f>
        <v>555880</v>
      </c>
      <c r="L18" s="216">
        <f t="shared" si="316"/>
        <v>555880</v>
      </c>
      <c r="M18" s="216">
        <f t="shared" si="316"/>
        <v>523495</v>
      </c>
      <c r="N18" s="216">
        <f t="shared" si="316"/>
        <v>523495</v>
      </c>
      <c r="O18" s="216">
        <f t="shared" si="316"/>
        <v>523495</v>
      </c>
      <c r="P18" s="216">
        <f t="shared" si="316"/>
        <v>523495</v>
      </c>
      <c r="Q18" s="216">
        <f t="shared" si="316"/>
        <v>492997</v>
      </c>
      <c r="R18" s="216">
        <f t="shared" si="316"/>
        <v>492997</v>
      </c>
      <c r="S18" s="216">
        <f t="shared" si="316"/>
        <v>492997</v>
      </c>
      <c r="T18" s="216">
        <f t="shared" si="316"/>
        <v>492997</v>
      </c>
      <c r="U18" s="216">
        <f t="shared" si="316"/>
        <v>464275</v>
      </c>
      <c r="V18" s="216">
        <f t="shared" si="316"/>
        <v>464275</v>
      </c>
      <c r="W18" s="216">
        <f t="shared" si="316"/>
        <v>464275</v>
      </c>
      <c r="X18" s="216">
        <f t="shared" si="316"/>
        <v>464275</v>
      </c>
      <c r="Y18" s="216">
        <f t="shared" si="316"/>
        <v>437227</v>
      </c>
      <c r="Z18" s="216">
        <f t="shared" si="316"/>
        <v>437227</v>
      </c>
      <c r="AA18" s="216">
        <f t="shared" si="316"/>
        <v>437227</v>
      </c>
      <c r="AB18" s="216">
        <f t="shared" si="316"/>
        <v>437227</v>
      </c>
      <c r="AC18" s="216">
        <f t="shared" si="316"/>
        <v>411754</v>
      </c>
      <c r="AD18" s="216">
        <f t="shared" si="316"/>
        <v>411754</v>
      </c>
      <c r="AE18" s="216">
        <f t="shared" si="316"/>
        <v>411754</v>
      </c>
      <c r="AF18" s="216">
        <f t="shared" si="316"/>
        <v>411754</v>
      </c>
      <c r="AG18" s="216">
        <f t="shared" si="316"/>
        <v>387766</v>
      </c>
      <c r="AH18" s="216">
        <f t="shared" si="316"/>
        <v>387766</v>
      </c>
      <c r="AI18" s="216">
        <f t="shared" si="316"/>
        <v>387766</v>
      </c>
      <c r="AJ18" s="216">
        <f t="shared" si="316"/>
        <v>387766</v>
      </c>
      <c r="AK18" s="216">
        <f t="shared" si="316"/>
        <v>365175</v>
      </c>
      <c r="AL18" s="216">
        <f t="shared" si="316"/>
        <v>365175</v>
      </c>
      <c r="AM18" s="216">
        <f t="shared" si="316"/>
        <v>365175</v>
      </c>
      <c r="AN18" s="216">
        <f t="shared" si="316"/>
        <v>365175</v>
      </c>
      <c r="AO18" s="216">
        <f t="shared" si="316"/>
        <v>343900</v>
      </c>
      <c r="AP18" s="216">
        <f t="shared" si="316"/>
        <v>343900</v>
      </c>
      <c r="AQ18" s="216">
        <f t="shared" si="316"/>
        <v>343900</v>
      </c>
      <c r="AR18" s="216">
        <f t="shared" si="316"/>
        <v>343900</v>
      </c>
      <c r="AS18" s="216">
        <f t="shared" si="316"/>
        <v>323865</v>
      </c>
      <c r="AT18" s="216">
        <f t="shared" si="316"/>
        <v>323865</v>
      </c>
      <c r="AU18" s="216">
        <f t="shared" si="316"/>
        <v>323865</v>
      </c>
      <c r="AV18" s="216">
        <f t="shared" si="316"/>
        <v>323865</v>
      </c>
      <c r="AW18" s="216">
        <f t="shared" si="316"/>
        <v>304997</v>
      </c>
      <c r="AX18" s="216">
        <f t="shared" si="316"/>
        <v>304997</v>
      </c>
      <c r="AY18" s="216">
        <f t="shared" si="316"/>
        <v>304997</v>
      </c>
      <c r="AZ18" s="216">
        <f t="shared" si="316"/>
        <v>304997</v>
      </c>
      <c r="BA18" s="216">
        <f t="shared" si="316"/>
        <v>287228</v>
      </c>
      <c r="BB18" s="216">
        <f t="shared" si="316"/>
        <v>287228</v>
      </c>
      <c r="BC18" s="216">
        <f t="shared" si="316"/>
        <v>287228</v>
      </c>
      <c r="BD18" s="216">
        <f t="shared" si="316"/>
        <v>287228</v>
      </c>
      <c r="BE18" s="216">
        <f t="shared" si="316"/>
        <v>270494</v>
      </c>
      <c r="BF18" s="216">
        <f t="shared" si="316"/>
        <v>270494</v>
      </c>
      <c r="BG18" s="216">
        <f t="shared" si="316"/>
        <v>270494</v>
      </c>
      <c r="BH18" s="216">
        <f t="shared" si="316"/>
        <v>270494</v>
      </c>
      <c r="BI18" s="216">
        <f t="shared" si="316"/>
        <v>254735</v>
      </c>
      <c r="BJ18" s="216">
        <f t="shared" si="316"/>
        <v>254735</v>
      </c>
      <c r="BK18" s="216">
        <f t="shared" si="316"/>
        <v>254735</v>
      </c>
      <c r="BL18" s="216">
        <f t="shared" si="316"/>
        <v>254735</v>
      </c>
      <c r="BM18" s="216">
        <f t="shared" si="316"/>
        <v>239895</v>
      </c>
      <c r="BN18" s="216">
        <f t="shared" si="316"/>
        <v>239895</v>
      </c>
      <c r="BO18" s="216">
        <f t="shared" si="316"/>
        <v>239895</v>
      </c>
      <c r="BP18" s="216">
        <f t="shared" si="316"/>
        <v>239895</v>
      </c>
      <c r="BQ18" s="216">
        <f t="shared" si="316"/>
        <v>225919</v>
      </c>
      <c r="BR18" s="216">
        <f t="shared" si="316"/>
        <v>225919</v>
      </c>
      <c r="BS18" s="216">
        <f t="shared" si="316"/>
        <v>225919</v>
      </c>
      <c r="BT18" s="216">
        <f t="shared" si="316"/>
        <v>225919</v>
      </c>
      <c r="BU18" s="216">
        <f t="shared" si="316"/>
        <v>212757</v>
      </c>
      <c r="BV18" s="216">
        <f t="shared" si="316"/>
        <v>212757</v>
      </c>
      <c r="BW18" s="216">
        <f t="shared" ref="BW18:CJ18" si="317">ROUND(BW13*$D$18,0)</f>
        <v>212757</v>
      </c>
      <c r="BX18" s="216">
        <f t="shared" si="317"/>
        <v>212757</v>
      </c>
      <c r="BY18" s="216">
        <f t="shared" si="317"/>
        <v>200362</v>
      </c>
      <c r="BZ18" s="216">
        <f t="shared" si="317"/>
        <v>200362</v>
      </c>
      <c r="CA18" s="216">
        <f t="shared" si="317"/>
        <v>200362</v>
      </c>
      <c r="CB18" s="216">
        <f t="shared" si="317"/>
        <v>200362</v>
      </c>
      <c r="CC18" s="216">
        <f t="shared" si="317"/>
        <v>188689</v>
      </c>
      <c r="CD18" s="216">
        <f t="shared" si="317"/>
        <v>188689</v>
      </c>
      <c r="CE18" s="216">
        <f t="shared" si="317"/>
        <v>188689</v>
      </c>
      <c r="CF18" s="216">
        <f t="shared" si="317"/>
        <v>188689</v>
      </c>
      <c r="CG18" s="216">
        <f t="shared" si="317"/>
        <v>177696</v>
      </c>
      <c r="CH18" s="216">
        <f t="shared" si="317"/>
        <v>177696</v>
      </c>
      <c r="CI18" s="216">
        <f t="shared" si="317"/>
        <v>177696</v>
      </c>
      <c r="CJ18" s="216">
        <f t="shared" si="317"/>
        <v>177696</v>
      </c>
      <c r="CK18" s="216">
        <f t="shared" ref="CK18:EJ18" si="318">ROUND(CK13*$D$18,0)</f>
        <v>167347</v>
      </c>
      <c r="CL18" s="216">
        <f t="shared" si="318"/>
        <v>167347</v>
      </c>
      <c r="CM18" s="216">
        <f t="shared" si="318"/>
        <v>167347</v>
      </c>
      <c r="CN18" s="216">
        <f t="shared" si="318"/>
        <v>167347</v>
      </c>
      <c r="CO18" s="216">
        <f t="shared" si="318"/>
        <v>157600</v>
      </c>
      <c r="CP18" s="216">
        <f t="shared" si="318"/>
        <v>157600</v>
      </c>
      <c r="CQ18" s="216">
        <f t="shared" si="318"/>
        <v>157600</v>
      </c>
      <c r="CR18" s="216">
        <f t="shared" si="318"/>
        <v>157600</v>
      </c>
      <c r="CS18" s="216">
        <f t="shared" si="318"/>
        <v>148422</v>
      </c>
      <c r="CT18" s="216">
        <f t="shared" si="318"/>
        <v>148422</v>
      </c>
      <c r="CU18" s="216">
        <f t="shared" si="318"/>
        <v>148422</v>
      </c>
      <c r="CV18" s="216">
        <f t="shared" si="318"/>
        <v>148422</v>
      </c>
      <c r="CW18" s="216">
        <f t="shared" si="318"/>
        <v>139778</v>
      </c>
      <c r="CX18" s="216">
        <f t="shared" si="318"/>
        <v>139778</v>
      </c>
      <c r="CY18" s="216">
        <f t="shared" si="318"/>
        <v>139778</v>
      </c>
      <c r="CZ18" s="216">
        <f t="shared" si="318"/>
        <v>139778</v>
      </c>
      <c r="DA18" s="216">
        <f t="shared" si="318"/>
        <v>131638</v>
      </c>
      <c r="DB18" s="216">
        <f t="shared" si="318"/>
        <v>131638</v>
      </c>
      <c r="DC18" s="216">
        <f t="shared" si="318"/>
        <v>131638</v>
      </c>
      <c r="DD18" s="216">
        <f t="shared" si="318"/>
        <v>131638</v>
      </c>
      <c r="DE18" s="216">
        <f t="shared" si="318"/>
        <v>123972</v>
      </c>
      <c r="DF18" s="216">
        <f t="shared" si="318"/>
        <v>123972</v>
      </c>
      <c r="DG18" s="216">
        <f t="shared" si="318"/>
        <v>123972</v>
      </c>
      <c r="DH18" s="216">
        <f t="shared" si="318"/>
        <v>123972</v>
      </c>
      <c r="DI18" s="216">
        <f t="shared" si="318"/>
        <v>116752</v>
      </c>
      <c r="DJ18" s="216">
        <f t="shared" si="318"/>
        <v>116752</v>
      </c>
      <c r="DK18" s="216">
        <f t="shared" si="318"/>
        <v>116752</v>
      </c>
      <c r="DL18" s="216">
        <f t="shared" si="318"/>
        <v>116752</v>
      </c>
      <c r="DM18" s="216">
        <f t="shared" si="318"/>
        <v>109954</v>
      </c>
      <c r="DN18" s="216">
        <f t="shared" si="318"/>
        <v>109954</v>
      </c>
      <c r="DO18" s="216">
        <f t="shared" si="318"/>
        <v>109954</v>
      </c>
      <c r="DP18" s="216">
        <f t="shared" si="318"/>
        <v>109954</v>
      </c>
      <c r="DQ18" s="216">
        <f t="shared" si="318"/>
        <v>103551</v>
      </c>
      <c r="DR18" s="216">
        <f t="shared" si="318"/>
        <v>103551</v>
      </c>
      <c r="DS18" s="216">
        <f t="shared" si="318"/>
        <v>103551</v>
      </c>
      <c r="DT18" s="216">
        <f t="shared" si="318"/>
        <v>103551</v>
      </c>
      <c r="DU18" s="216">
        <f t="shared" si="318"/>
        <v>97521</v>
      </c>
      <c r="DV18" s="216">
        <f t="shared" si="318"/>
        <v>97521</v>
      </c>
      <c r="DW18" s="216">
        <f t="shared" si="318"/>
        <v>97521</v>
      </c>
      <c r="DX18" s="216">
        <f t="shared" si="318"/>
        <v>97521</v>
      </c>
      <c r="DY18" s="216">
        <f t="shared" si="318"/>
        <v>91843</v>
      </c>
      <c r="DZ18" s="216">
        <f t="shared" si="318"/>
        <v>91843</v>
      </c>
      <c r="EA18" s="216">
        <f t="shared" si="318"/>
        <v>91843</v>
      </c>
      <c r="EB18" s="216">
        <f t="shared" si="318"/>
        <v>91843</v>
      </c>
      <c r="EC18" s="216">
        <f t="shared" si="318"/>
        <v>86495</v>
      </c>
      <c r="ED18" s="216">
        <f t="shared" si="318"/>
        <v>86495</v>
      </c>
      <c r="EE18" s="216">
        <f t="shared" si="318"/>
        <v>86495</v>
      </c>
      <c r="EF18" s="216">
        <f t="shared" si="318"/>
        <v>86495</v>
      </c>
      <c r="EG18" s="216">
        <f t="shared" si="318"/>
        <v>81459</v>
      </c>
      <c r="EH18" s="216">
        <f t="shared" si="318"/>
        <v>81459</v>
      </c>
      <c r="EI18" s="216">
        <f t="shared" si="318"/>
        <v>81459</v>
      </c>
      <c r="EJ18" s="216">
        <f t="shared" si="318"/>
        <v>81459</v>
      </c>
      <c r="EK18" s="216">
        <f>ROUND(EK13*$D$18,0)</f>
        <v>76717</v>
      </c>
      <c r="EL18" s="216">
        <f t="shared" ref="EL18:EN18" si="319">ROUND(EL13*$D$18,0)</f>
        <v>76717</v>
      </c>
      <c r="EM18" s="216">
        <f t="shared" si="319"/>
        <v>76717</v>
      </c>
      <c r="EN18" s="216">
        <f t="shared" si="319"/>
        <v>76717</v>
      </c>
      <c r="EO18" s="121">
        <f t="shared" si="236"/>
        <v>35569696</v>
      </c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211"/>
    </row>
    <row r="19" spans="1:206">
      <c r="A19" s="59"/>
      <c r="B19" s="11" t="s">
        <v>1212</v>
      </c>
      <c r="C19" s="11"/>
      <c r="D19" s="119">
        <v>5.6000000000000001E-2</v>
      </c>
      <c r="E19" s="120">
        <f>ROUND(E13*$D$19/(1+5%),0)</f>
        <v>262342</v>
      </c>
      <c r="F19" s="120">
        <f t="shared" ref="F19:J19" si="320">ROUND(F13*$D$19/(1+5%),0)</f>
        <v>262342</v>
      </c>
      <c r="G19" s="120">
        <f t="shared" si="320"/>
        <v>262342</v>
      </c>
      <c r="H19" s="120">
        <f t="shared" si="320"/>
        <v>262342</v>
      </c>
      <c r="I19" s="120">
        <f t="shared" si="320"/>
        <v>247058</v>
      </c>
      <c r="J19" s="120">
        <f t="shared" si="320"/>
        <v>247058</v>
      </c>
      <c r="K19" s="120">
        <f t="shared" ref="K19:BV19" si="321">ROUND(K13*$D$19/(1+5%),0)</f>
        <v>247058</v>
      </c>
      <c r="L19" s="120">
        <f t="shared" si="321"/>
        <v>247058</v>
      </c>
      <c r="M19" s="120">
        <f t="shared" si="321"/>
        <v>232664</v>
      </c>
      <c r="N19" s="120">
        <f t="shared" si="321"/>
        <v>232664</v>
      </c>
      <c r="O19" s="120">
        <f t="shared" si="321"/>
        <v>232664</v>
      </c>
      <c r="P19" s="120">
        <f t="shared" si="321"/>
        <v>232664</v>
      </c>
      <c r="Q19" s="120">
        <f t="shared" si="321"/>
        <v>219110</v>
      </c>
      <c r="R19" s="120">
        <f t="shared" si="321"/>
        <v>219110</v>
      </c>
      <c r="S19" s="120">
        <f t="shared" si="321"/>
        <v>219110</v>
      </c>
      <c r="T19" s="120">
        <f t="shared" si="321"/>
        <v>219110</v>
      </c>
      <c r="U19" s="120">
        <f t="shared" si="321"/>
        <v>206344</v>
      </c>
      <c r="V19" s="120">
        <f t="shared" si="321"/>
        <v>206344</v>
      </c>
      <c r="W19" s="120">
        <f t="shared" si="321"/>
        <v>206344</v>
      </c>
      <c r="X19" s="120">
        <f t="shared" si="321"/>
        <v>206344</v>
      </c>
      <c r="Y19" s="120">
        <f t="shared" si="321"/>
        <v>194323</v>
      </c>
      <c r="Z19" s="120">
        <f t="shared" si="321"/>
        <v>194323</v>
      </c>
      <c r="AA19" s="120">
        <f t="shared" si="321"/>
        <v>194323</v>
      </c>
      <c r="AB19" s="120">
        <f t="shared" si="321"/>
        <v>194323</v>
      </c>
      <c r="AC19" s="120">
        <f t="shared" si="321"/>
        <v>183002</v>
      </c>
      <c r="AD19" s="120">
        <f t="shared" si="321"/>
        <v>183002</v>
      </c>
      <c r="AE19" s="120">
        <f t="shared" si="321"/>
        <v>183002</v>
      </c>
      <c r="AF19" s="120">
        <f t="shared" si="321"/>
        <v>183002</v>
      </c>
      <c r="AG19" s="120">
        <f t="shared" si="321"/>
        <v>172340</v>
      </c>
      <c r="AH19" s="120">
        <f t="shared" si="321"/>
        <v>172340</v>
      </c>
      <c r="AI19" s="120">
        <f t="shared" si="321"/>
        <v>172340</v>
      </c>
      <c r="AJ19" s="120">
        <f t="shared" si="321"/>
        <v>172340</v>
      </c>
      <c r="AK19" s="120">
        <f t="shared" si="321"/>
        <v>162300</v>
      </c>
      <c r="AL19" s="120">
        <f t="shared" si="321"/>
        <v>162300</v>
      </c>
      <c r="AM19" s="120">
        <f t="shared" si="321"/>
        <v>162300</v>
      </c>
      <c r="AN19" s="120">
        <f t="shared" si="321"/>
        <v>162300</v>
      </c>
      <c r="AO19" s="120">
        <f t="shared" si="321"/>
        <v>152844</v>
      </c>
      <c r="AP19" s="120">
        <f t="shared" si="321"/>
        <v>152844</v>
      </c>
      <c r="AQ19" s="120">
        <f t="shared" si="321"/>
        <v>152844</v>
      </c>
      <c r="AR19" s="120">
        <f t="shared" si="321"/>
        <v>152844</v>
      </c>
      <c r="AS19" s="120">
        <f t="shared" si="321"/>
        <v>143940</v>
      </c>
      <c r="AT19" s="120">
        <f t="shared" si="321"/>
        <v>143940</v>
      </c>
      <c r="AU19" s="120">
        <f t="shared" si="321"/>
        <v>143940</v>
      </c>
      <c r="AV19" s="120">
        <f t="shared" si="321"/>
        <v>143940</v>
      </c>
      <c r="AW19" s="120">
        <f t="shared" si="321"/>
        <v>135554</v>
      </c>
      <c r="AX19" s="120">
        <f t="shared" si="321"/>
        <v>135554</v>
      </c>
      <c r="AY19" s="120">
        <f t="shared" si="321"/>
        <v>135554</v>
      </c>
      <c r="AZ19" s="120">
        <f t="shared" si="321"/>
        <v>135554</v>
      </c>
      <c r="BA19" s="120">
        <f t="shared" si="321"/>
        <v>127657</v>
      </c>
      <c r="BB19" s="120">
        <f t="shared" si="321"/>
        <v>127657</v>
      </c>
      <c r="BC19" s="120">
        <f t="shared" si="321"/>
        <v>127657</v>
      </c>
      <c r="BD19" s="120">
        <f t="shared" si="321"/>
        <v>127657</v>
      </c>
      <c r="BE19" s="120">
        <f t="shared" si="321"/>
        <v>120220</v>
      </c>
      <c r="BF19" s="120">
        <f t="shared" si="321"/>
        <v>120220</v>
      </c>
      <c r="BG19" s="120">
        <f t="shared" si="321"/>
        <v>120220</v>
      </c>
      <c r="BH19" s="120">
        <f t="shared" si="321"/>
        <v>120220</v>
      </c>
      <c r="BI19" s="120">
        <f t="shared" si="321"/>
        <v>113216</v>
      </c>
      <c r="BJ19" s="120">
        <f t="shared" si="321"/>
        <v>113216</v>
      </c>
      <c r="BK19" s="120">
        <f t="shared" si="321"/>
        <v>113216</v>
      </c>
      <c r="BL19" s="120">
        <f t="shared" si="321"/>
        <v>113216</v>
      </c>
      <c r="BM19" s="120">
        <f t="shared" si="321"/>
        <v>106620</v>
      </c>
      <c r="BN19" s="120">
        <f t="shared" si="321"/>
        <v>106620</v>
      </c>
      <c r="BO19" s="120">
        <f t="shared" si="321"/>
        <v>106620</v>
      </c>
      <c r="BP19" s="120">
        <f t="shared" si="321"/>
        <v>106620</v>
      </c>
      <c r="BQ19" s="120">
        <f t="shared" si="321"/>
        <v>100408</v>
      </c>
      <c r="BR19" s="120">
        <f t="shared" si="321"/>
        <v>100408</v>
      </c>
      <c r="BS19" s="120">
        <f t="shared" si="321"/>
        <v>100408</v>
      </c>
      <c r="BT19" s="120">
        <f t="shared" si="321"/>
        <v>100408</v>
      </c>
      <c r="BU19" s="120">
        <f t="shared" si="321"/>
        <v>94559</v>
      </c>
      <c r="BV19" s="120">
        <f t="shared" si="321"/>
        <v>94559</v>
      </c>
      <c r="BW19" s="120">
        <f t="shared" ref="BW19:CJ19" si="322">ROUND(BW13*$D$19/(1+5%),0)</f>
        <v>94559</v>
      </c>
      <c r="BX19" s="120">
        <f t="shared" si="322"/>
        <v>94559</v>
      </c>
      <c r="BY19" s="120">
        <f t="shared" si="322"/>
        <v>89050</v>
      </c>
      <c r="BZ19" s="120">
        <f t="shared" si="322"/>
        <v>89050</v>
      </c>
      <c r="CA19" s="120">
        <f t="shared" si="322"/>
        <v>89050</v>
      </c>
      <c r="CB19" s="120">
        <f t="shared" si="322"/>
        <v>89050</v>
      </c>
      <c r="CC19" s="120">
        <f t="shared" si="322"/>
        <v>83862</v>
      </c>
      <c r="CD19" s="120">
        <f t="shared" si="322"/>
        <v>83862</v>
      </c>
      <c r="CE19" s="120">
        <f t="shared" si="322"/>
        <v>83862</v>
      </c>
      <c r="CF19" s="120">
        <f t="shared" si="322"/>
        <v>83862</v>
      </c>
      <c r="CG19" s="120">
        <f t="shared" si="322"/>
        <v>78976</v>
      </c>
      <c r="CH19" s="120">
        <f t="shared" si="322"/>
        <v>78976</v>
      </c>
      <c r="CI19" s="120">
        <f t="shared" si="322"/>
        <v>78976</v>
      </c>
      <c r="CJ19" s="120">
        <f t="shared" si="322"/>
        <v>78976</v>
      </c>
      <c r="CK19" s="120">
        <f t="shared" ref="CK19:EJ19" si="323">ROUND(CK13*$D$19/(1+5%),0)</f>
        <v>74376</v>
      </c>
      <c r="CL19" s="120">
        <f t="shared" si="323"/>
        <v>74376</v>
      </c>
      <c r="CM19" s="120">
        <f t="shared" si="323"/>
        <v>74376</v>
      </c>
      <c r="CN19" s="120">
        <f t="shared" si="323"/>
        <v>74376</v>
      </c>
      <c r="CO19" s="120">
        <f t="shared" si="323"/>
        <v>70045</v>
      </c>
      <c r="CP19" s="120">
        <f t="shared" si="323"/>
        <v>70045</v>
      </c>
      <c r="CQ19" s="120">
        <f t="shared" si="323"/>
        <v>70045</v>
      </c>
      <c r="CR19" s="120">
        <f t="shared" si="323"/>
        <v>70045</v>
      </c>
      <c r="CS19" s="120">
        <f t="shared" si="323"/>
        <v>65965</v>
      </c>
      <c r="CT19" s="120">
        <f t="shared" si="323"/>
        <v>65965</v>
      </c>
      <c r="CU19" s="120">
        <f t="shared" si="323"/>
        <v>65965</v>
      </c>
      <c r="CV19" s="120">
        <f t="shared" si="323"/>
        <v>65965</v>
      </c>
      <c r="CW19" s="120">
        <f t="shared" si="323"/>
        <v>62124</v>
      </c>
      <c r="CX19" s="120">
        <f t="shared" si="323"/>
        <v>62124</v>
      </c>
      <c r="CY19" s="120">
        <f t="shared" si="323"/>
        <v>62124</v>
      </c>
      <c r="CZ19" s="120">
        <f t="shared" si="323"/>
        <v>62124</v>
      </c>
      <c r="DA19" s="120">
        <f t="shared" si="323"/>
        <v>58506</v>
      </c>
      <c r="DB19" s="120">
        <f t="shared" si="323"/>
        <v>58506</v>
      </c>
      <c r="DC19" s="120">
        <f t="shared" si="323"/>
        <v>58506</v>
      </c>
      <c r="DD19" s="120">
        <f t="shared" si="323"/>
        <v>58506</v>
      </c>
      <c r="DE19" s="120">
        <f t="shared" si="323"/>
        <v>55099</v>
      </c>
      <c r="DF19" s="120">
        <f t="shared" si="323"/>
        <v>55099</v>
      </c>
      <c r="DG19" s="120">
        <f t="shared" si="323"/>
        <v>55099</v>
      </c>
      <c r="DH19" s="120">
        <f t="shared" si="323"/>
        <v>55099</v>
      </c>
      <c r="DI19" s="120">
        <f t="shared" si="323"/>
        <v>51890</v>
      </c>
      <c r="DJ19" s="120">
        <f t="shared" si="323"/>
        <v>51890</v>
      </c>
      <c r="DK19" s="120">
        <f t="shared" si="323"/>
        <v>51890</v>
      </c>
      <c r="DL19" s="120">
        <f t="shared" si="323"/>
        <v>51890</v>
      </c>
      <c r="DM19" s="120">
        <f t="shared" si="323"/>
        <v>48868</v>
      </c>
      <c r="DN19" s="120">
        <f t="shared" si="323"/>
        <v>48868</v>
      </c>
      <c r="DO19" s="120">
        <f t="shared" si="323"/>
        <v>48868</v>
      </c>
      <c r="DP19" s="120">
        <f t="shared" si="323"/>
        <v>48868</v>
      </c>
      <c r="DQ19" s="120">
        <f t="shared" si="323"/>
        <v>46023</v>
      </c>
      <c r="DR19" s="120">
        <f t="shared" si="323"/>
        <v>46023</v>
      </c>
      <c r="DS19" s="120">
        <f t="shared" si="323"/>
        <v>46023</v>
      </c>
      <c r="DT19" s="120">
        <f t="shared" si="323"/>
        <v>46023</v>
      </c>
      <c r="DU19" s="120">
        <f t="shared" si="323"/>
        <v>43343</v>
      </c>
      <c r="DV19" s="120">
        <f t="shared" si="323"/>
        <v>43343</v>
      </c>
      <c r="DW19" s="120">
        <f t="shared" si="323"/>
        <v>43343</v>
      </c>
      <c r="DX19" s="120">
        <f t="shared" si="323"/>
        <v>43343</v>
      </c>
      <c r="DY19" s="120">
        <f t="shared" si="323"/>
        <v>40819</v>
      </c>
      <c r="DZ19" s="120">
        <f t="shared" si="323"/>
        <v>40819</v>
      </c>
      <c r="EA19" s="120">
        <f t="shared" si="323"/>
        <v>40819</v>
      </c>
      <c r="EB19" s="120">
        <f t="shared" si="323"/>
        <v>40819</v>
      </c>
      <c r="EC19" s="120">
        <f t="shared" si="323"/>
        <v>38442</v>
      </c>
      <c r="ED19" s="120">
        <f t="shared" si="323"/>
        <v>38442</v>
      </c>
      <c r="EE19" s="120">
        <f t="shared" si="323"/>
        <v>38442</v>
      </c>
      <c r="EF19" s="120">
        <f t="shared" si="323"/>
        <v>38442</v>
      </c>
      <c r="EG19" s="120">
        <f t="shared" si="323"/>
        <v>36204</v>
      </c>
      <c r="EH19" s="120">
        <f t="shared" si="323"/>
        <v>36204</v>
      </c>
      <c r="EI19" s="120">
        <f t="shared" si="323"/>
        <v>36204</v>
      </c>
      <c r="EJ19" s="120">
        <f t="shared" si="323"/>
        <v>36204</v>
      </c>
      <c r="EK19" s="120">
        <f>ROUND(EK13*$D$19/(1+5%),0)</f>
        <v>34096</v>
      </c>
      <c r="EL19" s="120">
        <f t="shared" ref="EL19:EN19" si="324">ROUND(EL13*$D$19/(1+5%),0)</f>
        <v>34096</v>
      </c>
      <c r="EM19" s="120">
        <f t="shared" si="324"/>
        <v>34096</v>
      </c>
      <c r="EN19" s="120">
        <f t="shared" si="324"/>
        <v>34096</v>
      </c>
      <c r="EO19" s="121">
        <f t="shared" si="236"/>
        <v>15808756</v>
      </c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40"/>
      <c r="GN19" s="40"/>
      <c r="GO19" s="40"/>
      <c r="GP19" s="40"/>
      <c r="GQ19" s="40"/>
      <c r="GR19" s="40"/>
      <c r="GS19" s="40"/>
      <c r="GT19" s="40"/>
      <c r="GU19" s="40"/>
      <c r="GV19" s="40"/>
      <c r="GW19" s="40"/>
      <c r="GX19" s="67"/>
    </row>
    <row r="20" spans="1:206">
      <c r="A20" s="59"/>
      <c r="B20" s="11" t="s">
        <v>1213</v>
      </c>
      <c r="C20" s="11"/>
      <c r="D20" s="217">
        <f>仓储现金流!D85</f>
        <v>0.04</v>
      </c>
      <c r="E20" s="120">
        <f>ROUND(E13*$D$20,0)</f>
        <v>196756</v>
      </c>
      <c r="F20" s="120">
        <f t="shared" ref="F20:J20" si="325">ROUND(F13*$D$20,0)</f>
        <v>196756</v>
      </c>
      <c r="G20" s="120">
        <f t="shared" si="325"/>
        <v>196756</v>
      </c>
      <c r="H20" s="120">
        <f t="shared" si="325"/>
        <v>196756</v>
      </c>
      <c r="I20" s="120">
        <f t="shared" si="325"/>
        <v>185293</v>
      </c>
      <c r="J20" s="120">
        <f t="shared" si="325"/>
        <v>185293</v>
      </c>
      <c r="K20" s="120">
        <f t="shared" ref="K20:BV20" si="326">ROUND(K13*$D$20,0)</f>
        <v>185293</v>
      </c>
      <c r="L20" s="120">
        <f t="shared" si="326"/>
        <v>185293</v>
      </c>
      <c r="M20" s="120">
        <f t="shared" si="326"/>
        <v>174498</v>
      </c>
      <c r="N20" s="120">
        <f t="shared" si="326"/>
        <v>174498</v>
      </c>
      <c r="O20" s="120">
        <f t="shared" si="326"/>
        <v>174498</v>
      </c>
      <c r="P20" s="120">
        <f t="shared" si="326"/>
        <v>174498</v>
      </c>
      <c r="Q20" s="120">
        <f t="shared" si="326"/>
        <v>164332</v>
      </c>
      <c r="R20" s="120">
        <f t="shared" si="326"/>
        <v>164332</v>
      </c>
      <c r="S20" s="120">
        <f t="shared" si="326"/>
        <v>164332</v>
      </c>
      <c r="T20" s="120">
        <f t="shared" si="326"/>
        <v>164332</v>
      </c>
      <c r="U20" s="120">
        <f t="shared" si="326"/>
        <v>154758</v>
      </c>
      <c r="V20" s="120">
        <f t="shared" si="326"/>
        <v>154758</v>
      </c>
      <c r="W20" s="120">
        <f t="shared" si="326"/>
        <v>154758</v>
      </c>
      <c r="X20" s="120">
        <f t="shared" si="326"/>
        <v>154758</v>
      </c>
      <c r="Y20" s="120">
        <f t="shared" si="326"/>
        <v>145742</v>
      </c>
      <c r="Z20" s="120">
        <f t="shared" si="326"/>
        <v>145742</v>
      </c>
      <c r="AA20" s="120">
        <f t="shared" si="326"/>
        <v>145742</v>
      </c>
      <c r="AB20" s="120">
        <f t="shared" si="326"/>
        <v>145742</v>
      </c>
      <c r="AC20" s="120">
        <f t="shared" si="326"/>
        <v>137251</v>
      </c>
      <c r="AD20" s="120">
        <f t="shared" si="326"/>
        <v>137251</v>
      </c>
      <c r="AE20" s="120">
        <f t="shared" si="326"/>
        <v>137251</v>
      </c>
      <c r="AF20" s="120">
        <f t="shared" si="326"/>
        <v>137251</v>
      </c>
      <c r="AG20" s="120">
        <f t="shared" si="326"/>
        <v>129255</v>
      </c>
      <c r="AH20" s="120">
        <f t="shared" si="326"/>
        <v>129255</v>
      </c>
      <c r="AI20" s="120">
        <f t="shared" si="326"/>
        <v>129255</v>
      </c>
      <c r="AJ20" s="120">
        <f t="shared" si="326"/>
        <v>129255</v>
      </c>
      <c r="AK20" s="120">
        <f t="shared" si="326"/>
        <v>121725</v>
      </c>
      <c r="AL20" s="120">
        <f t="shared" si="326"/>
        <v>121725</v>
      </c>
      <c r="AM20" s="120">
        <f t="shared" si="326"/>
        <v>121725</v>
      </c>
      <c r="AN20" s="120">
        <f t="shared" si="326"/>
        <v>121725</v>
      </c>
      <c r="AO20" s="120">
        <f t="shared" si="326"/>
        <v>114633</v>
      </c>
      <c r="AP20" s="120">
        <f t="shared" si="326"/>
        <v>114633</v>
      </c>
      <c r="AQ20" s="120">
        <f t="shared" si="326"/>
        <v>114633</v>
      </c>
      <c r="AR20" s="120">
        <f t="shared" si="326"/>
        <v>114633</v>
      </c>
      <c r="AS20" s="120">
        <f t="shared" si="326"/>
        <v>107955</v>
      </c>
      <c r="AT20" s="120">
        <f t="shared" si="326"/>
        <v>107955</v>
      </c>
      <c r="AU20" s="120">
        <f t="shared" si="326"/>
        <v>107955</v>
      </c>
      <c r="AV20" s="120">
        <f t="shared" si="326"/>
        <v>107955</v>
      </c>
      <c r="AW20" s="120">
        <f t="shared" si="326"/>
        <v>101666</v>
      </c>
      <c r="AX20" s="120">
        <f t="shared" si="326"/>
        <v>101666</v>
      </c>
      <c r="AY20" s="120">
        <f t="shared" si="326"/>
        <v>101666</v>
      </c>
      <c r="AZ20" s="120">
        <f t="shared" si="326"/>
        <v>101666</v>
      </c>
      <c r="BA20" s="120">
        <f t="shared" si="326"/>
        <v>95743</v>
      </c>
      <c r="BB20" s="120">
        <f t="shared" si="326"/>
        <v>95743</v>
      </c>
      <c r="BC20" s="120">
        <f t="shared" si="326"/>
        <v>95743</v>
      </c>
      <c r="BD20" s="120">
        <f t="shared" si="326"/>
        <v>95743</v>
      </c>
      <c r="BE20" s="120">
        <f t="shared" si="326"/>
        <v>90165</v>
      </c>
      <c r="BF20" s="120">
        <f t="shared" si="326"/>
        <v>90165</v>
      </c>
      <c r="BG20" s="120">
        <f t="shared" si="326"/>
        <v>90165</v>
      </c>
      <c r="BH20" s="120">
        <f t="shared" si="326"/>
        <v>90165</v>
      </c>
      <c r="BI20" s="120">
        <f t="shared" si="326"/>
        <v>84912</v>
      </c>
      <c r="BJ20" s="120">
        <f t="shared" si="326"/>
        <v>84912</v>
      </c>
      <c r="BK20" s="120">
        <f t="shared" si="326"/>
        <v>84912</v>
      </c>
      <c r="BL20" s="120">
        <f t="shared" si="326"/>
        <v>84912</v>
      </c>
      <c r="BM20" s="120">
        <f t="shared" si="326"/>
        <v>79965</v>
      </c>
      <c r="BN20" s="120">
        <f t="shared" si="326"/>
        <v>79965</v>
      </c>
      <c r="BO20" s="120">
        <f t="shared" si="326"/>
        <v>79965</v>
      </c>
      <c r="BP20" s="120">
        <f t="shared" si="326"/>
        <v>79965</v>
      </c>
      <c r="BQ20" s="120">
        <f t="shared" si="326"/>
        <v>75306</v>
      </c>
      <c r="BR20" s="120">
        <f t="shared" si="326"/>
        <v>75306</v>
      </c>
      <c r="BS20" s="120">
        <f t="shared" si="326"/>
        <v>75306</v>
      </c>
      <c r="BT20" s="120">
        <f t="shared" si="326"/>
        <v>75306</v>
      </c>
      <c r="BU20" s="120">
        <f t="shared" si="326"/>
        <v>70919</v>
      </c>
      <c r="BV20" s="120">
        <f t="shared" si="326"/>
        <v>70919</v>
      </c>
      <c r="BW20" s="120">
        <f t="shared" ref="BW20:CJ20" si="327">ROUND(BW13*$D$20,0)</f>
        <v>70919</v>
      </c>
      <c r="BX20" s="120">
        <f t="shared" si="327"/>
        <v>70919</v>
      </c>
      <c r="BY20" s="120">
        <f t="shared" si="327"/>
        <v>66787</v>
      </c>
      <c r="BZ20" s="120">
        <f t="shared" si="327"/>
        <v>66787</v>
      </c>
      <c r="CA20" s="120">
        <f t="shared" si="327"/>
        <v>66787</v>
      </c>
      <c r="CB20" s="120">
        <f t="shared" si="327"/>
        <v>66787</v>
      </c>
      <c r="CC20" s="120">
        <f t="shared" si="327"/>
        <v>62896</v>
      </c>
      <c r="CD20" s="120">
        <f t="shared" si="327"/>
        <v>62896</v>
      </c>
      <c r="CE20" s="120">
        <f t="shared" si="327"/>
        <v>62896</v>
      </c>
      <c r="CF20" s="120">
        <f t="shared" si="327"/>
        <v>62896</v>
      </c>
      <c r="CG20" s="120">
        <f t="shared" si="327"/>
        <v>59232</v>
      </c>
      <c r="CH20" s="120">
        <f t="shared" si="327"/>
        <v>59232</v>
      </c>
      <c r="CI20" s="120">
        <f t="shared" si="327"/>
        <v>59232</v>
      </c>
      <c r="CJ20" s="120">
        <f t="shared" si="327"/>
        <v>59232</v>
      </c>
      <c r="CK20" s="120">
        <f t="shared" ref="CK20:EJ20" si="328">ROUND(CK13*$D$20,0)</f>
        <v>55782</v>
      </c>
      <c r="CL20" s="120">
        <f t="shared" si="328"/>
        <v>55782</v>
      </c>
      <c r="CM20" s="120">
        <f t="shared" si="328"/>
        <v>55782</v>
      </c>
      <c r="CN20" s="120">
        <f t="shared" si="328"/>
        <v>55782</v>
      </c>
      <c r="CO20" s="120">
        <f t="shared" si="328"/>
        <v>52533</v>
      </c>
      <c r="CP20" s="120">
        <f t="shared" si="328"/>
        <v>52533</v>
      </c>
      <c r="CQ20" s="120">
        <f t="shared" si="328"/>
        <v>52533</v>
      </c>
      <c r="CR20" s="120">
        <f t="shared" si="328"/>
        <v>52533</v>
      </c>
      <c r="CS20" s="120">
        <f t="shared" si="328"/>
        <v>49474</v>
      </c>
      <c r="CT20" s="120">
        <f t="shared" si="328"/>
        <v>49474</v>
      </c>
      <c r="CU20" s="120">
        <f t="shared" si="328"/>
        <v>49474</v>
      </c>
      <c r="CV20" s="120">
        <f t="shared" si="328"/>
        <v>49474</v>
      </c>
      <c r="CW20" s="120">
        <f t="shared" si="328"/>
        <v>46593</v>
      </c>
      <c r="CX20" s="120">
        <f t="shared" si="328"/>
        <v>46593</v>
      </c>
      <c r="CY20" s="120">
        <f t="shared" si="328"/>
        <v>46593</v>
      </c>
      <c r="CZ20" s="120">
        <f t="shared" si="328"/>
        <v>46593</v>
      </c>
      <c r="DA20" s="120">
        <f t="shared" si="328"/>
        <v>43879</v>
      </c>
      <c r="DB20" s="120">
        <f t="shared" si="328"/>
        <v>43879</v>
      </c>
      <c r="DC20" s="120">
        <f t="shared" si="328"/>
        <v>43879</v>
      </c>
      <c r="DD20" s="120">
        <f t="shared" si="328"/>
        <v>43879</v>
      </c>
      <c r="DE20" s="120">
        <f t="shared" si="328"/>
        <v>41324</v>
      </c>
      <c r="DF20" s="120">
        <f t="shared" si="328"/>
        <v>41324</v>
      </c>
      <c r="DG20" s="120">
        <f t="shared" si="328"/>
        <v>41324</v>
      </c>
      <c r="DH20" s="120">
        <f t="shared" si="328"/>
        <v>41324</v>
      </c>
      <c r="DI20" s="120">
        <f t="shared" si="328"/>
        <v>38917</v>
      </c>
      <c r="DJ20" s="120">
        <f t="shared" si="328"/>
        <v>38917</v>
      </c>
      <c r="DK20" s="120">
        <f t="shared" si="328"/>
        <v>38917</v>
      </c>
      <c r="DL20" s="120">
        <f t="shared" si="328"/>
        <v>38917</v>
      </c>
      <c r="DM20" s="120">
        <f t="shared" si="328"/>
        <v>36651</v>
      </c>
      <c r="DN20" s="120">
        <f t="shared" si="328"/>
        <v>36651</v>
      </c>
      <c r="DO20" s="120">
        <f t="shared" si="328"/>
        <v>36651</v>
      </c>
      <c r="DP20" s="120">
        <f t="shared" si="328"/>
        <v>36651</v>
      </c>
      <c r="DQ20" s="120">
        <f t="shared" si="328"/>
        <v>34517</v>
      </c>
      <c r="DR20" s="120">
        <f t="shared" si="328"/>
        <v>34517</v>
      </c>
      <c r="DS20" s="120">
        <f t="shared" si="328"/>
        <v>34517</v>
      </c>
      <c r="DT20" s="120">
        <f t="shared" si="328"/>
        <v>34517</v>
      </c>
      <c r="DU20" s="120">
        <f t="shared" si="328"/>
        <v>32507</v>
      </c>
      <c r="DV20" s="120">
        <f t="shared" si="328"/>
        <v>32507</v>
      </c>
      <c r="DW20" s="120">
        <f t="shared" si="328"/>
        <v>32507</v>
      </c>
      <c r="DX20" s="120">
        <f t="shared" si="328"/>
        <v>32507</v>
      </c>
      <c r="DY20" s="120">
        <f t="shared" si="328"/>
        <v>30614</v>
      </c>
      <c r="DZ20" s="120">
        <f t="shared" si="328"/>
        <v>30614</v>
      </c>
      <c r="EA20" s="120">
        <f t="shared" si="328"/>
        <v>30614</v>
      </c>
      <c r="EB20" s="120">
        <f t="shared" si="328"/>
        <v>30614</v>
      </c>
      <c r="EC20" s="120">
        <f t="shared" si="328"/>
        <v>28832</v>
      </c>
      <c r="ED20" s="120">
        <f t="shared" si="328"/>
        <v>28832</v>
      </c>
      <c r="EE20" s="120">
        <f t="shared" si="328"/>
        <v>28832</v>
      </c>
      <c r="EF20" s="120">
        <f t="shared" si="328"/>
        <v>28832</v>
      </c>
      <c r="EG20" s="120">
        <f t="shared" si="328"/>
        <v>27153</v>
      </c>
      <c r="EH20" s="120">
        <f t="shared" si="328"/>
        <v>27153</v>
      </c>
      <c r="EI20" s="120">
        <f t="shared" si="328"/>
        <v>27153</v>
      </c>
      <c r="EJ20" s="120">
        <f t="shared" si="328"/>
        <v>27153</v>
      </c>
      <c r="EK20" s="120">
        <f>ROUND(EK13*$D$20,0)</f>
        <v>25572</v>
      </c>
      <c r="EL20" s="120">
        <f t="shared" ref="EL20:EN20" si="329">ROUND(EL13*$D$20,0)</f>
        <v>25572</v>
      </c>
      <c r="EM20" s="120">
        <f t="shared" si="329"/>
        <v>25572</v>
      </c>
      <c r="EN20" s="120">
        <f t="shared" si="329"/>
        <v>25572</v>
      </c>
      <c r="EO20" s="121">
        <f t="shared" si="236"/>
        <v>11856548</v>
      </c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/>
      <c r="GI20" s="40"/>
      <c r="GJ20" s="40"/>
      <c r="GK20" s="40"/>
      <c r="GL20" s="40"/>
      <c r="GM20" s="40"/>
      <c r="GN20" s="40"/>
      <c r="GO20" s="40"/>
      <c r="GP20" s="40"/>
      <c r="GQ20" s="40"/>
      <c r="GR20" s="40"/>
      <c r="GS20" s="40"/>
      <c r="GT20" s="40"/>
      <c r="GU20" s="40"/>
      <c r="GV20" s="40"/>
      <c r="GW20" s="40"/>
      <c r="GX20" s="67"/>
    </row>
    <row r="21" spans="1:206" s="212" customFormat="1">
      <c r="A21" s="210"/>
      <c r="B21" s="11" t="s">
        <v>1214</v>
      </c>
      <c r="C21" s="12"/>
      <c r="D21" s="119"/>
      <c r="E21" s="123">
        <f>E13-E17</f>
        <v>3869540</v>
      </c>
      <c r="F21" s="123">
        <f t="shared" ref="F21:BQ21" si="330">F13-F17</f>
        <v>3869540</v>
      </c>
      <c r="G21" s="123">
        <f t="shared" si="330"/>
        <v>3869540</v>
      </c>
      <c r="H21" s="123">
        <f t="shared" si="330"/>
        <v>3869540</v>
      </c>
      <c r="I21" s="123">
        <f t="shared" si="330"/>
        <v>3644104</v>
      </c>
      <c r="J21" s="123">
        <f t="shared" si="330"/>
        <v>3644104</v>
      </c>
      <c r="K21" s="123">
        <f t="shared" si="330"/>
        <v>3644104</v>
      </c>
      <c r="L21" s="123">
        <f t="shared" si="330"/>
        <v>3644104</v>
      </c>
      <c r="M21" s="123">
        <f t="shared" si="330"/>
        <v>3431801</v>
      </c>
      <c r="N21" s="123">
        <f t="shared" si="330"/>
        <v>3431801</v>
      </c>
      <c r="O21" s="123">
        <f t="shared" si="330"/>
        <v>3431801</v>
      </c>
      <c r="P21" s="123">
        <f t="shared" si="330"/>
        <v>3431801</v>
      </c>
      <c r="Q21" s="123">
        <f t="shared" si="330"/>
        <v>3231866</v>
      </c>
      <c r="R21" s="123">
        <f t="shared" si="330"/>
        <v>3231866</v>
      </c>
      <c r="S21" s="123">
        <f t="shared" si="330"/>
        <v>3231866</v>
      </c>
      <c r="T21" s="123">
        <f t="shared" si="330"/>
        <v>3231866</v>
      </c>
      <c r="U21" s="123">
        <f t="shared" si="330"/>
        <v>3043581</v>
      </c>
      <c r="V21" s="123">
        <f t="shared" si="330"/>
        <v>3043581</v>
      </c>
      <c r="W21" s="123">
        <f t="shared" si="330"/>
        <v>3043581</v>
      </c>
      <c r="X21" s="123">
        <f t="shared" si="330"/>
        <v>3043581</v>
      </c>
      <c r="Y21" s="123">
        <f t="shared" si="330"/>
        <v>2866264</v>
      </c>
      <c r="Z21" s="123">
        <f t="shared" si="330"/>
        <v>2866264</v>
      </c>
      <c r="AA21" s="123">
        <f t="shared" si="330"/>
        <v>2866264</v>
      </c>
      <c r="AB21" s="123">
        <f t="shared" si="330"/>
        <v>2866264</v>
      </c>
      <c r="AC21" s="123">
        <f t="shared" si="330"/>
        <v>2699278</v>
      </c>
      <c r="AD21" s="123">
        <f t="shared" si="330"/>
        <v>2699278</v>
      </c>
      <c r="AE21" s="123">
        <f t="shared" si="330"/>
        <v>2699278</v>
      </c>
      <c r="AF21" s="123">
        <f t="shared" si="330"/>
        <v>2699278</v>
      </c>
      <c r="AG21" s="123">
        <f t="shared" si="330"/>
        <v>2542020</v>
      </c>
      <c r="AH21" s="123">
        <f t="shared" si="330"/>
        <v>2542020</v>
      </c>
      <c r="AI21" s="123">
        <f t="shared" si="330"/>
        <v>2542020</v>
      </c>
      <c r="AJ21" s="123">
        <f t="shared" si="330"/>
        <v>2542020</v>
      </c>
      <c r="AK21" s="123">
        <f t="shared" si="330"/>
        <v>2393924</v>
      </c>
      <c r="AL21" s="123">
        <f t="shared" si="330"/>
        <v>2393924</v>
      </c>
      <c r="AM21" s="123">
        <f t="shared" si="330"/>
        <v>2393924</v>
      </c>
      <c r="AN21" s="123">
        <f t="shared" si="330"/>
        <v>2393924</v>
      </c>
      <c r="AO21" s="123">
        <f t="shared" si="330"/>
        <v>2254456</v>
      </c>
      <c r="AP21" s="123">
        <f t="shared" si="330"/>
        <v>2254456</v>
      </c>
      <c r="AQ21" s="123">
        <f t="shared" si="330"/>
        <v>2254456</v>
      </c>
      <c r="AR21" s="123">
        <f t="shared" si="330"/>
        <v>2254456</v>
      </c>
      <c r="AS21" s="123">
        <f t="shared" si="330"/>
        <v>2123112</v>
      </c>
      <c r="AT21" s="123">
        <f t="shared" si="330"/>
        <v>2123112</v>
      </c>
      <c r="AU21" s="123">
        <f t="shared" si="330"/>
        <v>2123112</v>
      </c>
      <c r="AV21" s="123">
        <f t="shared" si="330"/>
        <v>2123112</v>
      </c>
      <c r="AW21" s="123">
        <f t="shared" si="330"/>
        <v>1999421</v>
      </c>
      <c r="AX21" s="123">
        <f t="shared" si="330"/>
        <v>1999421</v>
      </c>
      <c r="AY21" s="123">
        <f t="shared" si="330"/>
        <v>1999421</v>
      </c>
      <c r="AZ21" s="123">
        <f t="shared" si="330"/>
        <v>1999421</v>
      </c>
      <c r="BA21" s="123">
        <f t="shared" si="330"/>
        <v>1882937</v>
      </c>
      <c r="BB21" s="123">
        <f t="shared" si="330"/>
        <v>1882937</v>
      </c>
      <c r="BC21" s="123">
        <f t="shared" si="330"/>
        <v>1882937</v>
      </c>
      <c r="BD21" s="123">
        <f t="shared" si="330"/>
        <v>1882937</v>
      </c>
      <c r="BE21" s="123">
        <f t="shared" si="330"/>
        <v>1773239</v>
      </c>
      <c r="BF21" s="123">
        <f t="shared" si="330"/>
        <v>1773239</v>
      </c>
      <c r="BG21" s="123">
        <f t="shared" si="330"/>
        <v>1773239</v>
      </c>
      <c r="BH21" s="123">
        <f t="shared" si="330"/>
        <v>1773239</v>
      </c>
      <c r="BI21" s="123">
        <f t="shared" si="330"/>
        <v>1669932</v>
      </c>
      <c r="BJ21" s="123">
        <f t="shared" si="330"/>
        <v>1669932</v>
      </c>
      <c r="BK21" s="123">
        <f t="shared" si="330"/>
        <v>1669932</v>
      </c>
      <c r="BL21" s="123">
        <f t="shared" si="330"/>
        <v>1669932</v>
      </c>
      <c r="BM21" s="123">
        <f t="shared" si="330"/>
        <v>1572643</v>
      </c>
      <c r="BN21" s="123">
        <f t="shared" si="330"/>
        <v>1572643</v>
      </c>
      <c r="BO21" s="123">
        <f t="shared" si="330"/>
        <v>1572643</v>
      </c>
      <c r="BP21" s="123">
        <f t="shared" si="330"/>
        <v>1572643</v>
      </c>
      <c r="BQ21" s="123">
        <f t="shared" si="330"/>
        <v>1481022</v>
      </c>
      <c r="BR21" s="123">
        <f t="shared" ref="BR21:CJ21" si="331">BR13-BR17</f>
        <v>1481022</v>
      </c>
      <c r="BS21" s="123">
        <f t="shared" si="331"/>
        <v>1481022</v>
      </c>
      <c r="BT21" s="123">
        <f t="shared" si="331"/>
        <v>1481022</v>
      </c>
      <c r="BU21" s="123">
        <f t="shared" si="331"/>
        <v>1394738</v>
      </c>
      <c r="BV21" s="123">
        <f t="shared" si="331"/>
        <v>1394738</v>
      </c>
      <c r="BW21" s="123">
        <f t="shared" si="331"/>
        <v>1394738</v>
      </c>
      <c r="BX21" s="123">
        <f t="shared" si="331"/>
        <v>1394738</v>
      </c>
      <c r="BY21" s="123">
        <f t="shared" si="331"/>
        <v>1313482</v>
      </c>
      <c r="BZ21" s="123">
        <f t="shared" si="331"/>
        <v>1313482</v>
      </c>
      <c r="CA21" s="123">
        <f t="shared" si="331"/>
        <v>1313482</v>
      </c>
      <c r="CB21" s="123">
        <f t="shared" si="331"/>
        <v>1313482</v>
      </c>
      <c r="CC21" s="123">
        <f t="shared" si="331"/>
        <v>1236960</v>
      </c>
      <c r="CD21" s="123">
        <f t="shared" si="331"/>
        <v>1236960</v>
      </c>
      <c r="CE21" s="123">
        <f t="shared" si="331"/>
        <v>1236960</v>
      </c>
      <c r="CF21" s="123">
        <f t="shared" si="331"/>
        <v>1236960</v>
      </c>
      <c r="CG21" s="123">
        <f t="shared" si="331"/>
        <v>1164895</v>
      </c>
      <c r="CH21" s="123">
        <f t="shared" si="331"/>
        <v>1164895</v>
      </c>
      <c r="CI21" s="123">
        <f t="shared" si="331"/>
        <v>1164895</v>
      </c>
      <c r="CJ21" s="123">
        <f t="shared" si="331"/>
        <v>1164895</v>
      </c>
      <c r="CK21" s="123">
        <f t="shared" ref="CK21:EJ21" si="332">CK13-CK17</f>
        <v>1097050</v>
      </c>
      <c r="CL21" s="123">
        <f t="shared" si="332"/>
        <v>1097050</v>
      </c>
      <c r="CM21" s="123">
        <f t="shared" si="332"/>
        <v>1097050</v>
      </c>
      <c r="CN21" s="123">
        <f t="shared" si="332"/>
        <v>1097050</v>
      </c>
      <c r="CO21" s="123">
        <f t="shared" si="332"/>
        <v>1033158</v>
      </c>
      <c r="CP21" s="123">
        <f t="shared" si="332"/>
        <v>1033158</v>
      </c>
      <c r="CQ21" s="123">
        <f t="shared" si="332"/>
        <v>1033158</v>
      </c>
      <c r="CR21" s="123">
        <f t="shared" si="332"/>
        <v>1033158</v>
      </c>
      <c r="CS21" s="123">
        <f t="shared" si="332"/>
        <v>972987</v>
      </c>
      <c r="CT21" s="123">
        <f t="shared" si="332"/>
        <v>972987</v>
      </c>
      <c r="CU21" s="123">
        <f t="shared" si="332"/>
        <v>972987</v>
      </c>
      <c r="CV21" s="123">
        <f t="shared" si="332"/>
        <v>972987</v>
      </c>
      <c r="CW21" s="123">
        <f t="shared" si="332"/>
        <v>916321</v>
      </c>
      <c r="CX21" s="123">
        <f t="shared" si="332"/>
        <v>916321</v>
      </c>
      <c r="CY21" s="123">
        <f t="shared" si="332"/>
        <v>916321</v>
      </c>
      <c r="CZ21" s="123">
        <f t="shared" si="332"/>
        <v>916321</v>
      </c>
      <c r="DA21" s="123">
        <f t="shared" si="332"/>
        <v>862958</v>
      </c>
      <c r="DB21" s="123">
        <f t="shared" si="332"/>
        <v>862958</v>
      </c>
      <c r="DC21" s="123">
        <f t="shared" si="332"/>
        <v>862958</v>
      </c>
      <c r="DD21" s="123">
        <f t="shared" si="332"/>
        <v>862958</v>
      </c>
      <c r="DE21" s="123">
        <f t="shared" si="332"/>
        <v>812703</v>
      </c>
      <c r="DF21" s="123">
        <f t="shared" si="332"/>
        <v>812703</v>
      </c>
      <c r="DG21" s="123">
        <f t="shared" si="332"/>
        <v>812703</v>
      </c>
      <c r="DH21" s="123">
        <f t="shared" si="332"/>
        <v>812703</v>
      </c>
      <c r="DI21" s="123">
        <f t="shared" si="332"/>
        <v>765377</v>
      </c>
      <c r="DJ21" s="123">
        <f t="shared" si="332"/>
        <v>765377</v>
      </c>
      <c r="DK21" s="123">
        <f t="shared" si="332"/>
        <v>765377</v>
      </c>
      <c r="DL21" s="123">
        <f t="shared" si="332"/>
        <v>765377</v>
      </c>
      <c r="DM21" s="123">
        <f t="shared" si="332"/>
        <v>720807</v>
      </c>
      <c r="DN21" s="123">
        <f t="shared" si="332"/>
        <v>720807</v>
      </c>
      <c r="DO21" s="123">
        <f t="shared" si="332"/>
        <v>720807</v>
      </c>
      <c r="DP21" s="123">
        <f t="shared" si="332"/>
        <v>720807</v>
      </c>
      <c r="DQ21" s="123">
        <f t="shared" si="332"/>
        <v>678833</v>
      </c>
      <c r="DR21" s="123">
        <f t="shared" si="332"/>
        <v>678833</v>
      </c>
      <c r="DS21" s="123">
        <f t="shared" si="332"/>
        <v>678833</v>
      </c>
      <c r="DT21" s="123">
        <f t="shared" si="332"/>
        <v>678833</v>
      </c>
      <c r="DU21" s="123">
        <f t="shared" si="332"/>
        <v>639305</v>
      </c>
      <c r="DV21" s="123">
        <f t="shared" si="332"/>
        <v>639305</v>
      </c>
      <c r="DW21" s="123">
        <f t="shared" si="332"/>
        <v>639305</v>
      </c>
      <c r="DX21" s="123">
        <f t="shared" si="332"/>
        <v>639305</v>
      </c>
      <c r="DY21" s="123">
        <f t="shared" si="332"/>
        <v>602081</v>
      </c>
      <c r="DZ21" s="123">
        <f t="shared" si="332"/>
        <v>602081</v>
      </c>
      <c r="EA21" s="123">
        <f t="shared" si="332"/>
        <v>602081</v>
      </c>
      <c r="EB21" s="123">
        <f t="shared" si="332"/>
        <v>602081</v>
      </c>
      <c r="EC21" s="123">
        <f t="shared" si="332"/>
        <v>567025</v>
      </c>
      <c r="ED21" s="123">
        <f t="shared" si="332"/>
        <v>567025</v>
      </c>
      <c r="EE21" s="123">
        <f t="shared" si="332"/>
        <v>567025</v>
      </c>
      <c r="EF21" s="123">
        <f t="shared" si="332"/>
        <v>567025</v>
      </c>
      <c r="EG21" s="123">
        <f t="shared" si="332"/>
        <v>534011</v>
      </c>
      <c r="EH21" s="123">
        <f t="shared" si="332"/>
        <v>534011</v>
      </c>
      <c r="EI21" s="123">
        <f t="shared" si="332"/>
        <v>534011</v>
      </c>
      <c r="EJ21" s="123">
        <f t="shared" si="332"/>
        <v>534011</v>
      </c>
      <c r="EK21" s="123">
        <f>EK13-EK17</f>
        <v>502920</v>
      </c>
      <c r="EL21" s="123">
        <f t="shared" ref="EL21:EN21" si="333">EL13-EL17</f>
        <v>502920</v>
      </c>
      <c r="EM21" s="123">
        <f t="shared" si="333"/>
        <v>502920</v>
      </c>
      <c r="EN21" s="123">
        <f t="shared" si="333"/>
        <v>502920</v>
      </c>
      <c r="EO21" s="121">
        <f t="shared" si="236"/>
        <v>233179004</v>
      </c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211"/>
    </row>
    <row r="22" spans="1:206" s="212" customFormat="1">
      <c r="A22" s="210"/>
      <c r="B22" s="11" t="s">
        <v>1215</v>
      </c>
      <c r="C22" s="12"/>
      <c r="D22" s="124"/>
      <c r="E22" s="440">
        <f>E21+F21+G21+H21</f>
        <v>15478160</v>
      </c>
      <c r="F22" s="441"/>
      <c r="G22" s="441"/>
      <c r="H22" s="442"/>
      <c r="I22" s="440">
        <f>I21+J21+K21+L21</f>
        <v>14576416</v>
      </c>
      <c r="J22" s="441"/>
      <c r="K22" s="441"/>
      <c r="L22" s="442"/>
      <c r="M22" s="440">
        <f>M21+N21+O21+P21</f>
        <v>13727204</v>
      </c>
      <c r="N22" s="441"/>
      <c r="O22" s="441"/>
      <c r="P22" s="442"/>
      <c r="Q22" s="440">
        <f>Q21+R21+S21+T21</f>
        <v>12927464</v>
      </c>
      <c r="R22" s="441"/>
      <c r="S22" s="441"/>
      <c r="T22" s="442"/>
      <c r="U22" s="440">
        <f>U21+V21+W21+X21</f>
        <v>12174324</v>
      </c>
      <c r="V22" s="441"/>
      <c r="W22" s="441"/>
      <c r="X22" s="442"/>
      <c r="Y22" s="440">
        <f>Y21+Z21+AA21+AB21</f>
        <v>11465056</v>
      </c>
      <c r="Z22" s="441"/>
      <c r="AA22" s="441"/>
      <c r="AB22" s="442"/>
      <c r="AC22" s="440">
        <f>AC21+AD21+AE21+AF21</f>
        <v>10797112</v>
      </c>
      <c r="AD22" s="441"/>
      <c r="AE22" s="441"/>
      <c r="AF22" s="442"/>
      <c r="AG22" s="440">
        <f>AG21+AH21+AI21+AJ21</f>
        <v>10168080</v>
      </c>
      <c r="AH22" s="441"/>
      <c r="AI22" s="441"/>
      <c r="AJ22" s="442"/>
      <c r="AK22" s="440">
        <f>AK21+AL21+AM21+AN21</f>
        <v>9575696</v>
      </c>
      <c r="AL22" s="441"/>
      <c r="AM22" s="441"/>
      <c r="AN22" s="442"/>
      <c r="AO22" s="440">
        <f>AO21+AP21+AQ21+AR21</f>
        <v>9017824</v>
      </c>
      <c r="AP22" s="441"/>
      <c r="AQ22" s="441"/>
      <c r="AR22" s="442"/>
      <c r="AS22" s="440">
        <f>AS21+AT21+AU21+AV21</f>
        <v>8492448</v>
      </c>
      <c r="AT22" s="441"/>
      <c r="AU22" s="441"/>
      <c r="AV22" s="442"/>
      <c r="AW22" s="440">
        <f>AW21+AX21+AY21+AZ21</f>
        <v>7997684</v>
      </c>
      <c r="AX22" s="441"/>
      <c r="AY22" s="441"/>
      <c r="AZ22" s="442"/>
      <c r="BA22" s="440">
        <f>BA21+BB21+BC21+BD21</f>
        <v>7531748</v>
      </c>
      <c r="BB22" s="441"/>
      <c r="BC22" s="441"/>
      <c r="BD22" s="442"/>
      <c r="BE22" s="440">
        <f>BE21+BF21+BG21+BH21</f>
        <v>7092956</v>
      </c>
      <c r="BF22" s="441"/>
      <c r="BG22" s="441"/>
      <c r="BH22" s="442"/>
      <c r="BI22" s="440">
        <f>BI21+BJ21+BK21+BL21</f>
        <v>6679728</v>
      </c>
      <c r="BJ22" s="441"/>
      <c r="BK22" s="441"/>
      <c r="BL22" s="442"/>
      <c r="BM22" s="440">
        <f>BM21+BN21+BO21+BP21</f>
        <v>6290572</v>
      </c>
      <c r="BN22" s="441"/>
      <c r="BO22" s="441"/>
      <c r="BP22" s="442"/>
      <c r="BQ22" s="440">
        <f>BQ21+BR21+BS21+BT21</f>
        <v>5924088</v>
      </c>
      <c r="BR22" s="441"/>
      <c r="BS22" s="441"/>
      <c r="BT22" s="442"/>
      <c r="BU22" s="440">
        <f>BU21+BV21+BW21+BX21</f>
        <v>5578952</v>
      </c>
      <c r="BV22" s="441"/>
      <c r="BW22" s="441"/>
      <c r="BX22" s="442"/>
      <c r="BY22" s="440">
        <f>BY21+BZ21+CA21+CB21</f>
        <v>5253928</v>
      </c>
      <c r="BZ22" s="441"/>
      <c r="CA22" s="441"/>
      <c r="CB22" s="442"/>
      <c r="CC22" s="440">
        <f>CC21+CD21+CE21+CF21</f>
        <v>4947840</v>
      </c>
      <c r="CD22" s="441"/>
      <c r="CE22" s="441"/>
      <c r="CF22" s="442"/>
      <c r="CG22" s="440">
        <f>CG21+CH21+CI21+CJ21</f>
        <v>4659580</v>
      </c>
      <c r="CH22" s="441"/>
      <c r="CI22" s="441"/>
      <c r="CJ22" s="442"/>
      <c r="CK22" s="440">
        <f t="shared" ref="CK22" si="334">CK21+CL21+CM21+CN21</f>
        <v>4388200</v>
      </c>
      <c r="CL22" s="441"/>
      <c r="CM22" s="441"/>
      <c r="CN22" s="442"/>
      <c r="CO22" s="440">
        <f t="shared" ref="CO22" si="335">CO21+CP21+CQ21+CR21</f>
        <v>4132632</v>
      </c>
      <c r="CP22" s="441"/>
      <c r="CQ22" s="441"/>
      <c r="CR22" s="442"/>
      <c r="CS22" s="440">
        <f t="shared" ref="CS22" si="336">CS21+CT21+CU21+CV21</f>
        <v>3891948</v>
      </c>
      <c r="CT22" s="441"/>
      <c r="CU22" s="441"/>
      <c r="CV22" s="442"/>
      <c r="CW22" s="440">
        <f t="shared" ref="CW22" si="337">CW21+CX21+CY21+CZ21</f>
        <v>3665284</v>
      </c>
      <c r="CX22" s="441"/>
      <c r="CY22" s="441"/>
      <c r="CZ22" s="442"/>
      <c r="DA22" s="440">
        <f t="shared" ref="DA22" si="338">DA21+DB21+DC21+DD21</f>
        <v>3451832</v>
      </c>
      <c r="DB22" s="441"/>
      <c r="DC22" s="441"/>
      <c r="DD22" s="442"/>
      <c r="DE22" s="440">
        <f t="shared" ref="DE22" si="339">DE21+DF21+DG21+DH21</f>
        <v>3250812</v>
      </c>
      <c r="DF22" s="441"/>
      <c r="DG22" s="441"/>
      <c r="DH22" s="442"/>
      <c r="DI22" s="440">
        <f t="shared" ref="DI22" si="340">DI21+DJ21+DK21+DL21</f>
        <v>3061508</v>
      </c>
      <c r="DJ22" s="441"/>
      <c r="DK22" s="441"/>
      <c r="DL22" s="442"/>
      <c r="DM22" s="440">
        <f t="shared" ref="DM22" si="341">DM21+DN21+DO21+DP21</f>
        <v>2883228</v>
      </c>
      <c r="DN22" s="441"/>
      <c r="DO22" s="441"/>
      <c r="DP22" s="442"/>
      <c r="DQ22" s="440">
        <f t="shared" ref="DQ22" si="342">DQ21+DR21+DS21+DT21</f>
        <v>2715332</v>
      </c>
      <c r="DR22" s="441"/>
      <c r="DS22" s="441"/>
      <c r="DT22" s="442"/>
      <c r="DU22" s="440">
        <f t="shared" ref="DU22" si="343">DU21+DV21+DW21+DX21</f>
        <v>2557220</v>
      </c>
      <c r="DV22" s="441"/>
      <c r="DW22" s="441"/>
      <c r="DX22" s="442"/>
      <c r="DY22" s="440">
        <f t="shared" ref="DY22" si="344">DY21+DZ21+EA21+EB21</f>
        <v>2408324</v>
      </c>
      <c r="DZ22" s="441"/>
      <c r="EA22" s="441"/>
      <c r="EB22" s="442"/>
      <c r="EC22" s="440">
        <f>EC21+ED21+EE21+EF21</f>
        <v>2268100</v>
      </c>
      <c r="ED22" s="441"/>
      <c r="EE22" s="441"/>
      <c r="EF22" s="442"/>
      <c r="EG22" s="440">
        <f>EG21+EH21+EI21+EJ21</f>
        <v>2136044</v>
      </c>
      <c r="EH22" s="441"/>
      <c r="EI22" s="441"/>
      <c r="EJ22" s="442"/>
      <c r="EK22" s="440">
        <f>EK21+EL21+EM21+EN21</f>
        <v>2011680</v>
      </c>
      <c r="EL22" s="441"/>
      <c r="EM22" s="441"/>
      <c r="EN22" s="442"/>
      <c r="EO22" s="121">
        <f>SUM(E22:EK22)</f>
        <v>233179004</v>
      </c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211"/>
    </row>
    <row r="23" spans="1:206">
      <c r="A23" s="59"/>
      <c r="B23" s="13" t="s">
        <v>1216</v>
      </c>
      <c r="C23" s="13"/>
      <c r="D23" s="125">
        <f>地下仓储现金流!D96</f>
        <v>0.06</v>
      </c>
      <c r="E23" s="434"/>
      <c r="F23" s="435"/>
      <c r="G23" s="435"/>
      <c r="H23" s="436"/>
      <c r="I23" s="434"/>
      <c r="J23" s="435"/>
      <c r="K23" s="435"/>
      <c r="L23" s="436"/>
      <c r="M23" s="434"/>
      <c r="N23" s="435"/>
      <c r="O23" s="435"/>
      <c r="P23" s="436"/>
      <c r="Q23" s="434"/>
      <c r="R23" s="435"/>
      <c r="S23" s="435"/>
      <c r="T23" s="436"/>
      <c r="U23" s="434"/>
      <c r="V23" s="435"/>
      <c r="W23" s="435"/>
      <c r="X23" s="436"/>
      <c r="Y23" s="434"/>
      <c r="Z23" s="435"/>
      <c r="AA23" s="435"/>
      <c r="AB23" s="436"/>
      <c r="AC23" s="434"/>
      <c r="AD23" s="435"/>
      <c r="AE23" s="435"/>
      <c r="AF23" s="436"/>
      <c r="AG23" s="434"/>
      <c r="AH23" s="435"/>
      <c r="AI23" s="435"/>
      <c r="AJ23" s="436"/>
      <c r="AK23" s="434"/>
      <c r="AL23" s="435"/>
      <c r="AM23" s="435"/>
      <c r="AN23" s="436"/>
      <c r="AO23" s="434"/>
      <c r="AP23" s="435"/>
      <c r="AQ23" s="435"/>
      <c r="AR23" s="436"/>
      <c r="AS23" s="434"/>
      <c r="AT23" s="435"/>
      <c r="AU23" s="435"/>
      <c r="AV23" s="436"/>
      <c r="AW23" s="434"/>
      <c r="AX23" s="435"/>
      <c r="AY23" s="435"/>
      <c r="AZ23" s="436"/>
      <c r="BA23" s="434"/>
      <c r="BB23" s="435"/>
      <c r="BC23" s="435"/>
      <c r="BD23" s="436"/>
      <c r="BE23" s="434"/>
      <c r="BF23" s="435"/>
      <c r="BG23" s="435"/>
      <c r="BH23" s="436"/>
      <c r="BI23" s="434"/>
      <c r="BJ23" s="435"/>
      <c r="BK23" s="435"/>
      <c r="BL23" s="436"/>
      <c r="BM23" s="434"/>
      <c r="BN23" s="435"/>
      <c r="BO23" s="435"/>
      <c r="BP23" s="436"/>
      <c r="BQ23" s="434"/>
      <c r="BR23" s="435"/>
      <c r="BS23" s="435"/>
      <c r="BT23" s="436"/>
      <c r="BU23" s="434"/>
      <c r="BV23" s="435"/>
      <c r="BW23" s="435"/>
      <c r="BX23" s="436"/>
      <c r="BY23" s="434"/>
      <c r="BZ23" s="435"/>
      <c r="CA23" s="435"/>
      <c r="CB23" s="436"/>
      <c r="CC23" s="434"/>
      <c r="CD23" s="435"/>
      <c r="CE23" s="435"/>
      <c r="CF23" s="436"/>
      <c r="CG23" s="434"/>
      <c r="CH23" s="435"/>
      <c r="CI23" s="435"/>
      <c r="CJ23" s="436"/>
      <c r="CK23" s="437"/>
      <c r="CL23" s="438"/>
      <c r="CM23" s="438"/>
      <c r="CN23" s="439"/>
      <c r="CO23" s="437"/>
      <c r="CP23" s="438"/>
      <c r="CQ23" s="438"/>
      <c r="CR23" s="439"/>
      <c r="CS23" s="437"/>
      <c r="CT23" s="438"/>
      <c r="CU23" s="438"/>
      <c r="CV23" s="439"/>
      <c r="CW23" s="437"/>
      <c r="CX23" s="438"/>
      <c r="CY23" s="438"/>
      <c r="CZ23" s="439"/>
      <c r="DA23" s="437"/>
      <c r="DB23" s="438"/>
      <c r="DC23" s="438"/>
      <c r="DD23" s="439"/>
      <c r="DE23" s="437"/>
      <c r="DF23" s="438"/>
      <c r="DG23" s="438"/>
      <c r="DH23" s="439"/>
      <c r="DI23" s="437"/>
      <c r="DJ23" s="438"/>
      <c r="DK23" s="438"/>
      <c r="DL23" s="439"/>
      <c r="DM23" s="437"/>
      <c r="DN23" s="438"/>
      <c r="DO23" s="438"/>
      <c r="DP23" s="439"/>
      <c r="DQ23" s="437"/>
      <c r="DR23" s="438"/>
      <c r="DS23" s="438"/>
      <c r="DT23" s="439"/>
      <c r="DU23" s="437"/>
      <c r="DV23" s="438"/>
      <c r="DW23" s="438"/>
      <c r="DX23" s="439"/>
      <c r="DY23" s="437"/>
      <c r="DZ23" s="438"/>
      <c r="EA23" s="438"/>
      <c r="EB23" s="439"/>
      <c r="EC23" s="437"/>
      <c r="ED23" s="438"/>
      <c r="EE23" s="438"/>
      <c r="EF23" s="439"/>
      <c r="EG23" s="437"/>
      <c r="EH23" s="438"/>
      <c r="EI23" s="438"/>
      <c r="EJ23" s="439"/>
      <c r="EK23" s="437"/>
      <c r="EL23" s="438"/>
      <c r="EM23" s="438"/>
      <c r="EN23" s="439"/>
      <c r="EO23" s="115"/>
      <c r="ET23" s="40"/>
      <c r="EU23" s="40"/>
      <c r="EV23" s="40"/>
      <c r="EW23" s="40"/>
      <c r="EX23" s="40"/>
      <c r="EY23" s="40"/>
      <c r="EZ23" s="40"/>
      <c r="FA23" s="40"/>
      <c r="FB23" s="40"/>
      <c r="FC23" s="40"/>
      <c r="FD23" s="40"/>
      <c r="FE23" s="40"/>
      <c r="FF23" s="40"/>
      <c r="FG23" s="40"/>
      <c r="FH23" s="40"/>
      <c r="FI23" s="40"/>
      <c r="FJ23" s="40"/>
      <c r="FK23" s="40"/>
      <c r="FL23" s="40"/>
      <c r="FM23" s="40"/>
      <c r="FN23" s="40"/>
      <c r="FO23" s="40"/>
      <c r="FP23" s="40"/>
      <c r="FQ23" s="40"/>
      <c r="FR23" s="40"/>
      <c r="FS23" s="40"/>
      <c r="FT23" s="40"/>
      <c r="FU23" s="40"/>
      <c r="FV23" s="40"/>
      <c r="FW23" s="40"/>
      <c r="FX23" s="40"/>
      <c r="FY23" s="40"/>
      <c r="FZ23" s="40"/>
      <c r="GA23" s="40"/>
      <c r="GB23" s="40"/>
      <c r="GC23" s="40"/>
      <c r="GD23" s="40"/>
      <c r="GE23" s="40"/>
      <c r="GF23" s="40"/>
      <c r="GG23" s="40"/>
      <c r="GH23" s="40"/>
      <c r="GI23" s="40"/>
      <c r="GJ23" s="40"/>
      <c r="GK23" s="40"/>
      <c r="GL23" s="40"/>
      <c r="GM23" s="40"/>
      <c r="GN23" s="40"/>
      <c r="GO23" s="40"/>
      <c r="GP23" s="40"/>
      <c r="GQ23" s="40"/>
      <c r="GR23" s="40"/>
      <c r="GS23" s="40"/>
      <c r="GT23" s="40"/>
      <c r="GU23" s="40"/>
      <c r="GV23" s="40"/>
      <c r="GW23" s="40"/>
      <c r="GX23" s="67"/>
    </row>
    <row r="24" spans="1:206" hidden="1">
      <c r="A24" s="59"/>
      <c r="B24" s="13" t="s">
        <v>1217</v>
      </c>
      <c r="C24" s="13"/>
      <c r="D24" s="14"/>
      <c r="E24" s="15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5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5"/>
      <c r="AY24" s="115"/>
      <c r="AZ24" s="115"/>
      <c r="BA24" s="115"/>
      <c r="BB24" s="115"/>
      <c r="BC24" s="115"/>
      <c r="BD24" s="115"/>
      <c r="BE24" s="115"/>
      <c r="BF24" s="115"/>
      <c r="BG24" s="115"/>
      <c r="BH24" s="115"/>
      <c r="BI24" s="115"/>
      <c r="BJ24" s="115"/>
      <c r="BK24" s="115"/>
      <c r="BL24" s="115"/>
      <c r="BM24" s="347"/>
      <c r="BN24" s="347"/>
      <c r="BO24" s="347"/>
      <c r="BP24" s="347"/>
      <c r="BQ24" s="347"/>
      <c r="BR24" s="347"/>
      <c r="BS24" s="347"/>
      <c r="BT24" s="347"/>
      <c r="BU24" s="347"/>
      <c r="BV24" s="347"/>
      <c r="BW24" s="347"/>
      <c r="BX24" s="347"/>
      <c r="BY24" s="347"/>
      <c r="BZ24" s="347"/>
      <c r="CA24" s="347"/>
      <c r="CB24" s="347"/>
      <c r="CC24" s="347"/>
      <c r="CD24" s="347"/>
      <c r="CE24" s="347"/>
      <c r="CF24" s="347"/>
      <c r="CG24" s="347"/>
      <c r="CH24" s="347"/>
      <c r="CI24" s="347"/>
      <c r="CJ24" s="347"/>
      <c r="CK24" s="347"/>
    </row>
    <row r="25" spans="1:206">
      <c r="A25" s="59"/>
      <c r="B25" s="13" t="s">
        <v>1218</v>
      </c>
      <c r="C25" s="13"/>
      <c r="D25" s="388">
        <f>EO25</f>
        <v>136529147</v>
      </c>
      <c r="E25" s="434">
        <f>ROUND(E22/(1+$D$23)^(E11-1),0)</f>
        <v>15478160</v>
      </c>
      <c r="F25" s="435"/>
      <c r="G25" s="435"/>
      <c r="H25" s="436"/>
      <c r="I25" s="434">
        <f t="shared" ref="I25" si="345">ROUND(I22/(1+$D$23)^(I11-1),0)</f>
        <v>13751336</v>
      </c>
      <c r="J25" s="435"/>
      <c r="K25" s="435"/>
      <c r="L25" s="436"/>
      <c r="M25" s="434">
        <f t="shared" ref="M25" si="346">ROUND(M22/(1+$D$23)^(M11-1),0)</f>
        <v>12217163</v>
      </c>
      <c r="N25" s="435"/>
      <c r="O25" s="435"/>
      <c r="P25" s="436"/>
      <c r="Q25" s="434">
        <f t="shared" ref="Q25" si="347">ROUND(Q22/(1+$D$23)^(Q11-1),0)</f>
        <v>10854148</v>
      </c>
      <c r="R25" s="435"/>
      <c r="S25" s="435"/>
      <c r="T25" s="436"/>
      <c r="U25" s="434">
        <f t="shared" ref="U25" si="348">ROUND(U22/(1+$D$23)^(U11-1),0)</f>
        <v>9643205</v>
      </c>
      <c r="V25" s="435"/>
      <c r="W25" s="435"/>
      <c r="X25" s="436"/>
      <c r="Y25" s="434">
        <f t="shared" ref="Y25" si="349">ROUND(Y22/(1+$D$23)^(Y11-1),0)</f>
        <v>8567357</v>
      </c>
      <c r="Z25" s="435"/>
      <c r="AA25" s="435"/>
      <c r="AB25" s="436"/>
      <c r="AC25" s="434">
        <f t="shared" ref="AC25" si="350">ROUND(AC22/(1+$D$23)^(AC11-1),0)</f>
        <v>7611538</v>
      </c>
      <c r="AD25" s="435"/>
      <c r="AE25" s="435"/>
      <c r="AF25" s="436"/>
      <c r="AG25" s="434">
        <f t="shared" ref="AG25" si="351">ROUND(AG22/(1+$D$23)^(AG11-1),0)</f>
        <v>6762354</v>
      </c>
      <c r="AH25" s="435"/>
      <c r="AI25" s="435"/>
      <c r="AJ25" s="436"/>
      <c r="AK25" s="434">
        <f t="shared" ref="AK25" si="352">ROUND(AK22/(1+$D$23)^(AK11-1),0)</f>
        <v>6007910</v>
      </c>
      <c r="AL25" s="435"/>
      <c r="AM25" s="435"/>
      <c r="AN25" s="436"/>
      <c r="AO25" s="434">
        <f t="shared" ref="AO25" si="353">ROUND(AO22/(1+$D$23)^(AO11-1),0)</f>
        <v>5337636</v>
      </c>
      <c r="AP25" s="435"/>
      <c r="AQ25" s="435"/>
      <c r="AR25" s="436"/>
      <c r="AS25" s="434">
        <f t="shared" ref="AS25" si="354">ROUND(AS22/(1+$D$23)^(AS11-1),0)</f>
        <v>4742139</v>
      </c>
      <c r="AT25" s="435"/>
      <c r="AU25" s="435"/>
      <c r="AV25" s="436"/>
      <c r="AW25" s="434">
        <f t="shared" ref="AW25" si="355">ROUND(AW22/(1+$D$23)^(AW11-1),0)</f>
        <v>4213080</v>
      </c>
      <c r="AX25" s="435"/>
      <c r="AY25" s="435"/>
      <c r="AZ25" s="436"/>
      <c r="BA25" s="434">
        <f t="shared" ref="BA25" si="356">ROUND(BA22/(1+$D$23)^(BA11-1),0)</f>
        <v>3743048</v>
      </c>
      <c r="BB25" s="435"/>
      <c r="BC25" s="435"/>
      <c r="BD25" s="436"/>
      <c r="BE25" s="434">
        <f t="shared" ref="BE25" si="357">ROUND(BE22/(1+$D$23)^(BE11-1),0)</f>
        <v>3325455</v>
      </c>
      <c r="BF25" s="435"/>
      <c r="BG25" s="435"/>
      <c r="BH25" s="436"/>
      <c r="BI25" s="434">
        <f t="shared" ref="BI25" si="358">ROUND(BI22/(1+$D$23)^(BI11-1),0)</f>
        <v>2954450</v>
      </c>
      <c r="BJ25" s="435"/>
      <c r="BK25" s="435"/>
      <c r="BL25" s="436"/>
      <c r="BM25" s="434">
        <f t="shared" ref="BM25" si="359">ROUND(BM22/(1+$D$23)^(BM11-1),0)</f>
        <v>2624836</v>
      </c>
      <c r="BN25" s="435"/>
      <c r="BO25" s="435"/>
      <c r="BP25" s="436"/>
      <c r="BQ25" s="434">
        <f t="shared" ref="BQ25" si="360">ROUND(BQ22/(1+$D$23)^(BQ11-1),0)</f>
        <v>2331995</v>
      </c>
      <c r="BR25" s="435"/>
      <c r="BS25" s="435"/>
      <c r="BT25" s="436"/>
      <c r="BU25" s="434">
        <f t="shared" ref="BU25" si="361">ROUND(BU22/(1+$D$23)^(BU11-1),0)</f>
        <v>2071824</v>
      </c>
      <c r="BV25" s="435"/>
      <c r="BW25" s="435"/>
      <c r="BX25" s="436"/>
      <c r="BY25" s="434">
        <f t="shared" ref="BY25" si="362">ROUND(BY22/(1+$D$23)^(BY11-1),0)</f>
        <v>1840681</v>
      </c>
      <c r="BZ25" s="435"/>
      <c r="CA25" s="435"/>
      <c r="CB25" s="436"/>
      <c r="CC25" s="434">
        <f t="shared" ref="CC25" si="363">ROUND(CC22/(1+$D$23)^(CC11-1),0)</f>
        <v>1635325</v>
      </c>
      <c r="CD25" s="435"/>
      <c r="CE25" s="435"/>
      <c r="CF25" s="436"/>
      <c r="CG25" s="434">
        <f t="shared" ref="CG25" si="364">ROUND(CG22/(1+$D$23)^(CG11-1),0)</f>
        <v>1452879</v>
      </c>
      <c r="CH25" s="435"/>
      <c r="CI25" s="435"/>
      <c r="CJ25" s="436"/>
      <c r="CK25" s="434">
        <f t="shared" ref="CK25" si="365">ROUND(CK22/(1+$D$23)^(CK11-1),0)</f>
        <v>1290813</v>
      </c>
      <c r="CL25" s="435"/>
      <c r="CM25" s="435"/>
      <c r="CN25" s="436"/>
      <c r="CO25" s="434">
        <f t="shared" ref="CO25" si="366">ROUND(CO22/(1+$D$23)^(CO11-1),0)</f>
        <v>1146826</v>
      </c>
      <c r="CP25" s="435"/>
      <c r="CQ25" s="435"/>
      <c r="CR25" s="436"/>
      <c r="CS25" s="434">
        <f t="shared" ref="CS25" si="367">ROUND(CS22/(1+$D$23)^(CS11-1),0)</f>
        <v>1018901</v>
      </c>
      <c r="CT25" s="435"/>
      <c r="CU25" s="435"/>
      <c r="CV25" s="436"/>
      <c r="CW25" s="434">
        <f t="shared" ref="CW25" si="368">ROUND(CW22/(1+$D$23)^(CW11-1),0)</f>
        <v>905247</v>
      </c>
      <c r="CX25" s="435"/>
      <c r="CY25" s="435"/>
      <c r="CZ25" s="436"/>
      <c r="DA25" s="434">
        <f t="shared" ref="DA25" si="369">ROUND(DA22/(1+$D$23)^(DA11-1),0)</f>
        <v>804272</v>
      </c>
      <c r="DB25" s="435"/>
      <c r="DC25" s="435"/>
      <c r="DD25" s="436"/>
      <c r="DE25" s="434">
        <f t="shared" ref="DE25" si="370">ROUND(DE22/(1+$D$23)^(DE11-1),0)</f>
        <v>714561</v>
      </c>
      <c r="DF25" s="435"/>
      <c r="DG25" s="435"/>
      <c r="DH25" s="436"/>
      <c r="DI25" s="434">
        <f t="shared" ref="DI25" si="371">ROUND(DI22/(1+$D$23)^(DI11-1),0)</f>
        <v>634859</v>
      </c>
      <c r="DJ25" s="435"/>
      <c r="DK25" s="435"/>
      <c r="DL25" s="436"/>
      <c r="DM25" s="434">
        <f t="shared" ref="DM25" si="372">ROUND(DM22/(1+$D$23)^(DM11-1),0)</f>
        <v>564046</v>
      </c>
      <c r="DN25" s="435"/>
      <c r="DO25" s="435"/>
      <c r="DP25" s="436"/>
      <c r="DQ25" s="434">
        <f t="shared" ref="DQ25" si="373">ROUND(DQ22/(1+$D$23)^(DQ11-1),0)</f>
        <v>501133</v>
      </c>
      <c r="DR25" s="435"/>
      <c r="DS25" s="435"/>
      <c r="DT25" s="436"/>
      <c r="DU25" s="434">
        <f t="shared" ref="DU25" si="374">ROUND(DU22/(1+$D$23)^(DU11-1),0)</f>
        <v>445238</v>
      </c>
      <c r="DV25" s="435"/>
      <c r="DW25" s="435"/>
      <c r="DX25" s="436"/>
      <c r="DY25" s="434">
        <f t="shared" ref="DY25" si="375">ROUND(DY22/(1+$D$23)^(DY11-1),0)</f>
        <v>395579</v>
      </c>
      <c r="DZ25" s="435"/>
      <c r="EA25" s="435"/>
      <c r="EB25" s="436"/>
      <c r="EC25" s="434">
        <f t="shared" ref="EC25" si="376">ROUND(EC22/(1+$D$23)^(EC11-1),0)</f>
        <v>351459</v>
      </c>
      <c r="ED25" s="435"/>
      <c r="EE25" s="435"/>
      <c r="EF25" s="436"/>
      <c r="EG25" s="434">
        <f t="shared" ref="EG25" si="377">ROUND(EG22/(1+$D$23)^(EG11-1),0)</f>
        <v>312260</v>
      </c>
      <c r="EH25" s="435"/>
      <c r="EI25" s="435"/>
      <c r="EJ25" s="436"/>
      <c r="EK25" s="434">
        <f>ROUND(EK22/(1+$D$23)^(EK11-1),0)</f>
        <v>277434</v>
      </c>
      <c r="EL25" s="435"/>
      <c r="EM25" s="435"/>
      <c r="EN25" s="436"/>
      <c r="EO25" s="377">
        <f>SUM(E25:EN25)</f>
        <v>136529147</v>
      </c>
    </row>
    <row r="26" spans="1:206" ht="21" customHeight="1">
      <c r="A26" s="59"/>
      <c r="B26" s="203"/>
      <c r="C26" s="204" t="s">
        <v>1417</v>
      </c>
      <c r="D26" s="205">
        <f>基础资料!G4</f>
        <v>23898.16</v>
      </c>
      <c r="E26" s="378">
        <f>基础资料!J4</f>
        <v>683</v>
      </c>
      <c r="F26" s="64">
        <v>35</v>
      </c>
      <c r="G26" s="65"/>
      <c r="H26" s="98"/>
      <c r="I26" s="64"/>
      <c r="EU26" s="40"/>
    </row>
    <row r="27" spans="1:206" ht="21" customHeight="1">
      <c r="A27" s="59"/>
      <c r="B27" s="203"/>
      <c r="C27" s="204" t="s">
        <v>1418</v>
      </c>
      <c r="D27" s="205">
        <f>ROUND(D25/D26,0)</f>
        <v>5713</v>
      </c>
      <c r="E27" s="378">
        <f>D25/E26</f>
        <v>199896.26207906296</v>
      </c>
      <c r="F27" s="64"/>
      <c r="G27" s="65"/>
      <c r="H27" s="98"/>
      <c r="I27" s="64"/>
      <c r="EU27" s="40"/>
    </row>
    <row r="28" spans="1:206" ht="21" customHeight="1">
      <c r="A28" s="59"/>
      <c r="B28" s="203"/>
      <c r="C28" s="204"/>
      <c r="D28" s="205"/>
      <c r="E28" s="63"/>
      <c r="F28" s="64"/>
      <c r="G28" s="65"/>
      <c r="H28" s="98"/>
      <c r="I28" s="64"/>
      <c r="EU28" s="40"/>
    </row>
    <row r="29" spans="1:206" ht="21" customHeight="1">
      <c r="A29" s="59"/>
      <c r="B29" s="203"/>
      <c r="C29" s="204"/>
      <c r="D29" s="205"/>
      <c r="E29" s="63"/>
      <c r="F29" s="64"/>
      <c r="G29" s="65"/>
      <c r="H29" s="98"/>
      <c r="I29" s="64"/>
      <c r="EU29" s="40"/>
    </row>
    <row r="30" spans="1:206" ht="21" customHeight="1">
      <c r="A30" s="59"/>
      <c r="B30" s="203"/>
      <c r="C30" s="204"/>
      <c r="D30" s="205"/>
      <c r="E30" s="63"/>
      <c r="F30" s="64"/>
      <c r="G30" s="65"/>
      <c r="H30" s="98"/>
      <c r="I30" s="64"/>
      <c r="EU30" s="40"/>
    </row>
    <row r="31" spans="1:206" ht="21" customHeight="1">
      <c r="A31" s="59"/>
      <c r="B31" s="203"/>
      <c r="C31" s="204"/>
      <c r="D31" s="205"/>
      <c r="E31" s="63"/>
      <c r="F31" s="64"/>
      <c r="G31" s="65"/>
      <c r="H31" s="98"/>
      <c r="I31" s="64"/>
      <c r="EU31" s="40"/>
    </row>
    <row r="32" spans="1:206" ht="21" customHeight="1">
      <c r="A32" s="59"/>
      <c r="B32" s="203"/>
      <c r="C32" s="204"/>
      <c r="D32" s="205"/>
      <c r="E32" s="63"/>
      <c r="F32" s="64"/>
      <c r="G32" s="65"/>
      <c r="H32" s="98"/>
      <c r="I32" s="64"/>
      <c r="EU32" s="40"/>
    </row>
    <row r="33" spans="1:151" ht="21" customHeight="1">
      <c r="A33" s="59"/>
      <c r="B33" s="203"/>
      <c r="C33" s="204"/>
      <c r="D33" s="205"/>
      <c r="E33" s="63"/>
      <c r="F33" s="64"/>
      <c r="G33" s="65"/>
      <c r="H33" s="98"/>
      <c r="I33" s="64"/>
      <c r="EU33" s="40"/>
    </row>
    <row r="34" spans="1:151" ht="21" customHeight="1">
      <c r="A34" s="59"/>
      <c r="B34" s="203"/>
      <c r="C34" s="204"/>
      <c r="D34" s="205"/>
      <c r="E34" s="63"/>
      <c r="F34" s="64"/>
      <c r="G34" s="65"/>
      <c r="H34" s="98"/>
      <c r="I34" s="64"/>
      <c r="EU34" s="40"/>
    </row>
    <row r="35" spans="1:151" ht="21" customHeight="1">
      <c r="A35" s="59"/>
      <c r="B35" s="203"/>
      <c r="C35" s="204"/>
      <c r="D35" s="205"/>
      <c r="E35" s="63"/>
      <c r="F35" s="64"/>
      <c r="G35" s="65"/>
      <c r="H35" s="98"/>
      <c r="I35" s="64"/>
      <c r="EU35" s="40"/>
    </row>
    <row r="36" spans="1:151" ht="21" customHeight="1">
      <c r="A36" s="59"/>
      <c r="B36" s="203"/>
      <c r="C36" s="204"/>
      <c r="D36" s="205"/>
      <c r="E36" s="63"/>
      <c r="F36" s="64"/>
      <c r="G36" s="65"/>
      <c r="H36" s="98"/>
      <c r="I36" s="64"/>
      <c r="EU36" s="40"/>
    </row>
    <row r="37" spans="1:151" ht="21" customHeight="1">
      <c r="A37" s="59"/>
      <c r="B37" s="203"/>
      <c r="C37" s="204"/>
      <c r="D37" s="205"/>
      <c r="E37" s="63"/>
      <c r="F37" s="64"/>
      <c r="G37" s="65"/>
      <c r="H37" s="98"/>
      <c r="I37" s="64"/>
      <c r="EU37" s="40"/>
    </row>
    <row r="38" spans="1:151" ht="21" customHeight="1">
      <c r="A38" s="59"/>
      <c r="B38" s="203"/>
      <c r="C38" s="204"/>
      <c r="D38" s="205"/>
      <c r="E38" s="63"/>
      <c r="F38" s="64"/>
      <c r="G38" s="65"/>
      <c r="H38" s="98"/>
      <c r="I38" s="64"/>
      <c r="EU38" s="40"/>
    </row>
    <row r="39" spans="1:151" ht="21" customHeight="1">
      <c r="A39" s="59"/>
      <c r="B39" s="203"/>
      <c r="C39" s="204"/>
      <c r="D39" s="205"/>
      <c r="E39" s="63"/>
      <c r="F39" s="64"/>
      <c r="G39" s="65"/>
      <c r="H39" s="98"/>
      <c r="I39" s="64"/>
      <c r="EU39" s="40"/>
    </row>
    <row r="40" spans="1:151" ht="21" customHeight="1">
      <c r="A40" s="59"/>
      <c r="B40" s="203"/>
      <c r="C40" s="204"/>
      <c r="D40" s="205"/>
      <c r="E40" s="63"/>
      <c r="F40" s="64"/>
      <c r="G40" s="65"/>
      <c r="H40" s="98"/>
      <c r="I40" s="64"/>
      <c r="EU40" s="40"/>
    </row>
    <row r="41" spans="1:151" ht="21" customHeight="1">
      <c r="A41" s="59"/>
      <c r="B41" s="203"/>
      <c r="C41" s="204"/>
      <c r="D41" s="205"/>
      <c r="E41" s="63"/>
      <c r="F41" s="64"/>
      <c r="G41" s="65"/>
      <c r="H41" s="98"/>
      <c r="I41" s="64"/>
      <c r="EU41" s="40"/>
    </row>
    <row r="42" spans="1:151" ht="21" customHeight="1">
      <c r="A42" s="59"/>
      <c r="B42" s="99"/>
      <c r="C42" s="2"/>
      <c r="D42" s="100"/>
      <c r="E42" s="63"/>
      <c r="F42" s="64"/>
      <c r="G42" s="65"/>
      <c r="H42" s="98"/>
      <c r="I42" s="64"/>
    </row>
    <row r="43" spans="1:151" ht="21" customHeight="1">
      <c r="A43" s="59"/>
      <c r="B43" s="99"/>
      <c r="C43" s="2"/>
      <c r="D43" s="100"/>
      <c r="E43" s="63"/>
      <c r="F43" s="64"/>
      <c r="G43" s="65"/>
      <c r="H43" s="98"/>
      <c r="I43" s="64"/>
    </row>
    <row r="44" spans="1:151" ht="21" customHeight="1">
      <c r="A44" s="59"/>
      <c r="B44" s="99"/>
      <c r="C44" s="2"/>
      <c r="D44" s="100"/>
      <c r="E44" s="63"/>
      <c r="F44" s="64"/>
      <c r="G44" s="65"/>
      <c r="H44" s="98"/>
      <c r="I44" s="64"/>
    </row>
    <row r="45" spans="1:151" ht="21" customHeight="1">
      <c r="A45" s="59"/>
      <c r="B45" s="99"/>
      <c r="C45" s="2"/>
      <c r="D45" s="100"/>
      <c r="E45" s="63"/>
      <c r="F45" s="64"/>
      <c r="G45" s="65"/>
      <c r="H45" s="98"/>
      <c r="I45" s="64"/>
    </row>
    <row r="46" spans="1:151" ht="21" customHeight="1">
      <c r="A46" s="59"/>
      <c r="B46" s="99"/>
      <c r="C46" s="2"/>
      <c r="D46" s="100"/>
      <c r="E46" s="63"/>
      <c r="F46" s="64"/>
      <c r="G46" s="65"/>
      <c r="H46" s="98"/>
      <c r="I46" s="64"/>
    </row>
    <row r="47" spans="1:151" ht="21" customHeight="1">
      <c r="A47" s="59"/>
      <c r="B47" s="99"/>
      <c r="C47" s="2"/>
      <c r="D47" s="100"/>
      <c r="E47" s="63"/>
      <c r="F47" s="64"/>
      <c r="G47" s="65"/>
      <c r="H47" s="98"/>
      <c r="I47" s="64"/>
    </row>
    <row r="48" spans="1:151" ht="21" customHeight="1">
      <c r="A48" s="59"/>
      <c r="B48" s="99"/>
      <c r="C48" s="2"/>
      <c r="D48" s="100"/>
      <c r="E48" s="63"/>
      <c r="F48" s="64"/>
      <c r="G48" s="65"/>
      <c r="H48" s="98"/>
      <c r="I48" s="64"/>
    </row>
    <row r="49" spans="1:9" ht="21" customHeight="1">
      <c r="A49" s="59"/>
      <c r="B49" s="99"/>
      <c r="C49" s="2"/>
      <c r="D49" s="100"/>
      <c r="E49" s="63"/>
      <c r="F49" s="64"/>
      <c r="G49" s="65"/>
      <c r="H49" s="98"/>
      <c r="I49" s="64"/>
    </row>
    <row r="50" spans="1:9" ht="21" customHeight="1">
      <c r="A50" s="59"/>
      <c r="B50" s="99"/>
      <c r="C50" s="2"/>
      <c r="D50" s="100"/>
      <c r="E50" s="63"/>
      <c r="F50" s="64"/>
      <c r="G50" s="65"/>
      <c r="H50" s="98"/>
      <c r="I50" s="64"/>
    </row>
    <row r="51" spans="1:9" ht="21" customHeight="1">
      <c r="A51" s="59"/>
      <c r="B51" s="99"/>
      <c r="C51" s="2"/>
      <c r="D51" s="100"/>
      <c r="E51" s="63"/>
      <c r="F51" s="64"/>
      <c r="G51" s="65"/>
      <c r="H51" s="98"/>
      <c r="I51" s="64"/>
    </row>
    <row r="52" spans="1:9" ht="21" customHeight="1">
      <c r="A52" s="59"/>
      <c r="B52" s="99"/>
      <c r="C52" s="2"/>
      <c r="D52" s="100"/>
      <c r="E52" s="63"/>
      <c r="F52" s="64"/>
      <c r="G52" s="65"/>
      <c r="H52" s="98"/>
      <c r="I52" s="64"/>
    </row>
    <row r="53" spans="1:9" ht="21" customHeight="1">
      <c r="A53" s="59"/>
      <c r="B53" s="99"/>
      <c r="C53" s="2"/>
      <c r="D53" s="100"/>
      <c r="E53" s="63"/>
      <c r="F53" s="64"/>
      <c r="G53" s="65"/>
      <c r="H53" s="98"/>
      <c r="I53" s="64"/>
    </row>
    <row r="54" spans="1:9" ht="21" customHeight="1">
      <c r="A54" s="59"/>
      <c r="B54" s="99"/>
      <c r="C54" s="2"/>
      <c r="D54" s="100"/>
      <c r="E54" s="63"/>
      <c r="F54" s="64"/>
      <c r="G54" s="65"/>
      <c r="H54" s="98"/>
      <c r="I54" s="64"/>
    </row>
    <row r="55" spans="1:9" ht="21" customHeight="1">
      <c r="A55" s="59"/>
      <c r="B55" s="99"/>
      <c r="C55" s="2"/>
      <c r="D55" s="100"/>
      <c r="E55" s="63"/>
      <c r="F55" s="64"/>
      <c r="G55" s="65"/>
      <c r="H55" s="98"/>
      <c r="I55" s="64"/>
    </row>
    <row r="56" spans="1:9" ht="21" customHeight="1">
      <c r="A56" s="59"/>
      <c r="B56" s="99"/>
      <c r="C56" s="2"/>
      <c r="D56" s="100"/>
      <c r="E56" s="63"/>
      <c r="F56" s="64"/>
      <c r="G56" s="65"/>
      <c r="H56" s="98"/>
      <c r="I56" s="64"/>
    </row>
    <row r="57" spans="1:9" ht="21" customHeight="1">
      <c r="A57" s="59"/>
      <c r="B57" s="99"/>
      <c r="C57" s="2"/>
      <c r="D57" s="100"/>
      <c r="E57" s="63"/>
      <c r="F57" s="64"/>
      <c r="G57" s="65"/>
      <c r="H57" s="98"/>
      <c r="I57" s="64"/>
    </row>
    <row r="58" spans="1:9" ht="21" customHeight="1">
      <c r="A58" s="59"/>
      <c r="B58" s="99"/>
      <c r="C58" s="2"/>
      <c r="D58" s="100"/>
      <c r="E58" s="63"/>
      <c r="F58" s="64"/>
      <c r="G58" s="65"/>
      <c r="H58" s="98"/>
      <c r="I58" s="64"/>
    </row>
    <row r="59" spans="1:9" ht="21" customHeight="1">
      <c r="A59" s="59"/>
      <c r="B59" s="99"/>
      <c r="C59" s="2"/>
      <c r="D59" s="100"/>
      <c r="E59" s="63"/>
      <c r="F59" s="64"/>
      <c r="G59" s="65"/>
      <c r="H59" s="98"/>
      <c r="I59" s="64"/>
    </row>
    <row r="60" spans="1:9" ht="21" customHeight="1">
      <c r="A60" s="59"/>
      <c r="B60" s="99"/>
      <c r="C60" s="2"/>
      <c r="D60" s="100"/>
      <c r="E60" s="63"/>
      <c r="F60" s="64"/>
      <c r="G60" s="65"/>
      <c r="H60" s="98"/>
      <c r="I60" s="64"/>
    </row>
    <row r="61" spans="1:9" ht="21" customHeight="1">
      <c r="A61" s="59"/>
      <c r="B61" s="99"/>
      <c r="C61" s="2"/>
      <c r="D61" s="100"/>
      <c r="E61" s="63"/>
      <c r="F61" s="64"/>
      <c r="G61" s="65"/>
      <c r="H61" s="98"/>
      <c r="I61" s="64"/>
    </row>
    <row r="62" spans="1:9" ht="21" customHeight="1">
      <c r="A62" s="59"/>
      <c r="B62" s="99"/>
      <c r="C62" s="2"/>
      <c r="D62" s="100"/>
      <c r="E62" s="63"/>
      <c r="F62" s="64"/>
      <c r="G62" s="65"/>
      <c r="H62" s="98"/>
      <c r="I62" s="64"/>
    </row>
    <row r="63" spans="1:9" ht="21" customHeight="1">
      <c r="A63" s="59"/>
      <c r="B63" s="99"/>
      <c r="C63" s="2"/>
      <c r="D63" s="100"/>
      <c r="E63" s="63"/>
      <c r="F63" s="64"/>
      <c r="G63" s="65"/>
      <c r="H63" s="98"/>
      <c r="I63" s="64"/>
    </row>
    <row r="64" spans="1:9" ht="21" customHeight="1">
      <c r="A64" s="59"/>
      <c r="B64" s="99"/>
      <c r="C64" s="2"/>
      <c r="D64" s="100"/>
      <c r="E64" s="63"/>
      <c r="F64" s="64"/>
      <c r="G64" s="65"/>
      <c r="H64" s="98"/>
      <c r="I64" s="64"/>
    </row>
    <row r="65" spans="1:9" ht="21" customHeight="1">
      <c r="A65" s="59"/>
      <c r="B65" s="99"/>
      <c r="C65" s="2"/>
      <c r="D65" s="100"/>
      <c r="E65" s="63"/>
      <c r="F65" s="64"/>
      <c r="G65" s="65"/>
      <c r="H65" s="98"/>
      <c r="I65" s="64"/>
    </row>
    <row r="66" spans="1:9" ht="21" customHeight="1">
      <c r="A66" s="59"/>
      <c r="B66" s="99"/>
      <c r="C66" s="2"/>
      <c r="D66" s="100"/>
      <c r="E66" s="63"/>
      <c r="F66" s="64"/>
      <c r="G66" s="65"/>
      <c r="H66" s="98"/>
      <c r="I66" s="64"/>
    </row>
    <row r="67" spans="1:9" ht="21" customHeight="1">
      <c r="A67" s="59"/>
      <c r="B67" s="99"/>
      <c r="C67" s="2"/>
      <c r="D67" s="100"/>
      <c r="E67" s="63"/>
      <c r="F67" s="64"/>
      <c r="G67" s="65"/>
      <c r="H67" s="98"/>
      <c r="I67" s="64"/>
    </row>
    <row r="68" spans="1:9" ht="21" customHeight="1">
      <c r="A68" s="59"/>
      <c r="B68" s="99"/>
      <c r="C68" s="2"/>
      <c r="D68" s="100"/>
      <c r="E68" s="63"/>
      <c r="F68" s="64"/>
      <c r="G68" s="65"/>
      <c r="H68" s="98"/>
      <c r="I68" s="64"/>
    </row>
    <row r="69" spans="1:9" ht="21" customHeight="1">
      <c r="A69" s="59"/>
      <c r="B69" s="99"/>
      <c r="C69" s="2"/>
      <c r="D69" s="100"/>
      <c r="E69" s="63"/>
      <c r="F69" s="64"/>
      <c r="G69" s="65"/>
      <c r="H69" s="98"/>
      <c r="I69" s="64"/>
    </row>
    <row r="70" spans="1:9">
      <c r="A70" s="59"/>
      <c r="B70" s="99"/>
      <c r="C70" s="2"/>
      <c r="D70" s="100"/>
      <c r="E70" s="63"/>
      <c r="F70" s="64"/>
      <c r="G70" s="65"/>
      <c r="H70" s="98"/>
      <c r="I70" s="64"/>
    </row>
    <row r="71" spans="1:9">
      <c r="A71" s="59"/>
      <c r="B71" s="99"/>
      <c r="C71" s="2"/>
      <c r="D71" s="100"/>
      <c r="E71" s="63"/>
      <c r="F71" s="64"/>
      <c r="G71" s="65"/>
      <c r="H71" s="98"/>
      <c r="I71" s="64"/>
    </row>
    <row r="72" spans="1:9">
      <c r="A72" s="59"/>
      <c r="B72" s="99"/>
      <c r="C72" s="2"/>
      <c r="D72" s="100"/>
      <c r="E72" s="63"/>
      <c r="F72" s="64"/>
      <c r="G72" s="65"/>
      <c r="H72" s="98"/>
      <c r="I72" s="64"/>
    </row>
    <row r="73" spans="1:9">
      <c r="A73" s="59"/>
      <c r="B73" s="99"/>
      <c r="C73" s="2"/>
      <c r="D73" s="100"/>
      <c r="E73" s="63"/>
      <c r="F73" s="64"/>
      <c r="G73" s="65"/>
      <c r="H73" s="98"/>
      <c r="I73" s="64"/>
    </row>
    <row r="74" spans="1:9">
      <c r="A74" s="59"/>
      <c r="B74" s="99"/>
      <c r="C74" s="2"/>
      <c r="D74" s="100"/>
      <c r="E74" s="63"/>
      <c r="F74" s="64"/>
      <c r="G74" s="65"/>
      <c r="H74" s="98"/>
      <c r="I74" s="64"/>
    </row>
    <row r="75" spans="1:9">
      <c r="A75" s="59"/>
      <c r="B75" s="99"/>
      <c r="C75" s="2"/>
      <c r="D75" s="100"/>
      <c r="E75" s="63"/>
      <c r="F75" s="64"/>
      <c r="G75" s="65"/>
      <c r="H75" s="98"/>
      <c r="I75" s="64"/>
    </row>
    <row r="76" spans="1:9">
      <c r="A76" s="59"/>
      <c r="B76" s="99"/>
      <c r="C76" s="2"/>
      <c r="D76" s="100"/>
      <c r="E76" s="63"/>
      <c r="F76" s="64"/>
      <c r="G76" s="65"/>
      <c r="H76" s="98"/>
      <c r="I76" s="64"/>
    </row>
    <row r="77" spans="1:9">
      <c r="A77" s="59"/>
      <c r="B77" s="99"/>
      <c r="C77" s="2"/>
      <c r="D77" s="100"/>
      <c r="E77" s="63"/>
      <c r="F77" s="64"/>
      <c r="G77" s="65"/>
      <c r="H77" s="98"/>
      <c r="I77" s="64"/>
    </row>
    <row r="78" spans="1:9">
      <c r="A78" s="59"/>
      <c r="B78" s="99"/>
      <c r="C78" s="2"/>
      <c r="D78" s="100"/>
      <c r="E78" s="63"/>
      <c r="F78" s="64"/>
      <c r="G78" s="65"/>
      <c r="H78" s="98"/>
      <c r="I78" s="64"/>
    </row>
    <row r="79" spans="1:9">
      <c r="A79" s="59"/>
      <c r="B79" s="99"/>
      <c r="C79" s="2"/>
      <c r="D79" s="100"/>
      <c r="E79" s="63"/>
      <c r="F79" s="64"/>
      <c r="G79" s="65"/>
      <c r="H79" s="98"/>
      <c r="I79" s="64"/>
    </row>
    <row r="80" spans="1:9">
      <c r="A80" s="59"/>
      <c r="B80" s="99"/>
      <c r="C80" s="2"/>
      <c r="D80" s="100"/>
      <c r="E80" s="63"/>
      <c r="F80" s="64"/>
      <c r="G80" s="65"/>
      <c r="H80" s="98"/>
      <c r="I80" s="64"/>
    </row>
    <row r="81" spans="1:9">
      <c r="A81" s="59"/>
      <c r="B81" s="99"/>
      <c r="C81" s="2"/>
      <c r="D81" s="100"/>
      <c r="E81" s="63"/>
      <c r="F81" s="64"/>
      <c r="G81" s="65"/>
      <c r="H81" s="98"/>
      <c r="I81" s="64"/>
    </row>
    <row r="82" spans="1:9">
      <c r="A82" s="59"/>
      <c r="B82" s="99"/>
      <c r="C82" s="2"/>
      <c r="D82" s="100"/>
      <c r="E82" s="63"/>
      <c r="F82" s="64"/>
      <c r="G82" s="65"/>
      <c r="H82" s="98"/>
      <c r="I82" s="64"/>
    </row>
    <row r="83" spans="1:9">
      <c r="A83" s="59"/>
      <c r="B83" s="99"/>
      <c r="C83" s="2"/>
      <c r="D83" s="100"/>
      <c r="E83" s="63"/>
      <c r="F83" s="64"/>
      <c r="G83" s="65"/>
      <c r="H83" s="98"/>
      <c r="I83" s="64"/>
    </row>
    <row r="84" spans="1:9">
      <c r="A84" s="59"/>
      <c r="B84" s="99"/>
      <c r="C84" s="2"/>
      <c r="D84" s="100"/>
      <c r="E84" s="63"/>
      <c r="F84" s="64"/>
      <c r="G84" s="65"/>
      <c r="H84" s="98"/>
      <c r="I84" s="64"/>
    </row>
    <row r="85" spans="1:9">
      <c r="A85" s="59"/>
      <c r="B85" s="99"/>
      <c r="C85" s="2"/>
      <c r="D85" s="100"/>
      <c r="E85" s="63"/>
      <c r="F85" s="64"/>
      <c r="G85" s="65"/>
      <c r="H85" s="98"/>
      <c r="I85" s="64"/>
    </row>
    <row r="86" spans="1:9">
      <c r="A86" s="59"/>
      <c r="B86" s="99"/>
      <c r="C86" s="2"/>
      <c r="D86" s="100"/>
      <c r="E86" s="63"/>
      <c r="F86" s="64"/>
      <c r="G86" s="65"/>
      <c r="H86" s="98"/>
      <c r="I86" s="64"/>
    </row>
    <row r="87" spans="1:9">
      <c r="A87" s="59"/>
      <c r="B87" s="99"/>
      <c r="C87" s="2"/>
      <c r="D87" s="100"/>
      <c r="E87" s="63"/>
      <c r="F87" s="64"/>
      <c r="G87" s="65"/>
      <c r="H87" s="98"/>
      <c r="I87" s="64"/>
    </row>
    <row r="88" spans="1:9">
      <c r="A88" s="59"/>
      <c r="B88" s="99"/>
      <c r="C88" s="2"/>
      <c r="D88" s="100"/>
      <c r="E88" s="63"/>
      <c r="F88" s="64"/>
      <c r="G88" s="65"/>
      <c r="H88" s="98"/>
      <c r="I88" s="64"/>
    </row>
    <row r="89" spans="1:9">
      <c r="A89" s="59"/>
      <c r="B89" s="99"/>
      <c r="C89" s="2"/>
      <c r="D89" s="100"/>
      <c r="E89" s="63"/>
      <c r="F89" s="64"/>
      <c r="G89" s="65"/>
      <c r="H89" s="98"/>
      <c r="I89" s="64"/>
    </row>
    <row r="90" spans="1:9">
      <c r="A90" s="59"/>
      <c r="B90" s="99"/>
      <c r="C90" s="2"/>
      <c r="D90" s="100"/>
      <c r="E90" s="63"/>
      <c r="F90" s="64"/>
      <c r="G90" s="65"/>
      <c r="H90" s="98"/>
      <c r="I90" s="64"/>
    </row>
    <row r="91" spans="1:9">
      <c r="A91" s="59"/>
      <c r="B91" s="99"/>
      <c r="C91" s="2"/>
      <c r="D91" s="100"/>
      <c r="E91" s="63"/>
      <c r="F91" s="64"/>
      <c r="G91" s="65"/>
      <c r="H91" s="98"/>
      <c r="I91" s="64"/>
    </row>
    <row r="92" spans="1:9">
      <c r="A92" s="59"/>
      <c r="B92" s="99"/>
      <c r="C92" s="2"/>
      <c r="D92" s="100"/>
      <c r="E92" s="63"/>
      <c r="F92" s="64"/>
      <c r="G92" s="65"/>
      <c r="H92" s="98"/>
      <c r="I92" s="64"/>
    </row>
    <row r="93" spans="1:9">
      <c r="A93" s="59"/>
      <c r="B93" s="99"/>
      <c r="C93" s="2"/>
      <c r="D93" s="100"/>
      <c r="E93" s="63"/>
      <c r="F93" s="64"/>
      <c r="G93" s="65"/>
      <c r="H93" s="98"/>
      <c r="I93" s="64"/>
    </row>
    <row r="94" spans="1:9">
      <c r="A94" s="59"/>
      <c r="B94" s="99"/>
      <c r="C94" s="2"/>
      <c r="D94" s="100"/>
      <c r="E94" s="63"/>
      <c r="F94" s="64"/>
      <c r="G94" s="65"/>
      <c r="H94" s="98"/>
      <c r="I94" s="64"/>
    </row>
    <row r="95" spans="1:9">
      <c r="A95" s="59"/>
      <c r="B95" s="99"/>
      <c r="C95" s="2"/>
      <c r="D95" s="100"/>
      <c r="E95" s="63"/>
      <c r="F95" s="64"/>
      <c r="G95" s="65"/>
      <c r="H95" s="98"/>
      <c r="I95" s="64"/>
    </row>
    <row r="96" spans="1:9">
      <c r="A96" s="59"/>
      <c r="B96" s="99"/>
      <c r="C96" s="2"/>
      <c r="D96" s="100"/>
      <c r="E96" s="63"/>
      <c r="F96" s="64"/>
      <c r="G96" s="65"/>
      <c r="H96" s="98"/>
      <c r="I96" s="64"/>
    </row>
    <row r="97" spans="1:9">
      <c r="A97" s="59"/>
      <c r="B97" s="99"/>
      <c r="C97" s="2"/>
      <c r="D97" s="100"/>
      <c r="E97" s="63"/>
      <c r="F97" s="64"/>
      <c r="G97" s="65"/>
      <c r="H97" s="98"/>
      <c r="I97" s="64"/>
    </row>
    <row r="98" spans="1:9">
      <c r="A98" s="59"/>
      <c r="B98" s="99"/>
      <c r="C98" s="2"/>
      <c r="D98" s="100"/>
      <c r="E98" s="63"/>
      <c r="F98" s="64"/>
      <c r="G98" s="65"/>
      <c r="H98" s="98"/>
      <c r="I98" s="64"/>
    </row>
    <row r="99" spans="1:9">
      <c r="A99" s="59"/>
      <c r="B99" s="99"/>
      <c r="C99" s="2"/>
      <c r="D99" s="100"/>
      <c r="E99" s="63"/>
      <c r="F99" s="64"/>
      <c r="G99" s="65"/>
      <c r="H99" s="98"/>
      <c r="I99" s="64"/>
    </row>
    <row r="100" spans="1:9">
      <c r="A100" s="59"/>
      <c r="B100" s="99"/>
      <c r="C100" s="2"/>
      <c r="D100" s="100"/>
      <c r="E100" s="63"/>
      <c r="F100" s="64"/>
      <c r="G100" s="65"/>
      <c r="H100" s="98"/>
      <c r="I100" s="64"/>
    </row>
    <row r="101" spans="1:9">
      <c r="A101" s="59"/>
      <c r="B101" s="99"/>
      <c r="C101" s="2"/>
      <c r="D101" s="100"/>
      <c r="E101" s="63"/>
      <c r="F101" s="64"/>
      <c r="G101" s="65"/>
      <c r="H101" s="98"/>
      <c r="I101" s="64"/>
    </row>
    <row r="102" spans="1:9">
      <c r="A102" s="59"/>
      <c r="B102" s="99"/>
      <c r="C102" s="2"/>
      <c r="D102" s="100"/>
      <c r="E102" s="63"/>
      <c r="F102" s="64"/>
      <c r="G102" s="65"/>
      <c r="H102" s="98"/>
      <c r="I102" s="64"/>
    </row>
    <row r="103" spans="1:9">
      <c r="A103" s="59"/>
      <c r="B103" s="99"/>
      <c r="C103" s="2"/>
      <c r="D103" s="100"/>
      <c r="E103" s="63"/>
      <c r="F103" s="64"/>
      <c r="G103" s="65"/>
      <c r="H103" s="98"/>
      <c r="I103" s="64"/>
    </row>
    <row r="104" spans="1:9">
      <c r="A104" s="59"/>
      <c r="B104" s="99"/>
      <c r="C104" s="2"/>
      <c r="D104" s="100"/>
      <c r="E104" s="63"/>
      <c r="F104" s="64"/>
      <c r="G104" s="65"/>
      <c r="H104" s="98"/>
      <c r="I104" s="64"/>
    </row>
    <row r="105" spans="1:9">
      <c r="A105" s="59"/>
      <c r="B105" s="99"/>
      <c r="C105" s="2"/>
      <c r="D105" s="100"/>
      <c r="E105" s="63"/>
      <c r="F105" s="64"/>
      <c r="G105" s="65"/>
      <c r="H105" s="98"/>
      <c r="I105" s="64"/>
    </row>
    <row r="106" spans="1:9">
      <c r="A106" s="59"/>
      <c r="B106" s="99"/>
      <c r="C106" s="2"/>
      <c r="D106" s="100"/>
      <c r="E106" s="63"/>
      <c r="F106" s="64"/>
      <c r="G106" s="65"/>
      <c r="H106" s="98"/>
      <c r="I106" s="64"/>
    </row>
    <row r="107" spans="1:9">
      <c r="A107" s="59"/>
      <c r="B107" s="99"/>
      <c r="C107" s="2"/>
      <c r="D107" s="100"/>
      <c r="E107" s="63"/>
      <c r="F107" s="64"/>
      <c r="G107" s="65"/>
      <c r="H107" s="98"/>
      <c r="I107" s="64"/>
    </row>
    <row r="108" spans="1:9">
      <c r="A108" s="59"/>
      <c r="B108" s="99"/>
      <c r="C108" s="2"/>
      <c r="D108" s="100"/>
      <c r="E108" s="63"/>
      <c r="F108" s="64"/>
      <c r="G108" s="65"/>
      <c r="H108" s="98"/>
      <c r="I108" s="64"/>
    </row>
    <row r="109" spans="1:9">
      <c r="A109" s="59"/>
      <c r="B109" s="99"/>
      <c r="C109" s="2"/>
      <c r="D109" s="100"/>
      <c r="E109" s="63"/>
      <c r="F109" s="64"/>
      <c r="G109" s="65"/>
      <c r="H109" s="98"/>
      <c r="I109" s="64"/>
    </row>
    <row r="110" spans="1:9">
      <c r="A110" s="59"/>
      <c r="B110" s="99"/>
      <c r="C110" s="2"/>
      <c r="D110" s="100"/>
      <c r="E110" s="63"/>
      <c r="F110" s="64"/>
      <c r="G110" s="65"/>
      <c r="H110" s="98"/>
      <c r="I110" s="64"/>
    </row>
    <row r="111" spans="1:9">
      <c r="A111" s="59"/>
      <c r="B111" s="99"/>
      <c r="C111" s="2"/>
      <c r="D111" s="100"/>
      <c r="E111" s="63"/>
      <c r="F111" s="64"/>
      <c r="G111" s="65"/>
      <c r="H111" s="98"/>
      <c r="I111" s="64"/>
    </row>
    <row r="112" spans="1:9">
      <c r="A112" s="59"/>
      <c r="B112" s="99"/>
      <c r="C112" s="2"/>
      <c r="D112" s="100"/>
      <c r="E112" s="63"/>
      <c r="F112" s="64"/>
      <c r="G112" s="65"/>
      <c r="H112" s="98"/>
      <c r="I112" s="64"/>
    </row>
    <row r="113" spans="1:9">
      <c r="A113" s="59"/>
      <c r="B113" s="99"/>
      <c r="C113" s="2"/>
      <c r="D113" s="100"/>
      <c r="E113" s="63"/>
      <c r="F113" s="64"/>
      <c r="G113" s="65"/>
      <c r="H113" s="98"/>
      <c r="I113" s="64"/>
    </row>
    <row r="114" spans="1:9">
      <c r="A114" s="59"/>
      <c r="B114" s="99"/>
      <c r="C114" s="2"/>
      <c r="D114" s="100"/>
      <c r="E114" s="63"/>
      <c r="F114" s="64"/>
      <c r="G114" s="65"/>
      <c r="H114" s="98"/>
      <c r="I114" s="64"/>
    </row>
    <row r="115" spans="1:9">
      <c r="A115" s="59"/>
      <c r="B115" s="99"/>
      <c r="C115" s="2"/>
      <c r="D115" s="100"/>
      <c r="E115" s="63"/>
      <c r="F115" s="64"/>
      <c r="G115" s="65"/>
      <c r="H115" s="98"/>
      <c r="I115" s="64"/>
    </row>
    <row r="116" spans="1:9">
      <c r="A116" s="59"/>
      <c r="B116" s="99"/>
      <c r="C116" s="2"/>
      <c r="D116" s="100"/>
      <c r="E116" s="63"/>
      <c r="F116" s="64"/>
      <c r="G116" s="65"/>
      <c r="H116" s="98"/>
      <c r="I116" s="64"/>
    </row>
    <row r="117" spans="1:9">
      <c r="A117" s="59"/>
      <c r="B117" s="99"/>
      <c r="C117" s="2"/>
      <c r="D117" s="100"/>
      <c r="E117" s="63"/>
      <c r="F117" s="64"/>
      <c r="G117" s="65"/>
      <c r="H117" s="98"/>
      <c r="I117" s="64"/>
    </row>
    <row r="118" spans="1:9">
      <c r="A118" s="59"/>
      <c r="B118" s="99"/>
      <c r="C118" s="2"/>
      <c r="D118" s="100"/>
      <c r="E118" s="63"/>
      <c r="F118" s="64"/>
      <c r="G118" s="65"/>
      <c r="H118" s="98"/>
      <c r="I118" s="64"/>
    </row>
    <row r="119" spans="1:9">
      <c r="A119" s="59"/>
      <c r="B119" s="99"/>
      <c r="C119" s="2"/>
      <c r="D119" s="100"/>
      <c r="E119" s="63"/>
      <c r="F119" s="64"/>
      <c r="G119" s="65"/>
      <c r="H119" s="98"/>
      <c r="I119" s="64"/>
    </row>
    <row r="120" spans="1:9">
      <c r="A120" s="59"/>
      <c r="B120" s="99"/>
      <c r="C120" s="2"/>
      <c r="D120" s="100"/>
      <c r="E120" s="63"/>
      <c r="F120" s="64"/>
      <c r="G120" s="65"/>
      <c r="H120" s="98"/>
      <c r="I120" s="64"/>
    </row>
    <row r="121" spans="1:9">
      <c r="A121" s="59"/>
      <c r="B121" s="99"/>
      <c r="C121" s="2"/>
      <c r="D121" s="100"/>
      <c r="E121" s="63"/>
      <c r="F121" s="64"/>
      <c r="G121" s="65"/>
      <c r="H121" s="98"/>
      <c r="I121" s="64"/>
    </row>
    <row r="122" spans="1:9">
      <c r="A122" s="59"/>
      <c r="B122" s="99"/>
      <c r="C122" s="2"/>
      <c r="D122" s="100"/>
      <c r="E122" s="63"/>
      <c r="F122" s="64"/>
      <c r="G122" s="65"/>
      <c r="H122" s="98"/>
      <c r="I122" s="64"/>
    </row>
    <row r="123" spans="1:9">
      <c r="A123" s="59"/>
      <c r="B123" s="99"/>
      <c r="C123" s="2"/>
      <c r="D123" s="100"/>
      <c r="E123" s="63"/>
      <c r="F123" s="64"/>
      <c r="G123" s="65"/>
      <c r="H123" s="98"/>
      <c r="I123" s="64"/>
    </row>
    <row r="124" spans="1:9">
      <c r="A124" s="59"/>
      <c r="B124" s="99"/>
      <c r="C124" s="2"/>
      <c r="D124" s="100"/>
      <c r="E124" s="63"/>
      <c r="F124" s="64"/>
      <c r="G124" s="65"/>
      <c r="H124" s="98"/>
      <c r="I124" s="64"/>
    </row>
    <row r="125" spans="1:9">
      <c r="A125" s="59"/>
      <c r="B125" s="99"/>
      <c r="C125" s="2"/>
      <c r="D125" s="100"/>
      <c r="E125" s="63"/>
      <c r="F125" s="64"/>
      <c r="G125" s="65"/>
      <c r="H125" s="98"/>
      <c r="I125" s="64"/>
    </row>
    <row r="126" spans="1:9">
      <c r="A126" s="59"/>
      <c r="B126" s="99"/>
      <c r="C126" s="2"/>
      <c r="D126" s="100"/>
      <c r="E126" s="63"/>
      <c r="F126" s="64"/>
      <c r="G126" s="65"/>
      <c r="H126" s="98"/>
      <c r="I126" s="64"/>
    </row>
    <row r="127" spans="1:9">
      <c r="A127" s="59"/>
      <c r="B127" s="99"/>
      <c r="C127" s="2"/>
      <c r="D127" s="100"/>
      <c r="E127" s="63"/>
      <c r="F127" s="64"/>
      <c r="G127" s="65"/>
      <c r="H127" s="98"/>
      <c r="I127" s="64"/>
    </row>
    <row r="128" spans="1:9">
      <c r="A128" s="59"/>
      <c r="B128" s="99"/>
      <c r="C128" s="2"/>
      <c r="D128" s="100"/>
      <c r="E128" s="63"/>
      <c r="F128" s="64"/>
      <c r="G128" s="65"/>
      <c r="H128" s="98"/>
      <c r="I128" s="64"/>
    </row>
    <row r="129" spans="1:9">
      <c r="A129" s="59"/>
      <c r="B129" s="99"/>
      <c r="C129" s="2"/>
      <c r="D129" s="100"/>
      <c r="E129" s="63"/>
      <c r="F129" s="64"/>
      <c r="G129" s="65"/>
      <c r="H129" s="98"/>
      <c r="I129" s="64"/>
    </row>
    <row r="130" spans="1:9">
      <c r="A130" s="59"/>
      <c r="B130" s="99"/>
      <c r="C130" s="2"/>
      <c r="D130" s="100"/>
      <c r="E130" s="63"/>
      <c r="F130" s="64"/>
      <c r="G130" s="65"/>
      <c r="H130" s="98"/>
      <c r="I130" s="64"/>
    </row>
    <row r="131" spans="1:9">
      <c r="A131" s="59"/>
      <c r="B131" s="99"/>
      <c r="C131" s="2"/>
      <c r="D131" s="100"/>
      <c r="E131" s="63"/>
      <c r="F131" s="64"/>
      <c r="G131" s="65"/>
      <c r="H131" s="98"/>
      <c r="I131" s="64"/>
    </row>
    <row r="132" spans="1:9">
      <c r="A132" s="59"/>
      <c r="B132" s="99"/>
      <c r="C132" s="2"/>
      <c r="D132" s="100"/>
      <c r="E132" s="63"/>
      <c r="F132" s="64"/>
      <c r="G132" s="65"/>
      <c r="H132" s="98"/>
      <c r="I132" s="64"/>
    </row>
    <row r="133" spans="1:9">
      <c r="A133" s="59"/>
      <c r="B133" s="99"/>
      <c r="C133" s="2"/>
      <c r="D133" s="100"/>
      <c r="E133" s="63"/>
      <c r="F133" s="64"/>
      <c r="G133" s="65"/>
      <c r="H133" s="98"/>
      <c r="I133" s="64"/>
    </row>
    <row r="134" spans="1:9">
      <c r="A134" s="59"/>
      <c r="B134" s="99"/>
      <c r="C134" s="2"/>
      <c r="D134" s="100"/>
      <c r="E134" s="63"/>
      <c r="F134" s="64"/>
      <c r="G134" s="65"/>
      <c r="H134" s="98"/>
      <c r="I134" s="64"/>
    </row>
    <row r="135" spans="1:9">
      <c r="A135" s="59"/>
      <c r="B135" s="99"/>
      <c r="C135" s="2"/>
      <c r="D135" s="100"/>
      <c r="E135" s="63"/>
      <c r="F135" s="64"/>
      <c r="G135" s="65"/>
      <c r="H135" s="98"/>
      <c r="I135" s="64"/>
    </row>
    <row r="136" spans="1:9">
      <c r="A136" s="59"/>
      <c r="B136" s="99"/>
      <c r="C136" s="2"/>
      <c r="D136" s="100"/>
      <c r="E136" s="63"/>
      <c r="F136" s="64"/>
      <c r="G136" s="65"/>
      <c r="H136" s="98"/>
      <c r="I136" s="64"/>
    </row>
    <row r="137" spans="1:9">
      <c r="A137" s="59"/>
      <c r="B137" s="99"/>
      <c r="C137" s="2"/>
      <c r="D137" s="100"/>
      <c r="E137" s="63"/>
      <c r="F137" s="64"/>
      <c r="G137" s="65"/>
      <c r="H137" s="98"/>
      <c r="I137" s="64"/>
    </row>
    <row r="138" spans="1:9">
      <c r="A138" s="59"/>
      <c r="B138" s="99"/>
      <c r="C138" s="2"/>
      <c r="D138" s="100"/>
      <c r="E138" s="63"/>
      <c r="F138" s="64"/>
      <c r="G138" s="65"/>
      <c r="H138" s="98"/>
      <c r="I138" s="64"/>
    </row>
    <row r="139" spans="1:9">
      <c r="A139" s="59"/>
      <c r="B139" s="99"/>
      <c r="C139" s="2"/>
      <c r="D139" s="100"/>
      <c r="E139" s="63"/>
      <c r="F139" s="64"/>
      <c r="G139" s="65"/>
      <c r="H139" s="98"/>
      <c r="I139" s="64"/>
    </row>
    <row r="140" spans="1:9">
      <c r="A140" s="59"/>
      <c r="B140" s="99"/>
      <c r="C140" s="2"/>
      <c r="D140" s="100"/>
      <c r="E140" s="63"/>
      <c r="F140" s="64"/>
      <c r="G140" s="65"/>
      <c r="H140" s="98"/>
      <c r="I140" s="64"/>
    </row>
    <row r="141" spans="1:9">
      <c r="A141" s="59"/>
      <c r="B141" s="99"/>
      <c r="C141" s="2"/>
      <c r="D141" s="100"/>
      <c r="E141" s="63"/>
      <c r="F141" s="64"/>
      <c r="G141" s="65"/>
      <c r="H141" s="98"/>
      <c r="I141" s="64"/>
    </row>
    <row r="142" spans="1:9">
      <c r="A142" s="59"/>
      <c r="B142" s="99"/>
      <c r="C142" s="2"/>
      <c r="D142" s="100"/>
      <c r="E142" s="63"/>
      <c r="F142" s="64"/>
      <c r="G142" s="65"/>
      <c r="H142" s="98"/>
      <c r="I142" s="64"/>
    </row>
    <row r="143" spans="1:9">
      <c r="A143" s="59"/>
      <c r="B143" s="99"/>
      <c r="C143" s="2"/>
      <c r="D143" s="100"/>
      <c r="E143" s="63"/>
      <c r="F143" s="64"/>
      <c r="G143" s="65"/>
      <c r="H143" s="98"/>
      <c r="I143" s="64"/>
    </row>
    <row r="144" spans="1:9">
      <c r="A144" s="59"/>
      <c r="B144" s="99"/>
      <c r="C144" s="2"/>
      <c r="D144" s="100"/>
      <c r="E144" s="63"/>
      <c r="F144" s="64"/>
      <c r="G144" s="65"/>
      <c r="H144" s="98"/>
      <c r="I144" s="64"/>
    </row>
    <row r="145" spans="1:9">
      <c r="A145" s="59"/>
      <c r="B145" s="99"/>
      <c r="C145" s="2"/>
      <c r="D145" s="100"/>
      <c r="E145" s="63"/>
      <c r="F145" s="64"/>
      <c r="G145" s="65"/>
      <c r="H145" s="98"/>
      <c r="I145" s="64"/>
    </row>
    <row r="146" spans="1:9">
      <c r="A146" s="59"/>
      <c r="B146" s="99"/>
      <c r="C146" s="2"/>
      <c r="D146" s="100"/>
      <c r="E146" s="63"/>
      <c r="F146" s="64"/>
      <c r="G146" s="65"/>
      <c r="H146" s="98"/>
      <c r="I146" s="64"/>
    </row>
    <row r="147" spans="1:9">
      <c r="A147" s="59"/>
      <c r="B147" s="99"/>
      <c r="C147" s="2"/>
      <c r="D147" s="100"/>
      <c r="E147" s="63"/>
      <c r="F147" s="64"/>
      <c r="G147" s="65"/>
      <c r="H147" s="98"/>
      <c r="I147" s="64"/>
    </row>
    <row r="148" spans="1:9">
      <c r="A148" s="59"/>
      <c r="B148" s="99"/>
      <c r="C148" s="2"/>
      <c r="D148" s="100"/>
      <c r="E148" s="63"/>
      <c r="F148" s="64"/>
      <c r="G148" s="65"/>
      <c r="H148" s="98"/>
      <c r="I148" s="64"/>
    </row>
    <row r="149" spans="1:9">
      <c r="A149" s="59"/>
      <c r="B149" s="99"/>
      <c r="C149" s="2"/>
      <c r="D149" s="100"/>
      <c r="E149" s="63"/>
      <c r="F149" s="64"/>
      <c r="G149" s="65"/>
      <c r="H149" s="98"/>
      <c r="I149" s="64"/>
    </row>
    <row r="150" spans="1:9">
      <c r="A150" s="59"/>
      <c r="B150" s="99"/>
      <c r="C150" s="2"/>
      <c r="D150" s="100"/>
      <c r="E150" s="63"/>
      <c r="F150" s="64"/>
      <c r="G150" s="65"/>
      <c r="H150" s="98"/>
      <c r="I150" s="64"/>
    </row>
    <row r="151" spans="1:9">
      <c r="A151" s="59"/>
      <c r="B151" s="99"/>
      <c r="C151" s="2"/>
      <c r="D151" s="100"/>
      <c r="E151" s="63"/>
      <c r="F151" s="64"/>
      <c r="G151" s="65"/>
      <c r="H151" s="98"/>
      <c r="I151" s="64"/>
    </row>
    <row r="152" spans="1:9">
      <c r="A152" s="59"/>
      <c r="B152" s="99"/>
      <c r="C152" s="2"/>
      <c r="D152" s="100"/>
      <c r="E152" s="63"/>
      <c r="F152" s="64"/>
      <c r="G152" s="65"/>
      <c r="H152" s="98"/>
      <c r="I152" s="64"/>
    </row>
    <row r="153" spans="1:9">
      <c r="A153" s="59"/>
      <c r="B153" s="99"/>
      <c r="C153" s="2"/>
      <c r="D153" s="100"/>
      <c r="E153" s="63"/>
      <c r="F153" s="64"/>
      <c r="G153" s="65"/>
      <c r="H153" s="98"/>
      <c r="I153" s="64"/>
    </row>
    <row r="154" spans="1:9">
      <c r="A154" s="59"/>
      <c r="B154" s="99"/>
      <c r="C154" s="2"/>
      <c r="D154" s="100"/>
      <c r="E154" s="63"/>
      <c r="F154" s="64"/>
      <c r="G154" s="65"/>
      <c r="H154" s="98"/>
      <c r="I154" s="64"/>
    </row>
    <row r="155" spans="1:9">
      <c r="A155" s="59"/>
      <c r="B155" s="99"/>
      <c r="C155" s="2"/>
      <c r="D155" s="100"/>
      <c r="E155" s="63"/>
      <c r="F155" s="64"/>
      <c r="G155" s="65"/>
      <c r="H155" s="98"/>
      <c r="I155" s="64"/>
    </row>
    <row r="156" spans="1:9">
      <c r="A156" s="59"/>
      <c r="B156" s="99"/>
      <c r="C156" s="2"/>
      <c r="D156" s="100"/>
      <c r="E156" s="63"/>
      <c r="F156" s="64"/>
      <c r="G156" s="65"/>
      <c r="H156" s="98"/>
      <c r="I156" s="64"/>
    </row>
    <row r="157" spans="1:9">
      <c r="A157" s="59"/>
      <c r="B157" s="99"/>
      <c r="C157" s="2"/>
      <c r="D157" s="100"/>
      <c r="E157" s="63"/>
      <c r="F157" s="64"/>
      <c r="G157" s="65"/>
      <c r="H157" s="98"/>
      <c r="I157" s="64"/>
    </row>
    <row r="158" spans="1:9">
      <c r="A158" s="59"/>
      <c r="B158" s="99"/>
      <c r="C158" s="2"/>
      <c r="D158" s="100"/>
      <c r="E158" s="63"/>
      <c r="F158" s="64"/>
      <c r="G158" s="65"/>
      <c r="H158" s="98"/>
      <c r="I158" s="64"/>
    </row>
    <row r="159" spans="1:9">
      <c r="A159" s="59"/>
      <c r="B159" s="99"/>
      <c r="C159" s="2"/>
      <c r="D159" s="100"/>
      <c r="E159" s="63"/>
      <c r="F159" s="64"/>
      <c r="G159" s="65"/>
      <c r="H159" s="98"/>
      <c r="I159" s="64"/>
    </row>
    <row r="160" spans="1:9">
      <c r="A160" s="59"/>
      <c r="B160" s="99"/>
      <c r="C160" s="2"/>
      <c r="D160" s="100"/>
      <c r="E160" s="63"/>
      <c r="F160" s="64"/>
      <c r="G160" s="65"/>
      <c r="H160" s="98"/>
      <c r="I160" s="64"/>
    </row>
    <row r="161" spans="1:9">
      <c r="A161" s="59"/>
      <c r="B161" s="99"/>
      <c r="C161" s="2"/>
      <c r="D161" s="100"/>
      <c r="E161" s="63"/>
      <c r="F161" s="64"/>
      <c r="G161" s="65"/>
      <c r="H161" s="98"/>
      <c r="I161" s="64"/>
    </row>
    <row r="162" spans="1:9">
      <c r="A162" s="59"/>
      <c r="B162" s="99"/>
      <c r="C162" s="2"/>
      <c r="D162" s="100"/>
      <c r="E162" s="63"/>
      <c r="F162" s="64"/>
      <c r="G162" s="65"/>
      <c r="H162" s="98"/>
      <c r="I162" s="64"/>
    </row>
    <row r="163" spans="1:9">
      <c r="A163" s="59"/>
      <c r="B163" s="99"/>
      <c r="C163" s="2"/>
      <c r="D163" s="100"/>
      <c r="E163" s="63"/>
      <c r="F163" s="64"/>
      <c r="G163" s="65"/>
      <c r="H163" s="98"/>
      <c r="I163" s="64"/>
    </row>
    <row r="164" spans="1:9">
      <c r="A164" s="59"/>
      <c r="B164" s="99"/>
      <c r="C164" s="2"/>
      <c r="D164" s="100"/>
      <c r="E164" s="63"/>
      <c r="F164" s="64"/>
      <c r="G164" s="65"/>
      <c r="H164" s="98"/>
      <c r="I164" s="64"/>
    </row>
    <row r="165" spans="1:9">
      <c r="A165" s="59"/>
      <c r="B165" s="99"/>
      <c r="C165" s="2"/>
      <c r="D165" s="100"/>
      <c r="E165" s="63"/>
      <c r="F165" s="64"/>
      <c r="G165" s="65"/>
      <c r="H165" s="98"/>
      <c r="I165" s="64"/>
    </row>
    <row r="166" spans="1:9">
      <c r="A166" s="59"/>
      <c r="B166" s="99"/>
      <c r="C166" s="2"/>
      <c r="D166" s="100"/>
      <c r="E166" s="63"/>
      <c r="F166" s="64"/>
      <c r="G166" s="65"/>
      <c r="H166" s="98"/>
      <c r="I166" s="64"/>
    </row>
    <row r="167" spans="1:9">
      <c r="A167" s="59"/>
      <c r="B167" s="99"/>
      <c r="C167" s="2"/>
      <c r="D167" s="100"/>
      <c r="E167" s="63"/>
      <c r="F167" s="64"/>
      <c r="G167" s="65"/>
      <c r="H167" s="98"/>
      <c r="I167" s="64"/>
    </row>
    <row r="168" spans="1:9">
      <c r="A168" s="59"/>
      <c r="B168" s="99"/>
      <c r="C168" s="2"/>
      <c r="D168" s="100"/>
      <c r="E168" s="63"/>
      <c r="F168" s="64"/>
      <c r="G168" s="65"/>
      <c r="H168" s="98"/>
      <c r="I168" s="64"/>
    </row>
    <row r="169" spans="1:9">
      <c r="A169" s="59"/>
      <c r="B169" s="99"/>
      <c r="C169" s="2"/>
      <c r="D169" s="100"/>
      <c r="E169" s="63"/>
      <c r="F169" s="64"/>
      <c r="G169" s="65"/>
      <c r="H169" s="98"/>
      <c r="I169" s="64"/>
    </row>
    <row r="170" spans="1:9">
      <c r="A170" s="59"/>
      <c r="B170" s="99"/>
      <c r="C170" s="2"/>
      <c r="D170" s="100"/>
      <c r="E170" s="63"/>
      <c r="F170" s="64"/>
      <c r="G170" s="65"/>
      <c r="H170" s="98"/>
      <c r="I170" s="64"/>
    </row>
    <row r="171" spans="1:9">
      <c r="A171" s="59"/>
      <c r="B171" s="99"/>
      <c r="C171" s="2"/>
      <c r="D171" s="100"/>
      <c r="E171" s="63"/>
      <c r="F171" s="64"/>
      <c r="G171" s="65"/>
      <c r="H171" s="98"/>
      <c r="I171" s="64"/>
    </row>
    <row r="172" spans="1:9">
      <c r="A172" s="59"/>
      <c r="B172" s="99"/>
      <c r="C172" s="2"/>
      <c r="D172" s="100"/>
      <c r="E172" s="63"/>
      <c r="F172" s="64"/>
      <c r="G172" s="65"/>
      <c r="H172" s="98"/>
      <c r="I172" s="64"/>
    </row>
    <row r="173" spans="1:9">
      <c r="A173" s="59"/>
      <c r="B173" s="99"/>
      <c r="C173" s="2"/>
      <c r="D173" s="100"/>
      <c r="E173" s="63"/>
      <c r="F173" s="64"/>
      <c r="G173" s="65"/>
      <c r="H173" s="98"/>
      <c r="I173" s="64"/>
    </row>
    <row r="174" spans="1:9">
      <c r="A174" s="59"/>
      <c r="B174" s="99"/>
      <c r="C174" s="2"/>
      <c r="D174" s="100"/>
      <c r="E174" s="63"/>
      <c r="F174" s="64"/>
      <c r="G174" s="65"/>
      <c r="H174" s="98"/>
      <c r="I174" s="64"/>
    </row>
    <row r="175" spans="1:9">
      <c r="A175" s="59"/>
      <c r="B175" s="99"/>
      <c r="C175" s="2"/>
      <c r="D175" s="100"/>
      <c r="E175" s="63"/>
      <c r="F175" s="64"/>
      <c r="G175" s="65"/>
      <c r="H175" s="98"/>
      <c r="I175" s="64"/>
    </row>
    <row r="176" spans="1:9">
      <c r="A176" s="59"/>
      <c r="B176" s="99"/>
      <c r="C176" s="2"/>
      <c r="D176" s="100"/>
      <c r="E176" s="63"/>
      <c r="F176" s="64"/>
      <c r="G176" s="65"/>
      <c r="H176" s="98"/>
      <c r="I176" s="64"/>
    </row>
    <row r="177" spans="1:9">
      <c r="A177" s="59"/>
      <c r="B177" s="99"/>
      <c r="C177" s="2"/>
      <c r="D177" s="100"/>
      <c r="E177" s="63"/>
      <c r="F177" s="64"/>
      <c r="G177" s="65"/>
      <c r="H177" s="98"/>
      <c r="I177" s="64"/>
    </row>
    <row r="178" spans="1:9">
      <c r="A178" s="59"/>
      <c r="B178" s="99"/>
      <c r="C178" s="2"/>
      <c r="D178" s="100"/>
      <c r="E178" s="63"/>
      <c r="F178" s="64"/>
      <c r="G178" s="65"/>
      <c r="H178" s="98"/>
      <c r="I178" s="64"/>
    </row>
    <row r="179" spans="1:9">
      <c r="A179" s="59"/>
      <c r="B179" s="99"/>
      <c r="C179" s="2"/>
      <c r="D179" s="100"/>
      <c r="E179" s="63"/>
      <c r="F179" s="64"/>
      <c r="G179" s="65"/>
      <c r="H179" s="98"/>
      <c r="I179" s="64"/>
    </row>
    <row r="180" spans="1:9">
      <c r="A180" s="59"/>
      <c r="B180" s="99"/>
      <c r="C180" s="2"/>
      <c r="D180" s="100"/>
      <c r="E180" s="63"/>
      <c r="F180" s="64"/>
      <c r="G180" s="65"/>
      <c r="H180" s="98"/>
      <c r="I180" s="64"/>
    </row>
    <row r="181" spans="1:9">
      <c r="A181" s="59"/>
      <c r="B181" s="99"/>
      <c r="C181" s="2"/>
      <c r="D181" s="100"/>
      <c r="E181" s="63"/>
      <c r="F181" s="64"/>
      <c r="G181" s="65"/>
      <c r="H181" s="98"/>
      <c r="I181" s="64"/>
    </row>
    <row r="182" spans="1:9">
      <c r="A182" s="59"/>
      <c r="B182" s="99"/>
      <c r="C182" s="2"/>
      <c r="D182" s="100"/>
      <c r="E182" s="63"/>
      <c r="F182" s="64"/>
      <c r="G182" s="65"/>
      <c r="H182" s="98"/>
      <c r="I182" s="64"/>
    </row>
    <row r="183" spans="1:9">
      <c r="A183" s="59"/>
      <c r="B183" s="99"/>
      <c r="C183" s="2"/>
      <c r="D183" s="100"/>
      <c r="E183" s="63"/>
      <c r="F183" s="64"/>
      <c r="G183" s="65"/>
      <c r="H183" s="98"/>
      <c r="I183" s="64"/>
    </row>
    <row r="184" spans="1:9">
      <c r="A184" s="59"/>
      <c r="B184" s="99"/>
      <c r="C184" s="2"/>
      <c r="D184" s="100"/>
      <c r="E184" s="63"/>
      <c r="F184" s="64"/>
      <c r="G184" s="65"/>
      <c r="H184" s="98"/>
      <c r="I184" s="64"/>
    </row>
    <row r="185" spans="1:9">
      <c r="A185" s="59"/>
      <c r="B185" s="99"/>
      <c r="C185" s="2"/>
      <c r="D185" s="100"/>
      <c r="E185" s="63"/>
      <c r="F185" s="64"/>
      <c r="G185" s="65"/>
      <c r="H185" s="98"/>
      <c r="I185" s="64"/>
    </row>
    <row r="186" spans="1:9">
      <c r="A186" s="59"/>
      <c r="B186" s="99"/>
      <c r="C186" s="2"/>
      <c r="D186" s="100"/>
      <c r="E186" s="63"/>
      <c r="F186" s="64"/>
      <c r="G186" s="65"/>
      <c r="H186" s="98"/>
      <c r="I186" s="64"/>
    </row>
    <row r="187" spans="1:9">
      <c r="A187" s="59"/>
      <c r="B187" s="99"/>
      <c r="C187" s="2"/>
      <c r="D187" s="100"/>
      <c r="E187" s="63"/>
      <c r="F187" s="64"/>
      <c r="G187" s="65"/>
      <c r="H187" s="98"/>
      <c r="I187" s="64"/>
    </row>
    <row r="188" spans="1:9">
      <c r="A188" s="59"/>
      <c r="B188" s="99"/>
      <c r="C188" s="2"/>
      <c r="D188" s="100"/>
      <c r="E188" s="63"/>
      <c r="F188" s="64"/>
      <c r="G188" s="65"/>
      <c r="H188" s="98"/>
      <c r="I188" s="64"/>
    </row>
    <row r="189" spans="1:9">
      <c r="A189" s="59"/>
      <c r="B189" s="99"/>
      <c r="C189" s="2"/>
      <c r="D189" s="100"/>
      <c r="E189" s="63"/>
      <c r="F189" s="64"/>
      <c r="G189" s="65"/>
      <c r="H189" s="98"/>
      <c r="I189" s="64"/>
    </row>
    <row r="190" spans="1:9">
      <c r="A190" s="59"/>
      <c r="B190" s="99"/>
      <c r="C190" s="2"/>
      <c r="D190" s="100"/>
      <c r="E190" s="63"/>
      <c r="F190" s="64"/>
      <c r="G190" s="65"/>
      <c r="H190" s="98"/>
      <c r="I190" s="64"/>
    </row>
    <row r="191" spans="1:9">
      <c r="A191" s="59"/>
      <c r="B191" s="99"/>
      <c r="C191" s="2"/>
      <c r="D191" s="100"/>
      <c r="E191" s="63"/>
      <c r="F191" s="64"/>
      <c r="G191" s="65"/>
      <c r="H191" s="98"/>
      <c r="I191" s="64"/>
    </row>
    <row r="192" spans="1:9">
      <c r="A192" s="59"/>
      <c r="B192" s="99"/>
      <c r="C192" s="2"/>
      <c r="D192" s="100"/>
      <c r="E192" s="63"/>
      <c r="F192" s="64"/>
      <c r="G192" s="65"/>
      <c r="H192" s="98"/>
      <c r="I192" s="64"/>
    </row>
    <row r="193" spans="1:9">
      <c r="A193" s="59"/>
      <c r="B193" s="99"/>
      <c r="C193" s="2"/>
      <c r="D193" s="100"/>
      <c r="E193" s="63"/>
      <c r="F193" s="64"/>
      <c r="G193" s="65"/>
      <c r="H193" s="98"/>
      <c r="I193" s="64"/>
    </row>
    <row r="194" spans="1:9">
      <c r="A194" s="59"/>
      <c r="B194" s="99"/>
      <c r="C194" s="2"/>
      <c r="D194" s="100"/>
      <c r="E194" s="63"/>
      <c r="F194" s="64"/>
      <c r="G194" s="65"/>
      <c r="H194" s="98"/>
      <c r="I194" s="64"/>
    </row>
    <row r="195" spans="1:9">
      <c r="A195" s="59"/>
      <c r="B195" s="99"/>
      <c r="C195" s="2"/>
      <c r="D195" s="100"/>
      <c r="E195" s="63"/>
      <c r="F195" s="64"/>
      <c r="G195" s="65"/>
      <c r="H195" s="98"/>
      <c r="I195" s="64"/>
    </row>
    <row r="196" spans="1:9">
      <c r="A196" s="59"/>
      <c r="B196" s="99"/>
      <c r="C196" s="2"/>
      <c r="D196" s="100"/>
      <c r="E196" s="63"/>
      <c r="F196" s="64"/>
      <c r="G196" s="65"/>
      <c r="H196" s="98"/>
      <c r="I196" s="64"/>
    </row>
    <row r="197" spans="1:9">
      <c r="A197" s="59"/>
      <c r="B197" s="99"/>
      <c r="C197" s="2"/>
      <c r="D197" s="100"/>
      <c r="E197" s="63"/>
      <c r="F197" s="64"/>
      <c r="G197" s="65"/>
      <c r="H197" s="98"/>
      <c r="I197" s="64"/>
    </row>
    <row r="198" spans="1:9">
      <c r="A198" s="59"/>
      <c r="B198" s="99"/>
      <c r="C198" s="2"/>
      <c r="D198" s="100"/>
      <c r="E198" s="63"/>
      <c r="F198" s="64"/>
      <c r="G198" s="65"/>
      <c r="H198" s="98"/>
      <c r="I198" s="64"/>
    </row>
    <row r="199" spans="1:9">
      <c r="A199" s="59"/>
      <c r="B199" s="99"/>
      <c r="C199" s="2"/>
      <c r="D199" s="100"/>
      <c r="E199" s="63"/>
      <c r="F199" s="64"/>
      <c r="G199" s="65"/>
      <c r="H199" s="98"/>
      <c r="I199" s="64"/>
    </row>
    <row r="200" spans="1:9">
      <c r="A200" s="59"/>
      <c r="B200" s="99"/>
      <c r="C200" s="2"/>
      <c r="D200" s="100"/>
      <c r="E200" s="63"/>
      <c r="F200" s="64"/>
      <c r="G200" s="65"/>
      <c r="H200" s="98"/>
      <c r="I200" s="64"/>
    </row>
    <row r="201" spans="1:9">
      <c r="A201" s="59"/>
      <c r="B201" s="99"/>
      <c r="C201" s="2"/>
      <c r="D201" s="100"/>
      <c r="E201" s="63"/>
      <c r="F201" s="64"/>
      <c r="G201" s="65"/>
      <c r="H201" s="98"/>
      <c r="I201" s="64"/>
    </row>
    <row r="202" spans="1:9">
      <c r="A202" s="59"/>
      <c r="B202" s="99"/>
      <c r="C202" s="2"/>
      <c r="D202" s="100"/>
      <c r="E202" s="63"/>
      <c r="F202" s="64"/>
      <c r="G202" s="65"/>
      <c r="H202" s="98"/>
      <c r="I202" s="64"/>
    </row>
    <row r="203" spans="1:9">
      <c r="A203" s="59"/>
      <c r="B203" s="99"/>
      <c r="C203" s="2"/>
      <c r="D203" s="100"/>
      <c r="E203" s="63"/>
      <c r="F203" s="64"/>
      <c r="G203" s="65"/>
      <c r="H203" s="98"/>
      <c r="I203" s="64"/>
    </row>
    <row r="204" spans="1:9">
      <c r="A204" s="59"/>
      <c r="B204" s="99"/>
      <c r="C204" s="2"/>
      <c r="D204" s="100"/>
      <c r="E204" s="63"/>
      <c r="F204" s="64"/>
      <c r="G204" s="65"/>
      <c r="H204" s="98"/>
      <c r="I204" s="64"/>
    </row>
    <row r="205" spans="1:9">
      <c r="A205" s="59"/>
      <c r="B205" s="99"/>
      <c r="C205" s="2"/>
      <c r="D205" s="100"/>
      <c r="E205" s="63"/>
      <c r="F205" s="64"/>
      <c r="G205" s="65"/>
      <c r="H205" s="98"/>
      <c r="I205" s="64"/>
    </row>
    <row r="206" spans="1:9">
      <c r="A206" s="59"/>
      <c r="B206" s="99"/>
      <c r="C206" s="2"/>
      <c r="D206" s="100"/>
      <c r="E206" s="63"/>
      <c r="F206" s="64"/>
      <c r="G206" s="65"/>
      <c r="H206" s="98"/>
      <c r="I206" s="64"/>
    </row>
    <row r="207" spans="1:9">
      <c r="A207" s="59"/>
      <c r="B207" s="99"/>
      <c r="C207" s="2"/>
      <c r="D207" s="100"/>
      <c r="E207" s="63"/>
      <c r="F207" s="64"/>
      <c r="G207" s="65"/>
      <c r="H207" s="98"/>
      <c r="I207" s="64"/>
    </row>
    <row r="208" spans="1:9">
      <c r="A208" s="59"/>
      <c r="B208" s="99"/>
      <c r="C208" s="2"/>
      <c r="D208" s="100"/>
      <c r="E208" s="63"/>
      <c r="F208" s="64"/>
      <c r="G208" s="65"/>
      <c r="H208" s="98"/>
      <c r="I208" s="64"/>
    </row>
    <row r="209" spans="1:9">
      <c r="A209" s="59"/>
      <c r="B209" s="99"/>
      <c r="C209" s="2"/>
      <c r="D209" s="100"/>
      <c r="E209" s="63"/>
      <c r="F209" s="64"/>
      <c r="G209" s="65"/>
      <c r="H209" s="98"/>
      <c r="I209" s="64"/>
    </row>
    <row r="210" spans="1:9">
      <c r="A210" s="59"/>
      <c r="B210" s="99"/>
      <c r="C210" s="2"/>
      <c r="D210" s="100"/>
      <c r="E210" s="63"/>
      <c r="F210" s="64"/>
      <c r="G210" s="65"/>
      <c r="H210" s="98"/>
      <c r="I210" s="64"/>
    </row>
    <row r="211" spans="1:9">
      <c r="A211" s="59"/>
      <c r="B211" s="99"/>
      <c r="C211" s="2"/>
      <c r="D211" s="100"/>
      <c r="E211" s="63"/>
      <c r="F211" s="64"/>
      <c r="G211" s="65"/>
      <c r="H211" s="98"/>
      <c r="I211" s="64"/>
    </row>
    <row r="212" spans="1:9">
      <c r="A212" s="59"/>
      <c r="B212" s="99"/>
      <c r="C212" s="2"/>
      <c r="D212" s="100"/>
      <c r="E212" s="63"/>
      <c r="F212" s="64"/>
      <c r="G212" s="65"/>
      <c r="H212" s="98"/>
      <c r="I212" s="64"/>
    </row>
    <row r="213" spans="1:9">
      <c r="A213" s="59"/>
      <c r="B213" s="99"/>
      <c r="C213" s="2"/>
      <c r="D213" s="100"/>
      <c r="E213" s="63"/>
      <c r="F213" s="64"/>
      <c r="G213" s="65"/>
      <c r="H213" s="98"/>
      <c r="I213" s="64"/>
    </row>
    <row r="214" spans="1:9">
      <c r="A214" s="59"/>
      <c r="B214" s="99"/>
      <c r="C214" s="2"/>
      <c r="D214" s="100"/>
      <c r="E214" s="63"/>
      <c r="F214" s="64"/>
      <c r="G214" s="65"/>
      <c r="H214" s="98"/>
      <c r="I214" s="64"/>
    </row>
    <row r="215" spans="1:9">
      <c r="A215" s="59"/>
      <c r="B215" s="99"/>
      <c r="C215" s="2"/>
      <c r="D215" s="100"/>
      <c r="E215" s="63"/>
      <c r="F215" s="64"/>
      <c r="G215" s="65"/>
      <c r="H215" s="98"/>
      <c r="I215" s="64"/>
    </row>
    <row r="216" spans="1:9">
      <c r="A216" s="59"/>
      <c r="B216" s="99"/>
      <c r="C216" s="2"/>
      <c r="D216" s="100"/>
      <c r="E216" s="63"/>
      <c r="F216" s="64"/>
      <c r="G216" s="65"/>
      <c r="H216" s="98"/>
      <c r="I216" s="64"/>
    </row>
    <row r="217" spans="1:9">
      <c r="A217" s="59"/>
      <c r="B217" s="99"/>
      <c r="C217" s="2"/>
      <c r="D217" s="100"/>
      <c r="E217" s="63"/>
      <c r="F217" s="64"/>
      <c r="G217" s="65"/>
      <c r="H217" s="98"/>
      <c r="I217" s="64"/>
    </row>
    <row r="218" spans="1:9">
      <c r="A218" s="59"/>
      <c r="B218" s="99"/>
      <c r="C218" s="2"/>
      <c r="D218" s="100"/>
      <c r="E218" s="63"/>
      <c r="F218" s="64"/>
      <c r="G218" s="65"/>
      <c r="H218" s="98"/>
      <c r="I218" s="64"/>
    </row>
    <row r="219" spans="1:9">
      <c r="A219" s="59"/>
      <c r="B219" s="99"/>
      <c r="C219" s="2"/>
      <c r="D219" s="100"/>
      <c r="E219" s="63"/>
      <c r="F219" s="64"/>
      <c r="G219" s="65"/>
      <c r="H219" s="98"/>
      <c r="I219" s="64"/>
    </row>
    <row r="220" spans="1:9">
      <c r="A220" s="59"/>
      <c r="B220" s="99"/>
      <c r="C220" s="2"/>
      <c r="D220" s="100"/>
      <c r="E220" s="63"/>
      <c r="F220" s="64"/>
      <c r="G220" s="65"/>
      <c r="H220" s="98"/>
      <c r="I220" s="64"/>
    </row>
    <row r="221" spans="1:9">
      <c r="A221" s="59"/>
      <c r="B221" s="99"/>
      <c r="C221" s="2"/>
      <c r="D221" s="100"/>
      <c r="E221" s="63"/>
      <c r="F221" s="64"/>
      <c r="G221" s="65"/>
      <c r="H221" s="98"/>
      <c r="I221" s="64"/>
    </row>
    <row r="222" spans="1:9">
      <c r="A222" s="59"/>
      <c r="B222" s="99"/>
      <c r="C222" s="2"/>
      <c r="D222" s="100"/>
      <c r="E222" s="63"/>
      <c r="F222" s="64"/>
      <c r="G222" s="65"/>
      <c r="H222" s="98"/>
      <c r="I222" s="64"/>
    </row>
    <row r="223" spans="1:9">
      <c r="A223" s="59"/>
      <c r="B223" s="99"/>
      <c r="C223" s="2"/>
      <c r="D223" s="100"/>
      <c r="E223" s="63"/>
      <c r="F223" s="64"/>
      <c r="G223" s="65"/>
      <c r="H223" s="98"/>
      <c r="I223" s="64"/>
    </row>
    <row r="224" spans="1:9">
      <c r="A224" s="59"/>
      <c r="B224" s="99"/>
      <c r="C224" s="2"/>
      <c r="D224" s="100"/>
      <c r="E224" s="63"/>
      <c r="F224" s="64"/>
      <c r="G224" s="65"/>
      <c r="H224" s="98"/>
      <c r="I224" s="64"/>
    </row>
    <row r="225" spans="1:9">
      <c r="A225" s="59"/>
      <c r="B225" s="99"/>
      <c r="C225" s="2"/>
      <c r="D225" s="100"/>
      <c r="E225" s="63"/>
      <c r="F225" s="64"/>
      <c r="G225" s="65"/>
      <c r="H225" s="98"/>
      <c r="I225" s="64"/>
    </row>
    <row r="226" spans="1:9">
      <c r="A226" s="59"/>
      <c r="B226" s="99"/>
      <c r="C226" s="2"/>
      <c r="D226" s="100"/>
      <c r="E226" s="63"/>
      <c r="F226" s="64"/>
      <c r="G226" s="65"/>
      <c r="H226" s="98"/>
      <c r="I226" s="64"/>
    </row>
    <row r="227" spans="1:9">
      <c r="A227" s="59"/>
      <c r="B227" s="99"/>
      <c r="C227" s="2"/>
      <c r="D227" s="100"/>
      <c r="E227" s="63"/>
      <c r="F227" s="64"/>
      <c r="G227" s="65"/>
      <c r="H227" s="98"/>
      <c r="I227" s="64"/>
    </row>
    <row r="228" spans="1:9">
      <c r="A228" s="59"/>
      <c r="B228" s="99"/>
      <c r="C228" s="2"/>
      <c r="D228" s="100"/>
      <c r="E228" s="63"/>
      <c r="F228" s="64"/>
      <c r="G228" s="65"/>
      <c r="H228" s="98"/>
      <c r="I228" s="64"/>
    </row>
    <row r="229" spans="1:9">
      <c r="A229" s="59"/>
      <c r="B229" s="99"/>
      <c r="C229" s="2"/>
      <c r="D229" s="100"/>
      <c r="E229" s="63"/>
      <c r="F229" s="64"/>
      <c r="G229" s="65"/>
      <c r="H229" s="98"/>
      <c r="I229" s="64"/>
    </row>
    <row r="230" spans="1:9">
      <c r="A230" s="59"/>
      <c r="B230" s="99"/>
      <c r="C230" s="2"/>
      <c r="D230" s="100"/>
      <c r="E230" s="63"/>
      <c r="F230" s="64"/>
      <c r="G230" s="65"/>
      <c r="H230" s="98"/>
      <c r="I230" s="64"/>
    </row>
    <row r="231" spans="1:9">
      <c r="A231" s="59"/>
      <c r="B231" s="99"/>
      <c r="C231" s="2"/>
      <c r="D231" s="100"/>
      <c r="E231" s="63"/>
      <c r="F231" s="64"/>
      <c r="G231" s="65"/>
      <c r="H231" s="98"/>
      <c r="I231" s="64"/>
    </row>
    <row r="232" spans="1:9">
      <c r="A232" s="59"/>
      <c r="B232" s="99"/>
      <c r="C232" s="2"/>
      <c r="D232" s="100"/>
      <c r="E232" s="63"/>
      <c r="F232" s="64"/>
      <c r="G232" s="65"/>
      <c r="H232" s="98"/>
      <c r="I232" s="64"/>
    </row>
    <row r="233" spans="1:9">
      <c r="A233" s="59"/>
      <c r="B233" s="99"/>
      <c r="C233" s="2"/>
      <c r="D233" s="100"/>
      <c r="E233" s="63"/>
      <c r="F233" s="64"/>
      <c r="G233" s="65"/>
      <c r="H233" s="98"/>
      <c r="I233" s="64"/>
    </row>
    <row r="234" spans="1:9">
      <c r="A234" s="59"/>
      <c r="B234" s="99"/>
      <c r="C234" s="2"/>
      <c r="D234" s="100"/>
      <c r="E234" s="63"/>
      <c r="F234" s="64"/>
      <c r="G234" s="65"/>
      <c r="H234" s="98"/>
      <c r="I234" s="64"/>
    </row>
    <row r="235" spans="1:9">
      <c r="A235" s="59"/>
      <c r="B235" s="99"/>
      <c r="C235" s="2"/>
      <c r="D235" s="100"/>
      <c r="E235" s="63"/>
      <c r="F235" s="64"/>
      <c r="G235" s="65"/>
      <c r="H235" s="98"/>
      <c r="I235" s="64"/>
    </row>
    <row r="236" spans="1:9">
      <c r="A236" s="59"/>
      <c r="B236" s="99"/>
      <c r="C236" s="2"/>
      <c r="D236" s="100"/>
      <c r="E236" s="63"/>
      <c r="F236" s="64"/>
      <c r="G236" s="65"/>
      <c r="H236" s="98"/>
      <c r="I236" s="64"/>
    </row>
    <row r="237" spans="1:9">
      <c r="A237" s="59"/>
      <c r="B237" s="99"/>
      <c r="C237" s="2"/>
      <c r="D237" s="100"/>
      <c r="E237" s="63"/>
      <c r="F237" s="64"/>
      <c r="G237" s="65"/>
      <c r="H237" s="98"/>
      <c r="I237" s="64"/>
    </row>
    <row r="238" spans="1:9">
      <c r="A238" s="59"/>
      <c r="B238" s="99"/>
      <c r="C238" s="2"/>
      <c r="D238" s="100"/>
      <c r="E238" s="63"/>
      <c r="F238" s="64"/>
      <c r="G238" s="65"/>
      <c r="H238" s="98"/>
      <c r="I238" s="64"/>
    </row>
    <row r="239" spans="1:9">
      <c r="A239" s="59"/>
      <c r="B239" s="99"/>
      <c r="C239" s="2"/>
      <c r="D239" s="100"/>
      <c r="E239" s="63"/>
      <c r="F239" s="64"/>
      <c r="G239" s="65"/>
      <c r="H239" s="98"/>
      <c r="I239" s="64"/>
    </row>
    <row r="240" spans="1:9">
      <c r="A240" s="59"/>
      <c r="B240" s="99"/>
      <c r="C240" s="2"/>
      <c r="D240" s="100"/>
      <c r="E240" s="63"/>
      <c r="F240" s="64"/>
      <c r="G240" s="65"/>
      <c r="H240" s="98"/>
      <c r="I240" s="64"/>
    </row>
    <row r="241" spans="1:9">
      <c r="A241" s="59"/>
      <c r="B241" s="99"/>
      <c r="C241" s="2"/>
      <c r="D241" s="100"/>
      <c r="E241" s="63"/>
      <c r="F241" s="64"/>
      <c r="G241" s="65"/>
      <c r="H241" s="98"/>
      <c r="I241" s="64"/>
    </row>
    <row r="242" spans="1:9">
      <c r="A242" s="59"/>
      <c r="B242" s="99"/>
      <c r="C242" s="2"/>
      <c r="D242" s="100"/>
      <c r="E242" s="63"/>
      <c r="F242" s="64"/>
      <c r="G242" s="65"/>
      <c r="H242" s="98"/>
      <c r="I242" s="64"/>
    </row>
    <row r="243" spans="1:9">
      <c r="A243" s="59"/>
      <c r="B243" s="99"/>
      <c r="C243" s="2"/>
      <c r="D243" s="100"/>
      <c r="E243" s="63"/>
      <c r="F243" s="64"/>
      <c r="G243" s="65"/>
      <c r="H243" s="98"/>
      <c r="I243" s="64"/>
    </row>
    <row r="244" spans="1:9">
      <c r="A244" s="59"/>
      <c r="B244" s="99"/>
      <c r="C244" s="2"/>
      <c r="D244" s="100"/>
      <c r="E244" s="63"/>
      <c r="F244" s="64"/>
      <c r="G244" s="65"/>
      <c r="H244" s="98"/>
      <c r="I244" s="64"/>
    </row>
    <row r="245" spans="1:9">
      <c r="A245" s="59"/>
      <c r="B245" s="99"/>
      <c r="C245" s="2"/>
      <c r="D245" s="100"/>
      <c r="E245" s="63"/>
      <c r="F245" s="64"/>
      <c r="G245" s="65"/>
      <c r="H245" s="98"/>
      <c r="I245" s="64"/>
    </row>
    <row r="246" spans="1:9">
      <c r="A246" s="59"/>
      <c r="B246" s="99"/>
      <c r="C246" s="2"/>
      <c r="D246" s="100"/>
      <c r="E246" s="63"/>
      <c r="F246" s="64"/>
      <c r="G246" s="65"/>
      <c r="H246" s="98"/>
      <c r="I246" s="64"/>
    </row>
    <row r="247" spans="1:9">
      <c r="A247" s="59"/>
      <c r="B247" s="99"/>
      <c r="C247" s="2"/>
      <c r="D247" s="100"/>
      <c r="E247" s="63"/>
      <c r="F247" s="64"/>
      <c r="G247" s="65"/>
      <c r="H247" s="98"/>
      <c r="I247" s="64"/>
    </row>
    <row r="248" spans="1:9">
      <c r="A248" s="59"/>
      <c r="B248" s="99"/>
      <c r="C248" s="2"/>
      <c r="D248" s="100"/>
      <c r="E248" s="63"/>
      <c r="F248" s="64"/>
      <c r="G248" s="65"/>
      <c r="H248" s="98"/>
      <c r="I248" s="64"/>
    </row>
    <row r="249" spans="1:9">
      <c r="A249" s="59"/>
      <c r="B249" s="99"/>
      <c r="C249" s="2"/>
      <c r="D249" s="100"/>
      <c r="E249" s="63"/>
      <c r="F249" s="64"/>
      <c r="G249" s="65"/>
      <c r="H249" s="98"/>
      <c r="I249" s="64"/>
    </row>
    <row r="250" spans="1:9">
      <c r="A250" s="59"/>
      <c r="B250" s="99"/>
      <c r="C250" s="2"/>
      <c r="D250" s="100"/>
      <c r="E250" s="63"/>
      <c r="F250" s="64"/>
      <c r="G250" s="65"/>
      <c r="H250" s="98"/>
      <c r="I250" s="64"/>
    </row>
    <row r="251" spans="1:9">
      <c r="A251" s="59"/>
      <c r="B251" s="99"/>
      <c r="C251" s="2"/>
      <c r="D251" s="100"/>
      <c r="E251" s="63"/>
      <c r="F251" s="64"/>
      <c r="G251" s="65"/>
      <c r="H251" s="98"/>
      <c r="I251" s="64"/>
    </row>
    <row r="252" spans="1:9">
      <c r="A252" s="59"/>
      <c r="B252" s="99"/>
      <c r="C252" s="2"/>
      <c r="D252" s="100"/>
      <c r="E252" s="63"/>
      <c r="F252" s="64"/>
      <c r="G252" s="65"/>
      <c r="H252" s="98"/>
      <c r="I252" s="64"/>
    </row>
    <row r="253" spans="1:9">
      <c r="A253" s="59"/>
      <c r="B253" s="99"/>
      <c r="C253" s="2"/>
      <c r="D253" s="100"/>
      <c r="E253" s="63"/>
      <c r="F253" s="64"/>
      <c r="G253" s="65"/>
      <c r="H253" s="98"/>
      <c r="I253" s="64"/>
    </row>
    <row r="254" spans="1:9">
      <c r="A254" s="59"/>
      <c r="B254" s="99"/>
      <c r="C254" s="2"/>
      <c r="D254" s="100"/>
      <c r="E254" s="63"/>
      <c r="F254" s="64"/>
      <c r="G254" s="65"/>
      <c r="H254" s="98"/>
      <c r="I254" s="64"/>
    </row>
    <row r="255" spans="1:9">
      <c r="A255" s="59"/>
      <c r="B255" s="99"/>
      <c r="C255" s="2"/>
      <c r="D255" s="100"/>
      <c r="E255" s="63"/>
      <c r="F255" s="64"/>
      <c r="G255" s="65"/>
      <c r="H255" s="98"/>
      <c r="I255" s="64"/>
    </row>
    <row r="256" spans="1:9">
      <c r="A256" s="59"/>
      <c r="B256" s="99"/>
      <c r="C256" s="2"/>
      <c r="D256" s="100"/>
      <c r="E256" s="63"/>
      <c r="F256" s="64"/>
      <c r="G256" s="65"/>
      <c r="H256" s="98"/>
      <c r="I256" s="64"/>
    </row>
    <row r="257" spans="1:9">
      <c r="A257" s="59"/>
      <c r="B257" s="99"/>
      <c r="C257" s="2"/>
      <c r="D257" s="100"/>
      <c r="E257" s="63"/>
      <c r="F257" s="64"/>
      <c r="G257" s="65"/>
      <c r="H257" s="98"/>
      <c r="I257" s="64"/>
    </row>
    <row r="258" spans="1:9">
      <c r="A258" s="59"/>
      <c r="B258" s="99"/>
      <c r="C258" s="2"/>
      <c r="D258" s="100"/>
      <c r="E258" s="63"/>
      <c r="F258" s="64"/>
      <c r="G258" s="65"/>
      <c r="H258" s="98"/>
      <c r="I258" s="64"/>
    </row>
    <row r="259" spans="1:9">
      <c r="A259" s="59"/>
      <c r="B259" s="99"/>
      <c r="C259" s="2"/>
      <c r="D259" s="100"/>
      <c r="E259" s="63"/>
      <c r="F259" s="64"/>
      <c r="G259" s="65"/>
      <c r="H259" s="98"/>
      <c r="I259" s="64"/>
    </row>
    <row r="260" spans="1:9">
      <c r="A260" s="59"/>
      <c r="B260" s="99"/>
      <c r="C260" s="2"/>
      <c r="D260" s="100"/>
      <c r="E260" s="63"/>
      <c r="F260" s="64"/>
      <c r="G260" s="65"/>
      <c r="H260" s="98"/>
      <c r="I260" s="64"/>
    </row>
    <row r="261" spans="1:9">
      <c r="A261" s="59"/>
      <c r="B261" s="99"/>
      <c r="C261" s="2"/>
      <c r="D261" s="100"/>
      <c r="E261" s="63"/>
      <c r="F261" s="64"/>
      <c r="G261" s="65"/>
      <c r="H261" s="98"/>
      <c r="I261" s="64"/>
    </row>
    <row r="262" spans="1:9">
      <c r="A262" s="59"/>
      <c r="B262" s="99"/>
      <c r="C262" s="2"/>
      <c r="D262" s="100"/>
      <c r="E262" s="63"/>
      <c r="F262" s="64"/>
      <c r="G262" s="65"/>
      <c r="H262" s="98"/>
      <c r="I262" s="64"/>
    </row>
    <row r="263" spans="1:9">
      <c r="A263" s="59"/>
      <c r="B263" s="99"/>
      <c r="C263" s="2"/>
      <c r="D263" s="100"/>
      <c r="E263" s="63"/>
      <c r="F263" s="64"/>
      <c r="G263" s="65"/>
      <c r="H263" s="98"/>
      <c r="I263" s="64"/>
    </row>
    <row r="264" spans="1:9">
      <c r="A264" s="59"/>
      <c r="B264" s="99"/>
      <c r="C264" s="2"/>
      <c r="D264" s="100"/>
      <c r="E264" s="63"/>
      <c r="F264" s="64"/>
      <c r="G264" s="65"/>
      <c r="H264" s="98"/>
      <c r="I264" s="64"/>
    </row>
    <row r="265" spans="1:9">
      <c r="A265" s="59"/>
      <c r="B265" s="99"/>
      <c r="C265" s="2"/>
      <c r="D265" s="100"/>
      <c r="E265" s="63"/>
      <c r="F265" s="64"/>
      <c r="G265" s="65"/>
      <c r="H265" s="98"/>
      <c r="I265" s="64"/>
    </row>
    <row r="266" spans="1:9">
      <c r="A266" s="59"/>
      <c r="B266" s="99"/>
      <c r="C266" s="2"/>
      <c r="D266" s="100"/>
      <c r="E266" s="63"/>
      <c r="F266" s="64"/>
      <c r="G266" s="65"/>
      <c r="H266" s="98"/>
      <c r="I266" s="64"/>
    </row>
    <row r="267" spans="1:9">
      <c r="A267" s="59"/>
      <c r="B267" s="99"/>
      <c r="C267" s="2"/>
      <c r="D267" s="100"/>
      <c r="E267" s="63"/>
      <c r="F267" s="64"/>
      <c r="G267" s="65"/>
      <c r="H267" s="98"/>
      <c r="I267" s="64"/>
    </row>
    <row r="268" spans="1:9">
      <c r="A268" s="59"/>
      <c r="B268" s="99"/>
      <c r="C268" s="2"/>
      <c r="D268" s="100"/>
      <c r="E268" s="63"/>
      <c r="F268" s="64"/>
      <c r="G268" s="65"/>
      <c r="H268" s="98"/>
      <c r="I268" s="64"/>
    </row>
    <row r="269" spans="1:9">
      <c r="A269" s="59"/>
      <c r="B269" s="99"/>
      <c r="C269" s="2"/>
      <c r="D269" s="100"/>
      <c r="E269" s="63"/>
      <c r="F269" s="64"/>
      <c r="G269" s="65"/>
      <c r="H269" s="98"/>
      <c r="I269" s="64"/>
    </row>
    <row r="270" spans="1:9">
      <c r="A270" s="59"/>
      <c r="B270" s="99"/>
      <c r="C270" s="2"/>
      <c r="D270" s="100"/>
      <c r="E270" s="63"/>
      <c r="F270" s="64"/>
      <c r="G270" s="65"/>
      <c r="H270" s="98"/>
      <c r="I270" s="64"/>
    </row>
    <row r="271" spans="1:9">
      <c r="A271" s="59"/>
      <c r="B271" s="99"/>
      <c r="C271" s="2"/>
      <c r="D271" s="100"/>
      <c r="E271" s="63"/>
      <c r="F271" s="64"/>
      <c r="G271" s="65"/>
      <c r="H271" s="98"/>
      <c r="I271" s="64"/>
    </row>
    <row r="272" spans="1:9">
      <c r="A272" s="59"/>
      <c r="B272" s="99"/>
      <c r="C272" s="2"/>
      <c r="D272" s="100"/>
      <c r="E272" s="63"/>
      <c r="F272" s="64"/>
      <c r="G272" s="65"/>
      <c r="H272" s="98"/>
      <c r="I272" s="64"/>
    </row>
    <row r="273" spans="1:9">
      <c r="A273" s="59"/>
      <c r="B273" s="99"/>
      <c r="C273" s="2"/>
      <c r="D273" s="100"/>
      <c r="E273" s="63"/>
      <c r="F273" s="64"/>
      <c r="G273" s="65"/>
      <c r="H273" s="98"/>
      <c r="I273" s="64"/>
    </row>
    <row r="274" spans="1:9">
      <c r="A274" s="59"/>
      <c r="B274" s="99"/>
      <c r="C274" s="2"/>
      <c r="D274" s="100"/>
      <c r="E274" s="63"/>
      <c r="F274" s="64"/>
      <c r="G274" s="65"/>
      <c r="H274" s="98"/>
      <c r="I274" s="64"/>
    </row>
    <row r="275" spans="1:9">
      <c r="A275" s="59"/>
      <c r="B275" s="99"/>
      <c r="C275" s="2"/>
      <c r="D275" s="100"/>
      <c r="E275" s="63"/>
      <c r="F275" s="64"/>
      <c r="G275" s="65"/>
      <c r="H275" s="98"/>
      <c r="I275" s="64"/>
    </row>
    <row r="276" spans="1:9">
      <c r="A276" s="59"/>
      <c r="B276" s="99"/>
      <c r="C276" s="2"/>
      <c r="D276" s="100"/>
      <c r="E276" s="63"/>
      <c r="F276" s="64"/>
      <c r="G276" s="65"/>
      <c r="H276" s="98"/>
      <c r="I276" s="64"/>
    </row>
    <row r="277" spans="1:9">
      <c r="A277" s="59"/>
      <c r="B277" s="99"/>
      <c r="C277" s="2"/>
      <c r="D277" s="100"/>
      <c r="E277" s="63"/>
      <c r="F277" s="64"/>
      <c r="G277" s="65"/>
      <c r="H277" s="98"/>
      <c r="I277" s="64"/>
    </row>
    <row r="278" spans="1:9">
      <c r="A278" s="59"/>
      <c r="B278" s="99"/>
      <c r="C278" s="2"/>
      <c r="D278" s="100"/>
      <c r="E278" s="63"/>
      <c r="F278" s="64"/>
      <c r="G278" s="65"/>
      <c r="H278" s="98"/>
      <c r="I278" s="64"/>
    </row>
    <row r="279" spans="1:9">
      <c r="A279" s="59"/>
      <c r="B279" s="99"/>
      <c r="C279" s="2"/>
      <c r="D279" s="100"/>
      <c r="E279" s="63"/>
      <c r="F279" s="64"/>
      <c r="G279" s="65"/>
      <c r="H279" s="98"/>
      <c r="I279" s="64"/>
    </row>
    <row r="280" spans="1:9">
      <c r="A280" s="59"/>
      <c r="B280" s="99"/>
      <c r="C280" s="2"/>
      <c r="D280" s="100"/>
      <c r="E280" s="63"/>
      <c r="F280" s="64"/>
      <c r="G280" s="65"/>
      <c r="H280" s="98"/>
      <c r="I280" s="64"/>
    </row>
    <row r="281" spans="1:9">
      <c r="A281" s="59"/>
      <c r="B281" s="99"/>
      <c r="C281" s="2"/>
      <c r="D281" s="100"/>
      <c r="E281" s="63"/>
      <c r="F281" s="64"/>
      <c r="G281" s="65"/>
      <c r="H281" s="98"/>
      <c r="I281" s="64"/>
    </row>
    <row r="282" spans="1:9">
      <c r="A282" s="59"/>
      <c r="B282" s="99"/>
      <c r="C282" s="2"/>
      <c r="D282" s="100"/>
      <c r="E282" s="63"/>
      <c r="F282" s="64"/>
      <c r="G282" s="65"/>
      <c r="H282" s="98"/>
      <c r="I282" s="64"/>
    </row>
    <row r="283" spans="1:9">
      <c r="A283" s="59"/>
      <c r="B283" s="99"/>
      <c r="C283" s="2"/>
      <c r="D283" s="100"/>
      <c r="E283" s="63"/>
      <c r="F283" s="64"/>
      <c r="G283" s="65"/>
      <c r="H283" s="98"/>
      <c r="I283" s="64"/>
    </row>
    <row r="284" spans="1:9">
      <c r="A284" s="59"/>
      <c r="B284" s="99"/>
      <c r="C284" s="2"/>
      <c r="D284" s="100"/>
      <c r="E284" s="63"/>
      <c r="F284" s="64"/>
      <c r="G284" s="65"/>
      <c r="H284" s="98"/>
      <c r="I284" s="64"/>
    </row>
    <row r="285" spans="1:9">
      <c r="A285" s="59"/>
      <c r="B285" s="99"/>
      <c r="C285" s="2"/>
      <c r="D285" s="100"/>
      <c r="E285" s="63"/>
      <c r="F285" s="64"/>
      <c r="G285" s="65"/>
      <c r="H285" s="98"/>
      <c r="I285" s="64"/>
    </row>
    <row r="286" spans="1:9">
      <c r="A286" s="59"/>
      <c r="B286" s="99"/>
      <c r="C286" s="2"/>
      <c r="D286" s="100"/>
      <c r="E286" s="63"/>
      <c r="F286" s="64"/>
      <c r="G286" s="65"/>
      <c r="H286" s="98"/>
      <c r="I286" s="64"/>
    </row>
    <row r="287" spans="1:9">
      <c r="A287" s="59"/>
      <c r="B287" s="99"/>
      <c r="C287" s="2"/>
      <c r="D287" s="100"/>
      <c r="E287" s="63"/>
      <c r="F287" s="64"/>
      <c r="G287" s="65"/>
      <c r="H287" s="98"/>
      <c r="I287" s="64"/>
    </row>
    <row r="288" spans="1:9">
      <c r="A288" s="59"/>
      <c r="B288" s="99"/>
      <c r="C288" s="2"/>
      <c r="D288" s="100"/>
      <c r="E288" s="63"/>
      <c r="F288" s="64"/>
      <c r="G288" s="65"/>
      <c r="H288" s="98"/>
      <c r="I288" s="64"/>
    </row>
    <row r="289" spans="1:9">
      <c r="A289" s="59"/>
      <c r="B289" s="99"/>
      <c r="C289" s="2"/>
      <c r="D289" s="100"/>
      <c r="E289" s="63"/>
      <c r="F289" s="64"/>
      <c r="G289" s="65"/>
      <c r="H289" s="98"/>
      <c r="I289" s="64"/>
    </row>
    <row r="290" spans="1:9">
      <c r="A290" s="59"/>
      <c r="B290" s="99"/>
      <c r="C290" s="2"/>
      <c r="D290" s="100"/>
      <c r="E290" s="63"/>
      <c r="F290" s="64"/>
      <c r="G290" s="65"/>
      <c r="H290" s="98"/>
      <c r="I290" s="64"/>
    </row>
    <row r="291" spans="1:9">
      <c r="A291" s="59"/>
      <c r="B291" s="99"/>
      <c r="C291" s="2"/>
      <c r="D291" s="100"/>
      <c r="E291" s="63"/>
      <c r="F291" s="64"/>
      <c r="G291" s="65"/>
      <c r="H291" s="98"/>
      <c r="I291" s="64"/>
    </row>
    <row r="292" spans="1:9">
      <c r="A292" s="59"/>
      <c r="B292" s="99"/>
      <c r="C292" s="2"/>
      <c r="D292" s="100"/>
      <c r="E292" s="63"/>
      <c r="F292" s="64"/>
      <c r="G292" s="65"/>
      <c r="H292" s="98"/>
      <c r="I292" s="64"/>
    </row>
    <row r="293" spans="1:9">
      <c r="A293" s="59"/>
      <c r="B293" s="99"/>
      <c r="C293" s="2"/>
      <c r="D293" s="100"/>
      <c r="E293" s="63"/>
      <c r="F293" s="64"/>
      <c r="G293" s="65"/>
      <c r="H293" s="98"/>
      <c r="I293" s="64"/>
    </row>
    <row r="294" spans="1:9">
      <c r="A294" s="59"/>
      <c r="B294" s="99"/>
      <c r="C294" s="2"/>
      <c r="D294" s="100"/>
      <c r="E294" s="63"/>
      <c r="F294" s="64"/>
      <c r="G294" s="65"/>
      <c r="H294" s="98"/>
      <c r="I294" s="64"/>
    </row>
    <row r="295" spans="1:9">
      <c r="A295" s="59"/>
      <c r="B295" s="99"/>
      <c r="C295" s="2"/>
      <c r="D295" s="100"/>
      <c r="E295" s="63"/>
      <c r="F295" s="64"/>
      <c r="G295" s="65"/>
      <c r="H295" s="98"/>
      <c r="I295" s="64"/>
    </row>
    <row r="296" spans="1:9">
      <c r="A296" s="59"/>
      <c r="B296" s="99"/>
      <c r="C296" s="2"/>
      <c r="D296" s="100"/>
      <c r="E296" s="63"/>
      <c r="F296" s="64"/>
      <c r="G296" s="65"/>
      <c r="H296" s="98"/>
      <c r="I296" s="64"/>
    </row>
    <row r="297" spans="1:9">
      <c r="A297" s="59"/>
      <c r="B297" s="99"/>
      <c r="C297" s="2"/>
      <c r="D297" s="100"/>
      <c r="E297" s="63"/>
      <c r="F297" s="64"/>
      <c r="G297" s="65"/>
      <c r="H297" s="98"/>
      <c r="I297" s="64"/>
    </row>
    <row r="298" spans="1:9">
      <c r="A298" s="59"/>
      <c r="B298" s="99"/>
      <c r="C298" s="2"/>
      <c r="D298" s="100"/>
      <c r="E298" s="63"/>
      <c r="F298" s="64"/>
      <c r="G298" s="65"/>
      <c r="H298" s="98"/>
      <c r="I298" s="64"/>
    </row>
    <row r="299" spans="1:9">
      <c r="A299" s="59"/>
      <c r="B299" s="99"/>
      <c r="C299" s="2"/>
      <c r="D299" s="100"/>
      <c r="E299" s="63"/>
      <c r="F299" s="64"/>
      <c r="G299" s="65"/>
      <c r="H299" s="98"/>
      <c r="I299" s="64"/>
    </row>
    <row r="300" spans="1:9">
      <c r="A300" s="59"/>
      <c r="B300" s="99"/>
      <c r="C300" s="2"/>
      <c r="D300" s="100"/>
      <c r="E300" s="63"/>
      <c r="F300" s="64"/>
      <c r="G300" s="65"/>
      <c r="H300" s="98"/>
      <c r="I300" s="64"/>
    </row>
    <row r="301" spans="1:9">
      <c r="A301" s="59"/>
      <c r="B301" s="99"/>
      <c r="C301" s="2"/>
      <c r="D301" s="100"/>
      <c r="E301" s="63"/>
      <c r="F301" s="64"/>
      <c r="G301" s="65"/>
      <c r="H301" s="98"/>
      <c r="I301" s="64"/>
    </row>
    <row r="302" spans="1:9">
      <c r="A302" s="59"/>
      <c r="B302" s="99"/>
      <c r="C302" s="2"/>
      <c r="D302" s="100"/>
      <c r="E302" s="63"/>
      <c r="F302" s="64"/>
      <c r="G302" s="65"/>
      <c r="H302" s="98"/>
      <c r="I302" s="64"/>
    </row>
    <row r="303" spans="1:9">
      <c r="A303" s="59"/>
      <c r="B303" s="99"/>
      <c r="C303" s="2"/>
      <c r="D303" s="100"/>
      <c r="E303" s="63"/>
      <c r="F303" s="64"/>
      <c r="G303" s="65"/>
      <c r="H303" s="98"/>
      <c r="I303" s="64"/>
    </row>
    <row r="304" spans="1:9">
      <c r="A304" s="59"/>
      <c r="B304" s="99"/>
      <c r="C304" s="2"/>
      <c r="D304" s="100"/>
      <c r="E304" s="63"/>
      <c r="F304" s="64"/>
      <c r="G304" s="65"/>
      <c r="H304" s="98"/>
      <c r="I304" s="64"/>
    </row>
    <row r="305" spans="1:9">
      <c r="A305" s="59"/>
      <c r="B305" s="99"/>
      <c r="C305" s="2"/>
      <c r="D305" s="100"/>
      <c r="E305" s="63"/>
      <c r="F305" s="64"/>
      <c r="G305" s="65"/>
      <c r="H305" s="98"/>
      <c r="I305" s="64"/>
    </row>
    <row r="306" spans="1:9">
      <c r="A306" s="59"/>
      <c r="B306" s="99"/>
      <c r="C306" s="2"/>
      <c r="D306" s="100"/>
      <c r="E306" s="63"/>
      <c r="F306" s="64"/>
      <c r="G306" s="65"/>
      <c r="H306" s="98"/>
      <c r="I306" s="64"/>
    </row>
    <row r="307" spans="1:9">
      <c r="A307" s="59"/>
      <c r="B307" s="99"/>
      <c r="C307" s="2"/>
      <c r="D307" s="100"/>
      <c r="E307" s="63"/>
      <c r="F307" s="64"/>
      <c r="G307" s="65"/>
      <c r="H307" s="98"/>
      <c r="I307" s="64"/>
    </row>
    <row r="308" spans="1:9">
      <c r="A308" s="59"/>
      <c r="B308" s="99"/>
      <c r="C308" s="2"/>
      <c r="D308" s="100"/>
      <c r="E308" s="63"/>
      <c r="F308" s="64"/>
      <c r="G308" s="65"/>
      <c r="H308" s="98"/>
      <c r="I308" s="64"/>
    </row>
    <row r="309" spans="1:9">
      <c r="A309" s="59"/>
      <c r="B309" s="99"/>
      <c r="C309" s="2"/>
      <c r="D309" s="100"/>
      <c r="E309" s="63"/>
      <c r="F309" s="64"/>
      <c r="G309" s="65"/>
      <c r="H309" s="98"/>
      <c r="I309" s="64"/>
    </row>
    <row r="310" spans="1:9">
      <c r="A310" s="59"/>
      <c r="B310" s="99"/>
      <c r="C310" s="2"/>
      <c r="D310" s="100"/>
      <c r="E310" s="63"/>
      <c r="F310" s="64"/>
      <c r="G310" s="65"/>
      <c r="H310" s="98"/>
      <c r="I310" s="64"/>
    </row>
    <row r="311" spans="1:9">
      <c r="A311" s="59"/>
      <c r="B311" s="99"/>
      <c r="C311" s="2"/>
      <c r="D311" s="100"/>
      <c r="E311" s="63"/>
      <c r="F311" s="64"/>
      <c r="G311" s="65"/>
      <c r="H311" s="98"/>
      <c r="I311" s="64"/>
    </row>
    <row r="312" spans="1:9">
      <c r="A312" s="59"/>
      <c r="B312" s="99"/>
      <c r="C312" s="2"/>
      <c r="D312" s="100"/>
      <c r="E312" s="63"/>
      <c r="F312" s="64"/>
      <c r="G312" s="65"/>
      <c r="H312" s="98"/>
      <c r="I312" s="64"/>
    </row>
    <row r="313" spans="1:9">
      <c r="A313" s="59"/>
      <c r="B313" s="99"/>
      <c r="C313" s="2"/>
      <c r="D313" s="100"/>
      <c r="E313" s="63"/>
      <c r="F313" s="64"/>
      <c r="G313" s="65"/>
      <c r="H313" s="98"/>
      <c r="I313" s="64"/>
    </row>
    <row r="314" spans="1:9">
      <c r="A314" s="59"/>
      <c r="B314" s="99"/>
      <c r="C314" s="2"/>
      <c r="D314" s="100"/>
      <c r="E314" s="63"/>
      <c r="F314" s="64"/>
      <c r="G314" s="65"/>
      <c r="H314" s="98"/>
      <c r="I314" s="64"/>
    </row>
    <row r="315" spans="1:9">
      <c r="A315" s="59"/>
      <c r="B315" s="99"/>
      <c r="C315" s="2"/>
      <c r="D315" s="100"/>
      <c r="E315" s="63"/>
      <c r="F315" s="64"/>
      <c r="G315" s="65"/>
      <c r="H315" s="98"/>
      <c r="I315" s="64"/>
    </row>
    <row r="316" spans="1:9">
      <c r="A316" s="59"/>
      <c r="B316" s="99"/>
      <c r="C316" s="2"/>
      <c r="D316" s="100"/>
      <c r="E316" s="63"/>
      <c r="F316" s="64"/>
      <c r="G316" s="65"/>
      <c r="H316" s="98"/>
      <c r="I316" s="64"/>
    </row>
    <row r="317" spans="1:9">
      <c r="A317" s="59"/>
      <c r="B317" s="99"/>
      <c r="C317" s="2"/>
      <c r="D317" s="100"/>
      <c r="E317" s="63"/>
      <c r="F317" s="64"/>
      <c r="G317" s="65"/>
      <c r="H317" s="98"/>
      <c r="I317" s="64"/>
    </row>
    <row r="318" spans="1:9">
      <c r="A318" s="59"/>
      <c r="B318" s="99"/>
      <c r="C318" s="2"/>
      <c r="D318" s="100"/>
      <c r="E318" s="63"/>
      <c r="F318" s="64"/>
      <c r="G318" s="65"/>
      <c r="H318" s="98"/>
      <c r="I318" s="64"/>
    </row>
    <row r="319" spans="1:9">
      <c r="A319" s="59"/>
      <c r="B319" s="99"/>
      <c r="C319" s="2"/>
      <c r="D319" s="100"/>
      <c r="E319" s="63"/>
      <c r="F319" s="64"/>
      <c r="G319" s="65"/>
      <c r="H319" s="98"/>
      <c r="I319" s="64"/>
    </row>
    <row r="320" spans="1:9">
      <c r="A320" s="59"/>
      <c r="B320" s="99"/>
      <c r="C320" s="2"/>
      <c r="D320" s="100"/>
      <c r="E320" s="63"/>
      <c r="F320" s="64"/>
      <c r="G320" s="65"/>
      <c r="H320" s="98"/>
      <c r="I320" s="64"/>
    </row>
    <row r="321" spans="1:9">
      <c r="A321" s="59"/>
      <c r="B321" s="99"/>
      <c r="C321" s="2"/>
      <c r="D321" s="100"/>
      <c r="E321" s="63"/>
      <c r="F321" s="64"/>
      <c r="G321" s="65"/>
      <c r="H321" s="98"/>
      <c r="I321" s="64"/>
    </row>
    <row r="322" spans="1:9">
      <c r="A322" s="59"/>
      <c r="B322" s="99"/>
      <c r="C322" s="2"/>
      <c r="D322" s="100"/>
      <c r="E322" s="63"/>
      <c r="F322" s="64"/>
      <c r="G322" s="65"/>
      <c r="H322" s="98"/>
      <c r="I322" s="64"/>
    </row>
    <row r="323" spans="1:9">
      <c r="A323" s="59"/>
      <c r="B323" s="99"/>
      <c r="C323" s="2"/>
      <c r="D323" s="100"/>
      <c r="E323" s="63"/>
      <c r="F323" s="64"/>
      <c r="G323" s="65"/>
      <c r="H323" s="98"/>
      <c r="I323" s="64"/>
    </row>
    <row r="324" spans="1:9">
      <c r="A324" s="59"/>
      <c r="B324" s="99"/>
      <c r="C324" s="2"/>
      <c r="D324" s="100"/>
      <c r="E324" s="63"/>
      <c r="F324" s="64"/>
      <c r="G324" s="65"/>
      <c r="H324" s="98"/>
      <c r="I324" s="64"/>
    </row>
    <row r="325" spans="1:9">
      <c r="A325" s="59"/>
      <c r="B325" s="99"/>
      <c r="C325" s="2"/>
      <c r="D325" s="100"/>
      <c r="E325" s="63"/>
      <c r="F325" s="64"/>
      <c r="G325" s="65"/>
      <c r="H325" s="98"/>
      <c r="I325" s="64"/>
    </row>
    <row r="326" spans="1:9">
      <c r="A326" s="59"/>
      <c r="B326" s="99"/>
      <c r="C326" s="2"/>
      <c r="D326" s="100"/>
      <c r="E326" s="63"/>
      <c r="F326" s="64"/>
      <c r="G326" s="65"/>
      <c r="H326" s="98"/>
      <c r="I326" s="64"/>
    </row>
    <row r="327" spans="1:9">
      <c r="A327" s="59"/>
      <c r="B327" s="99"/>
      <c r="C327" s="2"/>
      <c r="D327" s="100"/>
      <c r="E327" s="63"/>
      <c r="F327" s="64"/>
      <c r="G327" s="65"/>
      <c r="H327" s="98"/>
      <c r="I327" s="64"/>
    </row>
    <row r="328" spans="1:9">
      <c r="A328" s="59"/>
      <c r="B328" s="99"/>
      <c r="C328" s="2"/>
      <c r="D328" s="100"/>
      <c r="E328" s="63"/>
      <c r="F328" s="64"/>
      <c r="G328" s="65"/>
      <c r="H328" s="98"/>
      <c r="I328" s="64"/>
    </row>
    <row r="329" spans="1:9">
      <c r="A329" s="59"/>
      <c r="B329" s="99"/>
      <c r="C329" s="2"/>
      <c r="D329" s="100"/>
      <c r="E329" s="63"/>
      <c r="F329" s="64"/>
      <c r="G329" s="65"/>
      <c r="H329" s="98"/>
      <c r="I329" s="64"/>
    </row>
    <row r="330" spans="1:9">
      <c r="A330" s="59"/>
      <c r="B330" s="99"/>
      <c r="C330" s="2"/>
      <c r="D330" s="100"/>
      <c r="E330" s="63"/>
      <c r="F330" s="64"/>
      <c r="G330" s="65"/>
      <c r="H330" s="98"/>
      <c r="I330" s="64"/>
    </row>
    <row r="331" spans="1:9">
      <c r="A331" s="59"/>
      <c r="B331" s="99"/>
      <c r="C331" s="2"/>
      <c r="D331" s="100"/>
      <c r="E331" s="63"/>
      <c r="F331" s="64"/>
      <c r="G331" s="65"/>
      <c r="H331" s="98"/>
      <c r="I331" s="64"/>
    </row>
    <row r="332" spans="1:9">
      <c r="A332" s="59"/>
      <c r="B332" s="99"/>
      <c r="C332" s="2"/>
      <c r="D332" s="100"/>
      <c r="E332" s="63"/>
      <c r="F332" s="64"/>
      <c r="G332" s="65"/>
      <c r="H332" s="98"/>
      <c r="I332" s="64"/>
    </row>
    <row r="333" spans="1:9">
      <c r="A333" s="59"/>
      <c r="B333" s="99"/>
      <c r="C333" s="2"/>
      <c r="D333" s="100"/>
      <c r="E333" s="63"/>
      <c r="F333" s="64"/>
      <c r="G333" s="65"/>
      <c r="H333" s="98"/>
      <c r="I333" s="64"/>
    </row>
    <row r="334" spans="1:9">
      <c r="A334" s="59"/>
      <c r="B334" s="99"/>
      <c r="C334" s="2"/>
      <c r="D334" s="100"/>
      <c r="E334" s="63"/>
      <c r="F334" s="64"/>
      <c r="G334" s="65"/>
      <c r="H334" s="98"/>
      <c r="I334" s="64"/>
    </row>
    <row r="335" spans="1:9">
      <c r="A335" s="59"/>
      <c r="B335" s="99"/>
      <c r="C335" s="2"/>
      <c r="D335" s="100"/>
      <c r="E335" s="63"/>
      <c r="F335" s="64"/>
      <c r="G335" s="65"/>
      <c r="H335" s="98"/>
      <c r="I335" s="64"/>
    </row>
    <row r="336" spans="1:9">
      <c r="A336" s="59"/>
      <c r="B336" s="99"/>
      <c r="C336" s="2"/>
      <c r="D336" s="100"/>
      <c r="E336" s="63"/>
      <c r="F336" s="64"/>
      <c r="G336" s="65"/>
      <c r="H336" s="98"/>
      <c r="I336" s="64"/>
    </row>
    <row r="337" spans="1:9">
      <c r="A337" s="59"/>
      <c r="B337" s="99"/>
      <c r="C337" s="2"/>
      <c r="D337" s="100"/>
      <c r="E337" s="63"/>
      <c r="F337" s="64"/>
      <c r="G337" s="65"/>
      <c r="H337" s="98"/>
      <c r="I337" s="64"/>
    </row>
    <row r="338" spans="1:9">
      <c r="A338" s="59"/>
      <c r="B338" s="99"/>
      <c r="C338" s="2"/>
      <c r="D338" s="100"/>
      <c r="E338" s="63"/>
      <c r="F338" s="64"/>
      <c r="G338" s="65"/>
      <c r="H338" s="98"/>
      <c r="I338" s="64"/>
    </row>
    <row r="339" spans="1:9">
      <c r="A339" s="59"/>
      <c r="B339" s="99"/>
      <c r="C339" s="2"/>
      <c r="D339" s="100"/>
      <c r="E339" s="63"/>
      <c r="F339" s="64"/>
      <c r="G339" s="65"/>
      <c r="H339" s="98"/>
      <c r="I339" s="64"/>
    </row>
    <row r="340" spans="1:9">
      <c r="A340" s="59"/>
      <c r="B340" s="99"/>
      <c r="C340" s="2"/>
      <c r="D340" s="100"/>
      <c r="E340" s="63"/>
      <c r="F340" s="64"/>
      <c r="G340" s="65"/>
      <c r="H340" s="98"/>
      <c r="I340" s="64"/>
    </row>
    <row r="341" spans="1:9">
      <c r="A341" s="59"/>
      <c r="B341" s="99"/>
      <c r="C341" s="2"/>
      <c r="D341" s="100"/>
      <c r="E341" s="63"/>
      <c r="F341" s="64"/>
      <c r="G341" s="65"/>
      <c r="H341" s="98"/>
      <c r="I341" s="64"/>
    </row>
    <row r="342" spans="1:9">
      <c r="A342" s="59"/>
      <c r="B342" s="99"/>
      <c r="C342" s="2"/>
      <c r="D342" s="100"/>
      <c r="E342" s="63"/>
      <c r="F342" s="64"/>
      <c r="G342" s="65"/>
      <c r="H342" s="98"/>
      <c r="I342" s="64"/>
    </row>
    <row r="343" spans="1:9">
      <c r="A343" s="59"/>
      <c r="B343" s="99"/>
      <c r="C343" s="2"/>
      <c r="D343" s="100"/>
      <c r="E343" s="63"/>
      <c r="F343" s="64"/>
      <c r="G343" s="65"/>
      <c r="H343" s="98"/>
      <c r="I343" s="64"/>
    </row>
    <row r="344" spans="1:9">
      <c r="A344" s="59"/>
      <c r="B344" s="99"/>
      <c r="C344" s="2"/>
      <c r="D344" s="100"/>
      <c r="E344" s="63"/>
      <c r="F344" s="64"/>
      <c r="G344" s="65"/>
      <c r="H344" s="98"/>
      <c r="I344" s="64"/>
    </row>
    <row r="345" spans="1:9">
      <c r="A345" s="59"/>
      <c r="B345" s="99"/>
      <c r="C345" s="2"/>
      <c r="D345" s="100"/>
      <c r="E345" s="63"/>
      <c r="F345" s="64"/>
      <c r="G345" s="65"/>
      <c r="H345" s="98"/>
      <c r="I345" s="64"/>
    </row>
    <row r="346" spans="1:9">
      <c r="A346" s="59"/>
      <c r="B346" s="99"/>
      <c r="C346" s="2"/>
      <c r="D346" s="100"/>
      <c r="E346" s="63"/>
      <c r="F346" s="64"/>
      <c r="G346" s="65"/>
      <c r="H346" s="98"/>
      <c r="I346" s="64"/>
    </row>
    <row r="347" spans="1:9">
      <c r="A347" s="59"/>
      <c r="B347" s="99"/>
      <c r="C347" s="2"/>
      <c r="D347" s="100"/>
      <c r="E347" s="63"/>
      <c r="F347" s="64"/>
      <c r="G347" s="65"/>
      <c r="H347" s="98"/>
      <c r="I347" s="64"/>
    </row>
    <row r="348" spans="1:9">
      <c r="A348" s="59"/>
      <c r="B348" s="99"/>
      <c r="C348" s="2"/>
      <c r="D348" s="100"/>
      <c r="E348" s="63"/>
      <c r="F348" s="64"/>
      <c r="G348" s="65"/>
      <c r="H348" s="98"/>
      <c r="I348" s="64"/>
    </row>
    <row r="349" spans="1:9">
      <c r="A349" s="59"/>
      <c r="B349" s="99"/>
      <c r="C349" s="2"/>
      <c r="D349" s="100"/>
      <c r="E349" s="63"/>
      <c r="F349" s="64"/>
      <c r="G349" s="65"/>
      <c r="H349" s="98"/>
      <c r="I349" s="64"/>
    </row>
    <row r="350" spans="1:9">
      <c r="A350" s="59"/>
      <c r="B350" s="99"/>
      <c r="C350" s="2"/>
      <c r="D350" s="100"/>
      <c r="E350" s="63"/>
      <c r="F350" s="64"/>
      <c r="G350" s="65"/>
      <c r="H350" s="98"/>
      <c r="I350" s="64"/>
    </row>
    <row r="351" spans="1:9">
      <c r="A351" s="59"/>
      <c r="B351" s="99"/>
      <c r="C351" s="2"/>
      <c r="D351" s="100"/>
      <c r="E351" s="63"/>
      <c r="F351" s="64"/>
      <c r="G351" s="65"/>
      <c r="H351" s="98"/>
      <c r="I351" s="64"/>
    </row>
    <row r="352" spans="1:9">
      <c r="A352" s="59"/>
      <c r="B352" s="99"/>
      <c r="C352" s="2"/>
      <c r="D352" s="100"/>
      <c r="E352" s="63"/>
      <c r="F352" s="64"/>
      <c r="G352" s="65"/>
      <c r="H352" s="98"/>
      <c r="I352" s="64"/>
    </row>
    <row r="353" spans="1:9">
      <c r="A353" s="59"/>
      <c r="B353" s="99"/>
      <c r="C353" s="2"/>
      <c r="D353" s="100"/>
      <c r="E353" s="63"/>
      <c r="F353" s="64"/>
      <c r="G353" s="65"/>
      <c r="H353" s="98"/>
      <c r="I353" s="64"/>
    </row>
    <row r="354" spans="1:9">
      <c r="A354" s="59"/>
      <c r="B354" s="99"/>
      <c r="C354" s="2"/>
      <c r="D354" s="100"/>
      <c r="E354" s="63"/>
      <c r="F354" s="64"/>
      <c r="G354" s="65"/>
      <c r="H354" s="98"/>
      <c r="I354" s="64"/>
    </row>
    <row r="355" spans="1:9">
      <c r="A355" s="59"/>
      <c r="B355" s="99"/>
      <c r="C355" s="2"/>
      <c r="D355" s="100"/>
      <c r="E355" s="63"/>
      <c r="F355" s="64"/>
      <c r="G355" s="65"/>
      <c r="H355" s="98"/>
      <c r="I355" s="64"/>
    </row>
    <row r="356" spans="1:9">
      <c r="A356" s="59"/>
      <c r="B356" s="99"/>
      <c r="C356" s="2"/>
      <c r="D356" s="100"/>
      <c r="E356" s="63"/>
      <c r="F356" s="64"/>
      <c r="G356" s="65"/>
      <c r="H356" s="98"/>
      <c r="I356" s="64"/>
    </row>
    <row r="357" spans="1:9">
      <c r="A357" s="59"/>
      <c r="B357" s="99"/>
      <c r="C357" s="2"/>
      <c r="D357" s="100"/>
      <c r="E357" s="63"/>
      <c r="F357" s="64"/>
      <c r="G357" s="65"/>
      <c r="H357" s="98"/>
      <c r="I357" s="64"/>
    </row>
    <row r="358" spans="1:9">
      <c r="A358" s="59"/>
      <c r="B358" s="99"/>
      <c r="C358" s="2"/>
      <c r="D358" s="100"/>
      <c r="E358" s="63"/>
      <c r="F358" s="64"/>
      <c r="G358" s="65"/>
      <c r="H358" s="98"/>
      <c r="I358" s="64"/>
    </row>
    <row r="359" spans="1:9">
      <c r="A359" s="59"/>
      <c r="B359" s="99"/>
      <c r="C359" s="2"/>
      <c r="D359" s="100"/>
      <c r="E359" s="63"/>
      <c r="F359" s="64"/>
      <c r="G359" s="65"/>
      <c r="H359" s="98"/>
      <c r="I359" s="64"/>
    </row>
    <row r="360" spans="1:9">
      <c r="A360" s="59"/>
      <c r="B360" s="99"/>
      <c r="C360" s="2"/>
      <c r="D360" s="100"/>
      <c r="E360" s="63"/>
      <c r="F360" s="64"/>
      <c r="G360" s="65"/>
      <c r="H360" s="98"/>
      <c r="I360" s="64"/>
    </row>
    <row r="361" spans="1:9">
      <c r="A361" s="59"/>
      <c r="B361" s="99"/>
      <c r="C361" s="2"/>
      <c r="D361" s="100"/>
      <c r="E361" s="63"/>
      <c r="F361" s="64"/>
      <c r="G361" s="65"/>
      <c r="H361" s="98"/>
      <c r="I361" s="64"/>
    </row>
    <row r="362" spans="1:9">
      <c r="A362" s="59"/>
      <c r="B362" s="99"/>
      <c r="C362" s="2"/>
      <c r="D362" s="100"/>
      <c r="E362" s="63"/>
      <c r="F362" s="64"/>
      <c r="G362" s="65"/>
      <c r="H362" s="98"/>
      <c r="I362" s="64"/>
    </row>
    <row r="363" spans="1:9">
      <c r="A363" s="59"/>
      <c r="B363" s="99"/>
      <c r="C363" s="2"/>
      <c r="D363" s="100"/>
      <c r="E363" s="63"/>
      <c r="F363" s="64"/>
      <c r="G363" s="65"/>
      <c r="H363" s="98"/>
      <c r="I363" s="64"/>
    </row>
    <row r="364" spans="1:9">
      <c r="A364" s="59"/>
      <c r="B364" s="99"/>
      <c r="C364" s="2"/>
      <c r="D364" s="100"/>
      <c r="E364" s="63"/>
      <c r="F364" s="64"/>
      <c r="G364" s="65"/>
      <c r="H364" s="98"/>
      <c r="I364" s="64"/>
    </row>
    <row r="365" spans="1:9">
      <c r="A365" s="59"/>
      <c r="B365" s="99"/>
      <c r="C365" s="2"/>
      <c r="D365" s="100"/>
      <c r="E365" s="63"/>
      <c r="F365" s="64"/>
      <c r="G365" s="65"/>
      <c r="H365" s="98"/>
      <c r="I365" s="64"/>
    </row>
    <row r="366" spans="1:9">
      <c r="A366" s="59"/>
      <c r="B366" s="99"/>
      <c r="C366" s="2"/>
      <c r="D366" s="100"/>
      <c r="E366" s="63"/>
      <c r="F366" s="64"/>
      <c r="G366" s="65"/>
      <c r="H366" s="98"/>
      <c r="I366" s="64"/>
    </row>
    <row r="367" spans="1:9">
      <c r="A367" s="59"/>
      <c r="B367" s="99"/>
      <c r="C367" s="2"/>
      <c r="D367" s="100"/>
      <c r="E367" s="63"/>
      <c r="F367" s="64"/>
      <c r="G367" s="65"/>
      <c r="H367" s="98"/>
      <c r="I367" s="64"/>
    </row>
    <row r="368" spans="1:9">
      <c r="A368" s="59"/>
      <c r="B368" s="99"/>
      <c r="C368" s="2"/>
      <c r="D368" s="100"/>
      <c r="E368" s="63"/>
      <c r="F368" s="64"/>
      <c r="G368" s="65"/>
      <c r="H368" s="98"/>
      <c r="I368" s="64"/>
    </row>
    <row r="369" spans="1:9">
      <c r="A369" s="59"/>
      <c r="B369" s="99"/>
      <c r="C369" s="2"/>
      <c r="D369" s="100"/>
      <c r="E369" s="63"/>
      <c r="F369" s="64"/>
      <c r="G369" s="65"/>
      <c r="H369" s="98"/>
      <c r="I369" s="64"/>
    </row>
    <row r="370" spans="1:9">
      <c r="A370" s="59"/>
      <c r="B370" s="99"/>
      <c r="C370" s="2"/>
      <c r="D370" s="100"/>
      <c r="E370" s="63"/>
      <c r="F370" s="64"/>
      <c r="G370" s="65"/>
      <c r="H370" s="98"/>
      <c r="I370" s="64"/>
    </row>
    <row r="371" spans="1:9">
      <c r="A371" s="59"/>
      <c r="B371" s="99"/>
      <c r="C371" s="2"/>
      <c r="D371" s="100"/>
      <c r="E371" s="63"/>
      <c r="F371" s="64"/>
      <c r="G371" s="65"/>
      <c r="H371" s="98"/>
      <c r="I371" s="64"/>
    </row>
    <row r="372" spans="1:9">
      <c r="A372" s="59"/>
      <c r="B372" s="99"/>
      <c r="C372" s="2"/>
      <c r="D372" s="100"/>
      <c r="E372" s="63"/>
      <c r="F372" s="64"/>
      <c r="G372" s="65"/>
      <c r="H372" s="98"/>
      <c r="I372" s="64"/>
    </row>
    <row r="373" spans="1:9">
      <c r="A373" s="59"/>
      <c r="B373" s="99"/>
      <c r="C373" s="2"/>
      <c r="D373" s="100"/>
      <c r="E373" s="63"/>
      <c r="F373" s="64"/>
      <c r="G373" s="65"/>
      <c r="H373" s="98"/>
      <c r="I373" s="64"/>
    </row>
    <row r="374" spans="1:9">
      <c r="A374" s="59"/>
      <c r="B374" s="99"/>
      <c r="C374" s="2"/>
      <c r="D374" s="100"/>
      <c r="E374" s="63"/>
      <c r="F374" s="64"/>
      <c r="G374" s="65"/>
      <c r="H374" s="98"/>
      <c r="I374" s="64"/>
    </row>
    <row r="375" spans="1:9">
      <c r="A375" s="59"/>
      <c r="B375" s="99"/>
      <c r="C375" s="2"/>
      <c r="D375" s="100"/>
      <c r="E375" s="63"/>
      <c r="F375" s="64"/>
      <c r="G375" s="65"/>
      <c r="H375" s="98"/>
      <c r="I375" s="64"/>
    </row>
    <row r="376" spans="1:9">
      <c r="A376" s="59"/>
      <c r="B376" s="99"/>
      <c r="C376" s="2"/>
      <c r="D376" s="100"/>
      <c r="E376" s="63"/>
      <c r="F376" s="64"/>
      <c r="G376" s="65"/>
      <c r="H376" s="98"/>
      <c r="I376" s="64"/>
    </row>
    <row r="377" spans="1:9">
      <c r="A377" s="59"/>
      <c r="B377" s="99"/>
      <c r="C377" s="2"/>
      <c r="D377" s="100"/>
      <c r="E377" s="63"/>
      <c r="F377" s="64"/>
      <c r="G377" s="65"/>
      <c r="H377" s="98"/>
      <c r="I377" s="64"/>
    </row>
    <row r="378" spans="1:9">
      <c r="A378" s="59"/>
      <c r="B378" s="99"/>
      <c r="C378" s="2"/>
      <c r="D378" s="100"/>
      <c r="E378" s="63"/>
      <c r="F378" s="64"/>
      <c r="G378" s="65"/>
      <c r="H378" s="98"/>
      <c r="I378" s="64"/>
    </row>
    <row r="379" spans="1:9">
      <c r="A379" s="59"/>
      <c r="B379" s="99"/>
      <c r="C379" s="2"/>
      <c r="D379" s="100"/>
      <c r="E379" s="63"/>
      <c r="F379" s="64"/>
      <c r="G379" s="65"/>
      <c r="H379" s="98"/>
      <c r="I379" s="64"/>
    </row>
    <row r="380" spans="1:9">
      <c r="A380" s="59"/>
      <c r="B380" s="99"/>
      <c r="C380" s="2"/>
      <c r="D380" s="100"/>
      <c r="E380" s="63"/>
      <c r="F380" s="64"/>
      <c r="G380" s="65"/>
      <c r="H380" s="98"/>
      <c r="I380" s="64"/>
    </row>
    <row r="381" spans="1:9">
      <c r="A381" s="59"/>
      <c r="B381" s="99"/>
      <c r="C381" s="2"/>
      <c r="D381" s="100"/>
      <c r="E381" s="63"/>
      <c r="F381" s="64"/>
      <c r="G381" s="65"/>
      <c r="H381" s="98"/>
      <c r="I381" s="64"/>
    </row>
    <row r="382" spans="1:9">
      <c r="A382" s="59"/>
      <c r="B382" s="99"/>
      <c r="C382" s="2"/>
      <c r="D382" s="100"/>
      <c r="E382" s="63"/>
      <c r="F382" s="64"/>
      <c r="G382" s="65"/>
      <c r="H382" s="98"/>
      <c r="I382" s="64"/>
    </row>
    <row r="383" spans="1:9">
      <c r="A383" s="59"/>
      <c r="B383" s="99"/>
      <c r="C383" s="2"/>
      <c r="D383" s="100"/>
      <c r="E383" s="63"/>
      <c r="F383" s="64"/>
      <c r="G383" s="65"/>
      <c r="H383" s="98"/>
      <c r="I383" s="64"/>
    </row>
    <row r="384" spans="1:9">
      <c r="A384" s="59"/>
      <c r="B384" s="99"/>
      <c r="C384" s="2"/>
      <c r="D384" s="100"/>
      <c r="E384" s="63"/>
      <c r="F384" s="64"/>
      <c r="G384" s="65"/>
      <c r="H384" s="98"/>
      <c r="I384" s="64"/>
    </row>
    <row r="385" spans="1:9">
      <c r="A385" s="59"/>
      <c r="B385" s="99"/>
      <c r="C385" s="2"/>
      <c r="D385" s="100"/>
      <c r="E385" s="63"/>
      <c r="F385" s="64"/>
      <c r="G385" s="65"/>
      <c r="H385" s="98"/>
      <c r="I385" s="64"/>
    </row>
    <row r="386" spans="1:9">
      <c r="A386" s="59"/>
      <c r="B386" s="99"/>
      <c r="C386" s="2"/>
      <c r="D386" s="100"/>
      <c r="E386" s="63"/>
      <c r="F386" s="64"/>
      <c r="G386" s="65"/>
      <c r="H386" s="98"/>
      <c r="I386" s="64"/>
    </row>
    <row r="387" spans="1:9">
      <c r="A387" s="59"/>
      <c r="B387" s="99"/>
      <c r="C387" s="2"/>
      <c r="D387" s="100"/>
      <c r="E387" s="63"/>
      <c r="F387" s="64"/>
      <c r="G387" s="65"/>
      <c r="H387" s="98"/>
      <c r="I387" s="64"/>
    </row>
    <row r="388" spans="1:9">
      <c r="A388" s="59"/>
      <c r="B388" s="99"/>
      <c r="C388" s="2"/>
      <c r="D388" s="100"/>
      <c r="E388" s="63"/>
      <c r="F388" s="64"/>
      <c r="G388" s="65"/>
      <c r="H388" s="98"/>
      <c r="I388" s="64"/>
    </row>
    <row r="389" spans="1:9">
      <c r="A389" s="59"/>
      <c r="B389" s="99"/>
      <c r="C389" s="2"/>
      <c r="D389" s="100"/>
      <c r="E389" s="63"/>
      <c r="F389" s="64"/>
      <c r="G389" s="65"/>
      <c r="H389" s="98"/>
      <c r="I389" s="64"/>
    </row>
    <row r="390" spans="1:9">
      <c r="A390" s="59"/>
      <c r="B390" s="99"/>
      <c r="C390" s="2"/>
      <c r="D390" s="100"/>
      <c r="E390" s="63"/>
      <c r="F390" s="64"/>
      <c r="G390" s="65"/>
      <c r="H390" s="98"/>
      <c r="I390" s="64"/>
    </row>
    <row r="391" spans="1:9">
      <c r="A391" s="59"/>
      <c r="B391" s="99"/>
      <c r="C391" s="2"/>
      <c r="D391" s="100"/>
      <c r="E391" s="63"/>
      <c r="F391" s="64"/>
      <c r="G391" s="65"/>
      <c r="H391" s="98"/>
      <c r="I391" s="64"/>
    </row>
    <row r="392" spans="1:9">
      <c r="A392" s="59"/>
      <c r="B392" s="99"/>
      <c r="C392" s="2"/>
      <c r="D392" s="100"/>
      <c r="E392" s="63"/>
      <c r="F392" s="64"/>
      <c r="G392" s="65"/>
      <c r="H392" s="98"/>
      <c r="I392" s="64"/>
    </row>
    <row r="393" spans="1:9">
      <c r="A393" s="59"/>
      <c r="B393" s="99"/>
      <c r="C393" s="2"/>
      <c r="D393" s="100"/>
      <c r="E393" s="63"/>
      <c r="F393" s="64"/>
      <c r="G393" s="65"/>
      <c r="H393" s="98"/>
      <c r="I393" s="64"/>
    </row>
    <row r="394" spans="1:9">
      <c r="A394" s="59"/>
      <c r="B394" s="99"/>
      <c r="C394" s="2"/>
      <c r="D394" s="100"/>
      <c r="E394" s="63"/>
      <c r="F394" s="64"/>
      <c r="G394" s="65"/>
      <c r="H394" s="98"/>
      <c r="I394" s="64"/>
    </row>
    <row r="395" spans="1:9">
      <c r="A395" s="59"/>
      <c r="B395" s="99"/>
      <c r="C395" s="2"/>
      <c r="D395" s="100"/>
      <c r="E395" s="63"/>
      <c r="F395" s="64"/>
      <c r="G395" s="65"/>
      <c r="H395" s="98"/>
      <c r="I395" s="64"/>
    </row>
    <row r="396" spans="1:9">
      <c r="A396" s="59"/>
      <c r="B396" s="99"/>
      <c r="C396" s="2"/>
      <c r="D396" s="100"/>
      <c r="E396" s="63"/>
      <c r="F396" s="64"/>
      <c r="G396" s="65"/>
      <c r="H396" s="98"/>
      <c r="I396" s="64"/>
    </row>
    <row r="397" spans="1:9">
      <c r="A397" s="59"/>
      <c r="B397" s="99"/>
      <c r="C397" s="2"/>
      <c r="D397" s="100"/>
      <c r="E397" s="63"/>
      <c r="F397" s="64"/>
      <c r="G397" s="65"/>
      <c r="H397" s="98"/>
      <c r="I397" s="64"/>
    </row>
    <row r="398" spans="1:9">
      <c r="A398" s="59"/>
      <c r="B398" s="99"/>
      <c r="C398" s="2"/>
      <c r="D398" s="100"/>
      <c r="E398" s="63"/>
      <c r="F398" s="64"/>
      <c r="G398" s="65"/>
      <c r="H398" s="98"/>
      <c r="I398" s="64"/>
    </row>
    <row r="399" spans="1:9">
      <c r="A399" s="59"/>
      <c r="B399" s="99"/>
      <c r="C399" s="2"/>
      <c r="D399" s="100"/>
      <c r="E399" s="63"/>
      <c r="F399" s="64"/>
      <c r="G399" s="65"/>
      <c r="H399" s="98"/>
      <c r="I399" s="64"/>
    </row>
    <row r="400" spans="1:9">
      <c r="A400" s="59"/>
      <c r="B400" s="99"/>
      <c r="C400" s="2"/>
      <c r="D400" s="100"/>
      <c r="E400" s="63"/>
      <c r="F400" s="64"/>
      <c r="G400" s="65"/>
      <c r="H400" s="98"/>
      <c r="I400" s="64"/>
    </row>
    <row r="401" spans="1:9">
      <c r="A401" s="59"/>
      <c r="B401" s="99"/>
      <c r="C401" s="2"/>
      <c r="D401" s="100"/>
      <c r="E401" s="63"/>
      <c r="F401" s="64"/>
      <c r="G401" s="65"/>
      <c r="H401" s="98"/>
      <c r="I401" s="64"/>
    </row>
    <row r="402" spans="1:9">
      <c r="A402" s="59"/>
      <c r="B402" s="99"/>
      <c r="C402" s="2"/>
      <c r="D402" s="100"/>
      <c r="E402" s="63"/>
      <c r="F402" s="64"/>
      <c r="G402" s="65"/>
      <c r="H402" s="98"/>
      <c r="I402" s="64"/>
    </row>
    <row r="403" spans="1:9">
      <c r="A403" s="59"/>
      <c r="B403" s="99"/>
      <c r="C403" s="2"/>
      <c r="D403" s="100"/>
      <c r="E403" s="63"/>
      <c r="F403" s="64"/>
      <c r="G403" s="65"/>
      <c r="H403" s="98"/>
      <c r="I403" s="64"/>
    </row>
    <row r="404" spans="1:9">
      <c r="A404" s="59"/>
      <c r="B404" s="99"/>
      <c r="C404" s="2"/>
      <c r="D404" s="100"/>
      <c r="E404" s="63"/>
      <c r="F404" s="64"/>
      <c r="G404" s="65"/>
      <c r="H404" s="98"/>
      <c r="I404" s="64"/>
    </row>
    <row r="405" spans="1:9">
      <c r="A405" s="59"/>
      <c r="B405" s="99"/>
      <c r="C405" s="2"/>
      <c r="D405" s="100"/>
      <c r="E405" s="63"/>
      <c r="F405" s="64"/>
      <c r="G405" s="65"/>
      <c r="H405" s="98"/>
      <c r="I405" s="64"/>
    </row>
    <row r="406" spans="1:9">
      <c r="A406" s="59"/>
      <c r="B406" s="99"/>
      <c r="C406" s="2"/>
      <c r="D406" s="100"/>
      <c r="E406" s="63"/>
      <c r="F406" s="64"/>
      <c r="G406" s="65"/>
      <c r="H406" s="98"/>
      <c r="I406" s="64"/>
    </row>
    <row r="407" spans="1:9">
      <c r="A407" s="59"/>
      <c r="B407" s="99"/>
      <c r="C407" s="2"/>
      <c r="D407" s="100"/>
      <c r="E407" s="63"/>
      <c r="F407" s="64"/>
      <c r="G407" s="65"/>
      <c r="H407" s="98"/>
      <c r="I407" s="64"/>
    </row>
    <row r="408" spans="1:9">
      <c r="A408" s="59"/>
      <c r="B408" s="99"/>
      <c r="C408" s="2"/>
      <c r="D408" s="100"/>
      <c r="E408" s="63"/>
      <c r="F408" s="64"/>
      <c r="G408" s="65"/>
      <c r="H408" s="98"/>
      <c r="I408" s="64"/>
    </row>
    <row r="409" spans="1:9">
      <c r="A409" s="59"/>
      <c r="B409" s="99"/>
      <c r="C409" s="2"/>
      <c r="D409" s="100"/>
      <c r="E409" s="63"/>
      <c r="F409" s="64"/>
      <c r="G409" s="65"/>
      <c r="H409" s="98"/>
      <c r="I409" s="64"/>
    </row>
    <row r="410" spans="1:9">
      <c r="A410" s="59"/>
      <c r="B410" s="99"/>
      <c r="C410" s="2"/>
      <c r="D410" s="100"/>
      <c r="E410" s="63"/>
      <c r="F410" s="64"/>
      <c r="G410" s="65"/>
      <c r="H410" s="98"/>
      <c r="I410" s="64"/>
    </row>
    <row r="411" spans="1:9">
      <c r="A411" s="59"/>
      <c r="B411" s="99"/>
      <c r="C411" s="2"/>
      <c r="D411" s="100"/>
      <c r="E411" s="63"/>
      <c r="F411" s="64"/>
      <c r="G411" s="65"/>
      <c r="H411" s="98"/>
      <c r="I411" s="64"/>
    </row>
    <row r="412" spans="1:9">
      <c r="A412" s="59"/>
      <c r="B412" s="99"/>
      <c r="C412" s="2"/>
      <c r="D412" s="100"/>
      <c r="E412" s="63"/>
      <c r="F412" s="64"/>
      <c r="G412" s="65"/>
      <c r="H412" s="98"/>
      <c r="I412" s="64"/>
    </row>
    <row r="413" spans="1:9">
      <c r="A413" s="59"/>
      <c r="B413" s="99"/>
      <c r="C413" s="2"/>
      <c r="D413" s="100"/>
      <c r="E413" s="63"/>
      <c r="F413" s="64"/>
      <c r="G413" s="65"/>
      <c r="H413" s="98"/>
      <c r="I413" s="64"/>
    </row>
    <row r="414" spans="1:9">
      <c r="A414" s="59"/>
      <c r="B414" s="99"/>
      <c r="C414" s="2"/>
      <c r="D414" s="100"/>
      <c r="E414" s="63"/>
      <c r="F414" s="64"/>
      <c r="G414" s="65"/>
      <c r="H414" s="98"/>
      <c r="I414" s="64"/>
    </row>
    <row r="415" spans="1:9">
      <c r="A415" s="59"/>
      <c r="B415" s="99"/>
      <c r="C415" s="2"/>
      <c r="D415" s="100"/>
      <c r="E415" s="63"/>
      <c r="F415" s="64"/>
      <c r="G415" s="65"/>
      <c r="H415" s="98"/>
      <c r="I415" s="64"/>
    </row>
    <row r="416" spans="1:9">
      <c r="A416" s="59"/>
      <c r="B416" s="99"/>
      <c r="C416" s="2"/>
      <c r="D416" s="100"/>
      <c r="E416" s="63"/>
      <c r="F416" s="64"/>
      <c r="G416" s="65"/>
      <c r="H416" s="98"/>
      <c r="I416" s="64"/>
    </row>
    <row r="417" spans="1:9">
      <c r="A417" s="59"/>
      <c r="B417" s="99"/>
      <c r="C417" s="2"/>
      <c r="D417" s="100"/>
      <c r="E417" s="63"/>
      <c r="F417" s="64"/>
      <c r="G417" s="65"/>
      <c r="H417" s="98"/>
      <c r="I417" s="64"/>
    </row>
    <row r="418" spans="1:9">
      <c r="A418" s="59"/>
      <c r="B418" s="99"/>
      <c r="C418" s="2"/>
      <c r="D418" s="100"/>
      <c r="E418" s="63"/>
      <c r="F418" s="64"/>
      <c r="G418" s="65"/>
      <c r="H418" s="98"/>
      <c r="I418" s="64"/>
    </row>
    <row r="419" spans="1:9">
      <c r="A419" s="59"/>
      <c r="B419" s="99"/>
      <c r="C419" s="2"/>
      <c r="D419" s="100"/>
      <c r="E419" s="63"/>
      <c r="F419" s="64"/>
      <c r="G419" s="65"/>
      <c r="H419" s="98"/>
      <c r="I419" s="64"/>
    </row>
    <row r="420" spans="1:9">
      <c r="A420" s="59"/>
      <c r="B420" s="99"/>
      <c r="C420" s="2"/>
      <c r="D420" s="100"/>
      <c r="E420" s="63"/>
      <c r="F420" s="64"/>
      <c r="G420" s="65"/>
      <c r="H420" s="98"/>
      <c r="I420" s="64"/>
    </row>
    <row r="421" spans="1:9">
      <c r="A421" s="59"/>
      <c r="B421" s="99"/>
      <c r="C421" s="2"/>
      <c r="D421" s="100"/>
      <c r="E421" s="63"/>
      <c r="F421" s="64"/>
      <c r="G421" s="65"/>
      <c r="H421" s="98"/>
      <c r="I421" s="64"/>
    </row>
    <row r="422" spans="1:9">
      <c r="A422" s="59"/>
      <c r="B422" s="99"/>
      <c r="C422" s="2"/>
      <c r="D422" s="100"/>
      <c r="E422" s="63"/>
      <c r="F422" s="64"/>
      <c r="G422" s="65"/>
      <c r="H422" s="98"/>
      <c r="I422" s="64"/>
    </row>
    <row r="423" spans="1:9">
      <c r="A423" s="59"/>
      <c r="B423" s="99"/>
      <c r="C423" s="2"/>
      <c r="D423" s="100"/>
      <c r="E423" s="63"/>
      <c r="F423" s="64"/>
      <c r="G423" s="65"/>
      <c r="H423" s="98"/>
      <c r="I423" s="64"/>
    </row>
    <row r="424" spans="1:9">
      <c r="A424" s="59"/>
      <c r="B424" s="99"/>
      <c r="C424" s="2"/>
      <c r="D424" s="100"/>
      <c r="E424" s="63"/>
      <c r="F424" s="64"/>
      <c r="G424" s="65"/>
      <c r="H424" s="98"/>
      <c r="I424" s="64"/>
    </row>
    <row r="425" spans="1:9">
      <c r="A425" s="59"/>
      <c r="B425" s="99"/>
      <c r="C425" s="2"/>
      <c r="D425" s="100"/>
      <c r="E425" s="63"/>
      <c r="F425" s="64"/>
      <c r="G425" s="65"/>
      <c r="H425" s="98"/>
      <c r="I425" s="64"/>
    </row>
    <row r="426" spans="1:9">
      <c r="A426" s="59"/>
      <c r="B426" s="99"/>
      <c r="C426" s="2"/>
      <c r="D426" s="100"/>
      <c r="E426" s="63"/>
      <c r="F426" s="64"/>
      <c r="G426" s="65"/>
      <c r="H426" s="98"/>
      <c r="I426" s="64"/>
    </row>
    <row r="427" spans="1:9">
      <c r="A427" s="59"/>
      <c r="B427" s="99"/>
      <c r="C427" s="2"/>
      <c r="D427" s="100"/>
      <c r="E427" s="63"/>
      <c r="F427" s="64"/>
      <c r="G427" s="65"/>
      <c r="H427" s="98"/>
      <c r="I427" s="64"/>
    </row>
    <row r="428" spans="1:9">
      <c r="A428" s="59"/>
      <c r="B428" s="99"/>
      <c r="C428" s="2"/>
      <c r="D428" s="100"/>
      <c r="E428" s="63"/>
      <c r="F428" s="64"/>
      <c r="G428" s="65"/>
      <c r="H428" s="98"/>
      <c r="I428" s="64"/>
    </row>
    <row r="429" spans="1:9">
      <c r="A429" s="59"/>
      <c r="B429" s="99"/>
      <c r="C429" s="2"/>
      <c r="D429" s="100"/>
      <c r="E429" s="63"/>
      <c r="F429" s="64"/>
      <c r="G429" s="65"/>
      <c r="H429" s="98"/>
      <c r="I429" s="64"/>
    </row>
    <row r="430" spans="1:9">
      <c r="A430" s="59"/>
      <c r="B430" s="99"/>
      <c r="C430" s="2"/>
      <c r="D430" s="100"/>
      <c r="E430" s="63"/>
      <c r="F430" s="64"/>
      <c r="G430" s="65"/>
      <c r="H430" s="98"/>
      <c r="I430" s="64"/>
    </row>
    <row r="431" spans="1:9">
      <c r="A431" s="59"/>
      <c r="B431" s="99"/>
      <c r="C431" s="2"/>
      <c r="D431" s="100"/>
      <c r="E431" s="63"/>
      <c r="F431" s="64"/>
      <c r="G431" s="65"/>
      <c r="H431" s="98"/>
      <c r="I431" s="64"/>
    </row>
    <row r="432" spans="1:9">
      <c r="A432" s="59"/>
      <c r="B432" s="99"/>
      <c r="C432" s="2"/>
      <c r="D432" s="100"/>
      <c r="E432" s="63"/>
      <c r="F432" s="64"/>
      <c r="G432" s="65"/>
      <c r="H432" s="98"/>
      <c r="I432" s="64"/>
    </row>
    <row r="433" spans="1:9">
      <c r="A433" s="59"/>
      <c r="B433" s="99"/>
      <c r="C433" s="2"/>
      <c r="D433" s="100"/>
      <c r="E433" s="63"/>
      <c r="F433" s="64"/>
      <c r="G433" s="65"/>
      <c r="H433" s="98"/>
      <c r="I433" s="64"/>
    </row>
    <row r="434" spans="1:9">
      <c r="A434" s="59"/>
      <c r="B434" s="99"/>
      <c r="C434" s="2"/>
      <c r="D434" s="100"/>
      <c r="E434" s="63"/>
      <c r="F434" s="64"/>
      <c r="G434" s="65"/>
      <c r="H434" s="98"/>
      <c r="I434" s="64"/>
    </row>
    <row r="435" spans="1:9">
      <c r="A435" s="59"/>
      <c r="B435" s="99"/>
      <c r="C435" s="2"/>
      <c r="D435" s="100"/>
      <c r="E435" s="63"/>
      <c r="F435" s="64"/>
      <c r="G435" s="65"/>
      <c r="H435" s="98"/>
      <c r="I435" s="64"/>
    </row>
  </sheetData>
  <mergeCells count="305">
    <mergeCell ref="A1:A2"/>
    <mergeCell ref="B1:B2"/>
    <mergeCell ref="C1:C2"/>
    <mergeCell ref="D1:D2"/>
    <mergeCell ref="E1:E2"/>
    <mergeCell ref="H1:H2"/>
    <mergeCell ref="O1:O2"/>
    <mergeCell ref="P1:P2"/>
    <mergeCell ref="Q1:Q2"/>
    <mergeCell ref="R1:R2"/>
    <mergeCell ref="S1:S2"/>
    <mergeCell ref="T1:T2"/>
    <mergeCell ref="I1:I2"/>
    <mergeCell ref="J1:J2"/>
    <mergeCell ref="K1:K2"/>
    <mergeCell ref="L1:L2"/>
    <mergeCell ref="M1:M2"/>
    <mergeCell ref="N1:N2"/>
    <mergeCell ref="AA1:AA2"/>
    <mergeCell ref="AB1:AB2"/>
    <mergeCell ref="AC1:AC2"/>
    <mergeCell ref="AD1:AD2"/>
    <mergeCell ref="AE1:AE2"/>
    <mergeCell ref="AF1:AF2"/>
    <mergeCell ref="U1:U2"/>
    <mergeCell ref="V1:V2"/>
    <mergeCell ref="W1:W2"/>
    <mergeCell ref="X1:X2"/>
    <mergeCell ref="Y1:Y2"/>
    <mergeCell ref="Z1:Z2"/>
    <mergeCell ref="AM1:AM2"/>
    <mergeCell ref="AN1:AN2"/>
    <mergeCell ref="AO1:AO2"/>
    <mergeCell ref="AP1:AP2"/>
    <mergeCell ref="AQ1:AQ2"/>
    <mergeCell ref="AR1:AR2"/>
    <mergeCell ref="AG1:AG2"/>
    <mergeCell ref="AH1:AH2"/>
    <mergeCell ref="AI1:AI2"/>
    <mergeCell ref="AJ1:AJ2"/>
    <mergeCell ref="AK1:AK2"/>
    <mergeCell ref="AL1:AL2"/>
    <mergeCell ref="AY1:AY2"/>
    <mergeCell ref="AZ1:AZ2"/>
    <mergeCell ref="BA1:BA2"/>
    <mergeCell ref="BB1:BB2"/>
    <mergeCell ref="BC1:BC2"/>
    <mergeCell ref="BD1:BD2"/>
    <mergeCell ref="AS1:AS2"/>
    <mergeCell ref="AT1:AT2"/>
    <mergeCell ref="AU1:AU2"/>
    <mergeCell ref="AV1:AV2"/>
    <mergeCell ref="AW1:AW2"/>
    <mergeCell ref="AX1:AX2"/>
    <mergeCell ref="BK1:BK2"/>
    <mergeCell ref="BL1:BL2"/>
    <mergeCell ref="BM1:BM2"/>
    <mergeCell ref="BN1:BN2"/>
    <mergeCell ref="BO1:BO2"/>
    <mergeCell ref="BP1:BP2"/>
    <mergeCell ref="BE1:BE2"/>
    <mergeCell ref="BF1:BF2"/>
    <mergeCell ref="BG1:BG2"/>
    <mergeCell ref="BH1:BH2"/>
    <mergeCell ref="BI1:BI2"/>
    <mergeCell ref="BJ1:BJ2"/>
    <mergeCell ref="BW1:BW2"/>
    <mergeCell ref="BX1:BX2"/>
    <mergeCell ref="BY1:BY2"/>
    <mergeCell ref="BZ1:BZ2"/>
    <mergeCell ref="CA1:CA2"/>
    <mergeCell ref="CB1:CB2"/>
    <mergeCell ref="BQ1:BQ2"/>
    <mergeCell ref="BR1:BR2"/>
    <mergeCell ref="BS1:BS2"/>
    <mergeCell ref="BT1:BT2"/>
    <mergeCell ref="BU1:BU2"/>
    <mergeCell ref="BV1:BV2"/>
    <mergeCell ref="CO1:CO2"/>
    <mergeCell ref="ET1:ET2"/>
    <mergeCell ref="CI1:CI2"/>
    <mergeCell ref="CJ1:CJ2"/>
    <mergeCell ref="CK1:CK2"/>
    <mergeCell ref="CL1:CL2"/>
    <mergeCell ref="CM1:CM2"/>
    <mergeCell ref="CN1:CN2"/>
    <mergeCell ref="CC1:CC2"/>
    <mergeCell ref="CD1:CD2"/>
    <mergeCell ref="CE1:CE2"/>
    <mergeCell ref="CF1:CF2"/>
    <mergeCell ref="CG1:CG2"/>
    <mergeCell ref="CH1:CH2"/>
    <mergeCell ref="ER1:ER2"/>
    <mergeCell ref="ES1:ES2"/>
    <mergeCell ref="EP1:EP2"/>
    <mergeCell ref="EQ1:EQ2"/>
    <mergeCell ref="EL1:EL2"/>
    <mergeCell ref="EO1:EO2"/>
    <mergeCell ref="CP1:CP2"/>
    <mergeCell ref="CQ1:CQ2"/>
    <mergeCell ref="CR1:CR2"/>
    <mergeCell ref="CS1:CS2"/>
    <mergeCell ref="AS25:AV25"/>
    <mergeCell ref="G3:G4"/>
    <mergeCell ref="H3:H4"/>
    <mergeCell ref="A3:A4"/>
    <mergeCell ref="B3:B4"/>
    <mergeCell ref="C3:C4"/>
    <mergeCell ref="D3:D4"/>
    <mergeCell ref="E3:E4"/>
    <mergeCell ref="F3:F4"/>
    <mergeCell ref="G5:G6"/>
    <mergeCell ref="H5:H6"/>
    <mergeCell ref="A8:D8"/>
    <mergeCell ref="E11:H11"/>
    <mergeCell ref="I11:L11"/>
    <mergeCell ref="M11:P11"/>
    <mergeCell ref="A5:A6"/>
    <mergeCell ref="B5:B6"/>
    <mergeCell ref="C5:C6"/>
    <mergeCell ref="D5:D6"/>
    <mergeCell ref="E5:E6"/>
    <mergeCell ref="F5:F6"/>
    <mergeCell ref="M22:P22"/>
    <mergeCell ref="Q22:T22"/>
    <mergeCell ref="U22:X22"/>
    <mergeCell ref="AO11:AR11"/>
    <mergeCell ref="AS11:AV11"/>
    <mergeCell ref="AW11:AZ11"/>
    <mergeCell ref="BA11:BD11"/>
    <mergeCell ref="BE11:BH11"/>
    <mergeCell ref="BI11:BL11"/>
    <mergeCell ref="Q11:T11"/>
    <mergeCell ref="U11:X11"/>
    <mergeCell ref="Y11:AB11"/>
    <mergeCell ref="AC11:AF11"/>
    <mergeCell ref="AG11:AJ11"/>
    <mergeCell ref="AK11:AN11"/>
    <mergeCell ref="BM11:BP11"/>
    <mergeCell ref="BQ11:BT11"/>
    <mergeCell ref="BU11:BX11"/>
    <mergeCell ref="BY11:CB11"/>
    <mergeCell ref="CC11:CF11"/>
    <mergeCell ref="BY22:CB22"/>
    <mergeCell ref="CC22:CF22"/>
    <mergeCell ref="CG22:CJ22"/>
    <mergeCell ref="BI22:BL22"/>
    <mergeCell ref="BM22:BP22"/>
    <mergeCell ref="BQ22:BT22"/>
    <mergeCell ref="BU22:BX22"/>
    <mergeCell ref="CG11:CJ11"/>
    <mergeCell ref="E23:H23"/>
    <mergeCell ref="I23:L23"/>
    <mergeCell ref="M23:P23"/>
    <mergeCell ref="Q23:T23"/>
    <mergeCell ref="U23:X23"/>
    <mergeCell ref="Y23:AB23"/>
    <mergeCell ref="AC23:AF23"/>
    <mergeCell ref="BA22:BD22"/>
    <mergeCell ref="BE22:BH22"/>
    <mergeCell ref="AC22:AF22"/>
    <mergeCell ref="AG22:AJ22"/>
    <mergeCell ref="AK22:AN22"/>
    <mergeCell ref="AO22:AR22"/>
    <mergeCell ref="AS22:AV22"/>
    <mergeCell ref="AW22:AZ22"/>
    <mergeCell ref="E22:H22"/>
    <mergeCell ref="I22:L22"/>
    <mergeCell ref="Y22:AB22"/>
    <mergeCell ref="CC23:CF23"/>
    <mergeCell ref="CG23:CJ23"/>
    <mergeCell ref="E25:H25"/>
    <mergeCell ref="I25:L25"/>
    <mergeCell ref="M25:P25"/>
    <mergeCell ref="Q25:T25"/>
    <mergeCell ref="U25:X25"/>
    <mergeCell ref="Y25:AB25"/>
    <mergeCell ref="AC25:AF25"/>
    <mergeCell ref="AG25:AJ25"/>
    <mergeCell ref="BE23:BH23"/>
    <mergeCell ref="BI23:BL23"/>
    <mergeCell ref="BM23:BP23"/>
    <mergeCell ref="BQ23:BT23"/>
    <mergeCell ref="BU23:BX23"/>
    <mergeCell ref="BY23:CB23"/>
    <mergeCell ref="AG23:AJ23"/>
    <mergeCell ref="AK23:AN23"/>
    <mergeCell ref="AO23:AR23"/>
    <mergeCell ref="AS23:AV23"/>
    <mergeCell ref="AW23:AZ23"/>
    <mergeCell ref="BA23:BD23"/>
    <mergeCell ref="AK25:AN25"/>
    <mergeCell ref="AO25:AR25"/>
    <mergeCell ref="BU25:BX25"/>
    <mergeCell ref="BY25:CB25"/>
    <mergeCell ref="CC25:CF25"/>
    <mergeCell ref="CG25:CJ25"/>
    <mergeCell ref="AW25:AZ25"/>
    <mergeCell ref="BA25:BD25"/>
    <mergeCell ref="BE25:BH25"/>
    <mergeCell ref="BI25:BL25"/>
    <mergeCell ref="BM25:BP25"/>
    <mergeCell ref="BQ25:BT25"/>
    <mergeCell ref="CT1:CT2"/>
    <mergeCell ref="CU1:CU2"/>
    <mergeCell ref="CV1:CV2"/>
    <mergeCell ref="CW1:CW2"/>
    <mergeCell ref="CX1:CX2"/>
    <mergeCell ref="CY1:CY2"/>
    <mergeCell ref="CZ1:CZ2"/>
    <mergeCell ref="DA1:DA2"/>
    <mergeCell ref="DB1:DB2"/>
    <mergeCell ref="DC1:DC2"/>
    <mergeCell ref="DD1:DD2"/>
    <mergeCell ref="DE1:DE2"/>
    <mergeCell ref="DF1:DF2"/>
    <mergeCell ref="DG1:DG2"/>
    <mergeCell ref="DH1:DH2"/>
    <mergeCell ref="DI1:DI2"/>
    <mergeCell ref="DJ1:DJ2"/>
    <mergeCell ref="DK1:DK2"/>
    <mergeCell ref="DV1:DV2"/>
    <mergeCell ref="DW1:DW2"/>
    <mergeCell ref="DX1:DX2"/>
    <mergeCell ref="DY1:DY2"/>
    <mergeCell ref="DZ1:DZ2"/>
    <mergeCell ref="EA1:EA2"/>
    <mergeCell ref="EB1:EB2"/>
    <mergeCell ref="EC1:EC2"/>
    <mergeCell ref="DL1:DL2"/>
    <mergeCell ref="DM1:DM2"/>
    <mergeCell ref="DN1:DN2"/>
    <mergeCell ref="DO1:DO2"/>
    <mergeCell ref="DP1:DP2"/>
    <mergeCell ref="DQ1:DQ2"/>
    <mergeCell ref="DR1:DR2"/>
    <mergeCell ref="DS1:DS2"/>
    <mergeCell ref="DT1:DT2"/>
    <mergeCell ref="EN1:EN2"/>
    <mergeCell ref="CK11:CN11"/>
    <mergeCell ref="CO11:CR11"/>
    <mergeCell ref="CS11:CV11"/>
    <mergeCell ref="CW11:CZ11"/>
    <mergeCell ref="DA11:DD11"/>
    <mergeCell ref="DE11:DH11"/>
    <mergeCell ref="DI11:DL11"/>
    <mergeCell ref="DM11:DP11"/>
    <mergeCell ref="DQ11:DT11"/>
    <mergeCell ref="DU11:DX11"/>
    <mergeCell ref="DY11:EB11"/>
    <mergeCell ref="EC11:EF11"/>
    <mergeCell ref="EG11:EJ11"/>
    <mergeCell ref="ED1:ED2"/>
    <mergeCell ref="EE1:EE2"/>
    <mergeCell ref="EF1:EF2"/>
    <mergeCell ref="EG1:EG2"/>
    <mergeCell ref="EH1:EH2"/>
    <mergeCell ref="EI1:EI2"/>
    <mergeCell ref="EJ1:EJ2"/>
    <mergeCell ref="EK1:EK2"/>
    <mergeCell ref="EM1:EM2"/>
    <mergeCell ref="DU1:DU2"/>
    <mergeCell ref="CK22:CN22"/>
    <mergeCell ref="CO22:CR22"/>
    <mergeCell ref="CS22:CV22"/>
    <mergeCell ref="CW22:CZ22"/>
    <mergeCell ref="DA22:DD22"/>
    <mergeCell ref="DE22:DH22"/>
    <mergeCell ref="DI22:DL22"/>
    <mergeCell ref="DM22:DP22"/>
    <mergeCell ref="DQ22:DT22"/>
    <mergeCell ref="DU22:DX22"/>
    <mergeCell ref="DY22:EB22"/>
    <mergeCell ref="EC22:EF22"/>
    <mergeCell ref="EG22:EJ22"/>
    <mergeCell ref="EK11:EN11"/>
    <mergeCell ref="EK22:EN22"/>
    <mergeCell ref="EK23:EN23"/>
    <mergeCell ref="EG23:EJ23"/>
    <mergeCell ref="EC23:EF23"/>
    <mergeCell ref="DY23:EB23"/>
    <mergeCell ref="DU23:DX23"/>
    <mergeCell ref="DQ23:DT23"/>
    <mergeCell ref="DM23:DP23"/>
    <mergeCell ref="DI23:DL23"/>
    <mergeCell ref="DE23:DH23"/>
    <mergeCell ref="DA23:DD23"/>
    <mergeCell ref="CW23:CZ23"/>
    <mergeCell ref="CS23:CV23"/>
    <mergeCell ref="CO23:CR23"/>
    <mergeCell ref="CK23:CN23"/>
    <mergeCell ref="DU25:DX25"/>
    <mergeCell ref="DY25:EB25"/>
    <mergeCell ref="EC25:EF25"/>
    <mergeCell ref="EG25:EJ25"/>
    <mergeCell ref="EK25:EN25"/>
    <mergeCell ref="CK25:CN25"/>
    <mergeCell ref="CO25:CR25"/>
    <mergeCell ref="CS25:CV25"/>
    <mergeCell ref="CW25:CZ25"/>
    <mergeCell ref="DA25:DD25"/>
    <mergeCell ref="DE25:DH25"/>
    <mergeCell ref="DI25:DL25"/>
    <mergeCell ref="DM25:DP25"/>
    <mergeCell ref="DQ25:DT25"/>
  </mergeCells>
  <phoneticPr fontId="3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JH508"/>
  <sheetViews>
    <sheetView workbookViewId="0">
      <pane xSplit="5" ySplit="21" topLeftCell="EK93" activePane="bottomRight" state="frozen"/>
      <selection pane="topRight" activeCell="F1" sqref="F1"/>
      <selection pane="bottomLeft" activeCell="A22" sqref="A22"/>
      <selection pane="bottomRight" activeCell="D98" sqref="D98"/>
    </sheetView>
  </sheetViews>
  <sheetFormatPr defaultColWidth="9" defaultRowHeight="12" outlineLevelCol="1"/>
  <cols>
    <col min="1" max="1" width="5" style="71" customWidth="1"/>
    <col min="2" max="2" width="15" style="199" customWidth="1"/>
    <col min="3" max="3" width="30.5" style="34" customWidth="1"/>
    <col min="4" max="4" width="17" style="175" customWidth="1"/>
    <col min="5" max="5" width="10.5" style="176" customWidth="1" outlineLevel="1"/>
    <col min="6" max="6" width="9.75" style="177" customWidth="1"/>
    <col min="7" max="7" width="10.375" style="178" customWidth="1"/>
    <col min="8" max="8" width="13.375" style="363" customWidth="1"/>
    <col min="9" max="9" width="12.375" style="177" customWidth="1"/>
    <col min="10" max="10" width="13.75" style="86" customWidth="1"/>
    <col min="11" max="11" width="13.75" style="72" customWidth="1"/>
    <col min="12" max="12" width="12.875" style="72" customWidth="1"/>
    <col min="13" max="16" width="13.75" style="72" bestFit="1" customWidth="1"/>
    <col min="17" max="149" width="11.625" style="72" customWidth="1"/>
    <col min="150" max="150" width="14.375" style="72" customWidth="1"/>
    <col min="151" max="151" width="24" style="72" customWidth="1"/>
    <col min="152" max="152" width="9" style="72" customWidth="1"/>
    <col min="153" max="153" width="11.75" style="72" customWidth="1"/>
    <col min="154" max="154" width="8.875" style="72" customWidth="1"/>
    <col min="155" max="155" width="12.375" style="72" customWidth="1"/>
    <col min="156" max="156" width="13" style="72" customWidth="1"/>
    <col min="157" max="157" width="12.375" style="72" customWidth="1"/>
    <col min="158" max="158" width="12.25" style="72" customWidth="1"/>
    <col min="159" max="159" width="12.125" style="72" customWidth="1"/>
    <col min="160" max="160" width="11.625" style="72" customWidth="1"/>
    <col min="161" max="161" width="12" style="72" customWidth="1"/>
    <col min="162" max="162" width="13" style="72" customWidth="1"/>
    <col min="163" max="163" width="11.625" style="72" customWidth="1"/>
    <col min="164" max="165" width="12" style="72" customWidth="1"/>
    <col min="166" max="168" width="11.625" style="72" customWidth="1"/>
    <col min="169" max="169" width="11.125" style="72" customWidth="1"/>
    <col min="170" max="170" width="12" style="72" customWidth="1"/>
    <col min="171" max="171" width="13" style="72" customWidth="1"/>
    <col min="172" max="172" width="13.625" style="72" customWidth="1"/>
    <col min="173" max="173" width="11.875" style="72" customWidth="1"/>
    <col min="174" max="175" width="11.625" style="72" customWidth="1"/>
    <col min="176" max="176" width="12" style="72" customWidth="1"/>
    <col min="177" max="177" width="12.75" style="72" customWidth="1"/>
    <col min="178" max="178" width="11.625" style="72" customWidth="1"/>
    <col min="179" max="179" width="12.125" style="72" customWidth="1"/>
    <col min="180" max="181" width="11.625" style="72" customWidth="1"/>
    <col min="182" max="182" width="12.5" style="72" customWidth="1"/>
    <col min="183" max="357" width="11.625" style="72" customWidth="1"/>
    <col min="358" max="358" width="17.75" style="72" customWidth="1"/>
    <col min="359" max="360" width="9" style="72" customWidth="1"/>
    <col min="361" max="361" width="16.25" style="72" customWidth="1"/>
    <col min="362" max="362" width="24" style="72" customWidth="1"/>
    <col min="363" max="363" width="9" style="72"/>
    <col min="364" max="364" width="11.75" style="72" customWidth="1"/>
    <col min="365" max="365" width="8.875" style="72" customWidth="1"/>
    <col min="366" max="366" width="17.375" style="72" customWidth="1"/>
    <col min="367" max="367" width="13.25" style="72" customWidth="1"/>
    <col min="368" max="368" width="25.75" style="72" customWidth="1"/>
    <col min="369" max="369" width="11.125" style="72" customWidth="1"/>
    <col min="370" max="370" width="10.75" style="72" customWidth="1"/>
    <col min="371" max="371" width="9" style="72" customWidth="1"/>
    <col min="372" max="372" width="9.75" style="72" customWidth="1"/>
    <col min="373" max="373" width="7.5" style="72" customWidth="1"/>
    <col min="374" max="374" width="13.25" style="72" customWidth="1"/>
    <col min="375" max="375" width="11.75" style="72" customWidth="1"/>
    <col min="376" max="376" width="8.875" style="72" customWidth="1"/>
    <col min="377" max="377" width="9.625" style="72" customWidth="1"/>
    <col min="378" max="379" width="11.875" style="72" customWidth="1"/>
    <col min="380" max="380" width="11.5" style="72" customWidth="1"/>
    <col min="381" max="396" width="12.25" style="72" customWidth="1"/>
    <col min="397" max="397" width="13" style="72" customWidth="1"/>
    <col min="398" max="402" width="12.375" style="72" customWidth="1"/>
    <col min="403" max="403" width="13" style="72" customWidth="1"/>
    <col min="404" max="405" width="12.375" style="72" customWidth="1"/>
    <col min="406" max="406" width="13" style="72" customWidth="1"/>
    <col min="407" max="407" width="13.125" style="72" customWidth="1"/>
    <col min="408" max="408" width="13" style="72" customWidth="1"/>
    <col min="409" max="409" width="13.125" style="72" customWidth="1"/>
    <col min="410" max="411" width="12.375" style="72" customWidth="1"/>
    <col min="412" max="412" width="13" style="72" customWidth="1"/>
    <col min="413" max="413" width="12.375" style="72" customWidth="1"/>
    <col min="414" max="414" width="12.25" style="72" customWidth="1"/>
    <col min="415" max="415" width="12.125" style="72" customWidth="1"/>
    <col min="416" max="416" width="11.625" style="72" customWidth="1"/>
    <col min="417" max="417" width="12" style="72" customWidth="1"/>
    <col min="418" max="418" width="13" style="72" customWidth="1"/>
    <col min="419" max="419" width="11.625" style="72" customWidth="1"/>
    <col min="420" max="421" width="12" style="72" customWidth="1"/>
    <col min="422" max="424" width="11.625" style="72" customWidth="1"/>
    <col min="425" max="425" width="11.125" style="72" customWidth="1"/>
    <col min="426" max="426" width="12" style="72" customWidth="1"/>
    <col min="427" max="427" width="13" style="72" customWidth="1"/>
    <col min="428" max="428" width="13.625" style="72" customWidth="1"/>
    <col min="429" max="429" width="11.875" style="72" customWidth="1"/>
    <col min="430" max="431" width="11.625" style="72" customWidth="1"/>
    <col min="432" max="432" width="12" style="72" customWidth="1"/>
    <col min="433" max="433" width="12.75" style="72" customWidth="1"/>
    <col min="434" max="434" width="11.625" style="72" customWidth="1"/>
    <col min="435" max="435" width="12.125" style="72" customWidth="1"/>
    <col min="436" max="437" width="11.625" style="72" customWidth="1"/>
    <col min="438" max="438" width="12.5" style="72" customWidth="1"/>
    <col min="439" max="613" width="11.625" style="72" customWidth="1"/>
    <col min="614" max="614" width="17.75" style="72" customWidth="1"/>
    <col min="615" max="616" width="9" style="72" customWidth="1"/>
    <col min="617" max="617" width="16.25" style="72" customWidth="1"/>
    <col min="618" max="618" width="24" style="72" customWidth="1"/>
    <col min="619" max="619" width="9" style="72"/>
    <col min="620" max="620" width="11.75" style="72" customWidth="1"/>
    <col min="621" max="621" width="8.875" style="72" customWidth="1"/>
    <col min="622" max="622" width="17.375" style="72" customWidth="1"/>
    <col min="623" max="623" width="13.25" style="72" customWidth="1"/>
    <col min="624" max="624" width="25.75" style="72" customWidth="1"/>
    <col min="625" max="625" width="11.125" style="72" customWidth="1"/>
    <col min="626" max="626" width="10.75" style="72" customWidth="1"/>
    <col min="627" max="627" width="9" style="72" customWidth="1"/>
    <col min="628" max="628" width="9.75" style="72" customWidth="1"/>
    <col min="629" max="629" width="7.5" style="72" customWidth="1"/>
    <col min="630" max="630" width="13.25" style="72" customWidth="1"/>
    <col min="631" max="631" width="11.75" style="72" customWidth="1"/>
    <col min="632" max="632" width="8.875" style="72" customWidth="1"/>
    <col min="633" max="633" width="9.625" style="72" customWidth="1"/>
    <col min="634" max="635" width="11.875" style="72" customWidth="1"/>
    <col min="636" max="636" width="11.5" style="72" customWidth="1"/>
    <col min="637" max="652" width="12.25" style="72" customWidth="1"/>
    <col min="653" max="653" width="13" style="72" customWidth="1"/>
    <col min="654" max="658" width="12.375" style="72" customWidth="1"/>
    <col min="659" max="659" width="13" style="72" customWidth="1"/>
    <col min="660" max="661" width="12.375" style="72" customWidth="1"/>
    <col min="662" max="662" width="13" style="72" customWidth="1"/>
    <col min="663" max="663" width="13.125" style="72" customWidth="1"/>
    <col min="664" max="664" width="13" style="72" customWidth="1"/>
    <col min="665" max="665" width="13.125" style="72" customWidth="1"/>
    <col min="666" max="667" width="12.375" style="72" customWidth="1"/>
    <col min="668" max="668" width="13" style="72" customWidth="1"/>
    <col min="669" max="669" width="12.375" style="72" customWidth="1"/>
    <col min="670" max="670" width="12.25" style="72" customWidth="1"/>
    <col min="671" max="671" width="12.125" style="72" customWidth="1"/>
    <col min="672" max="672" width="11.625" style="72" customWidth="1"/>
    <col min="673" max="673" width="12" style="72" customWidth="1"/>
    <col min="674" max="674" width="13" style="72" customWidth="1"/>
    <col min="675" max="675" width="11.625" style="72" customWidth="1"/>
    <col min="676" max="677" width="12" style="72" customWidth="1"/>
    <col min="678" max="680" width="11.625" style="72" customWidth="1"/>
    <col min="681" max="681" width="11.125" style="72" customWidth="1"/>
    <col min="682" max="682" width="12" style="72" customWidth="1"/>
    <col min="683" max="683" width="13" style="72" customWidth="1"/>
    <col min="684" max="684" width="13.625" style="72" customWidth="1"/>
    <col min="685" max="685" width="11.875" style="72" customWidth="1"/>
    <col min="686" max="687" width="11.625" style="72" customWidth="1"/>
    <col min="688" max="688" width="12" style="72" customWidth="1"/>
    <col min="689" max="689" width="12.75" style="72" customWidth="1"/>
    <col min="690" max="690" width="11.625" style="72" customWidth="1"/>
    <col min="691" max="691" width="12.125" style="72" customWidth="1"/>
    <col min="692" max="693" width="11.625" style="72" customWidth="1"/>
    <col min="694" max="694" width="12.5" style="72" customWidth="1"/>
    <col min="695" max="869" width="11.625" style="72" customWidth="1"/>
    <col min="870" max="870" width="17.75" style="72" customWidth="1"/>
    <col min="871" max="872" width="9" style="72" customWidth="1"/>
    <col min="873" max="873" width="16.25" style="72" customWidth="1"/>
    <col min="874" max="874" width="24" style="72" customWidth="1"/>
    <col min="875" max="875" width="9" style="72"/>
    <col min="876" max="876" width="11.75" style="72" customWidth="1"/>
    <col min="877" max="877" width="8.875" style="72" customWidth="1"/>
    <col min="878" max="878" width="17.375" style="72" customWidth="1"/>
    <col min="879" max="879" width="13.25" style="72" customWidth="1"/>
    <col min="880" max="880" width="25.75" style="72" customWidth="1"/>
    <col min="881" max="881" width="11.125" style="72" customWidth="1"/>
    <col min="882" max="882" width="10.75" style="72" customWidth="1"/>
    <col min="883" max="883" width="9" style="72" customWidth="1"/>
    <col min="884" max="884" width="9.75" style="72" customWidth="1"/>
    <col min="885" max="885" width="7.5" style="72" customWidth="1"/>
    <col min="886" max="886" width="13.25" style="72" customWidth="1"/>
    <col min="887" max="887" width="11.75" style="72" customWidth="1"/>
    <col min="888" max="888" width="8.875" style="72" customWidth="1"/>
    <col min="889" max="889" width="9.625" style="72" customWidth="1"/>
    <col min="890" max="891" width="11.875" style="72" customWidth="1"/>
    <col min="892" max="892" width="11.5" style="72" customWidth="1"/>
    <col min="893" max="908" width="12.25" style="72" customWidth="1"/>
    <col min="909" max="909" width="13" style="72" customWidth="1"/>
    <col min="910" max="914" width="12.375" style="72" customWidth="1"/>
    <col min="915" max="915" width="13" style="72" customWidth="1"/>
    <col min="916" max="917" width="12.375" style="72" customWidth="1"/>
    <col min="918" max="918" width="13" style="72" customWidth="1"/>
    <col min="919" max="919" width="13.125" style="72" customWidth="1"/>
    <col min="920" max="920" width="13" style="72" customWidth="1"/>
    <col min="921" max="921" width="13.125" style="72" customWidth="1"/>
    <col min="922" max="923" width="12.375" style="72" customWidth="1"/>
    <col min="924" max="924" width="13" style="72" customWidth="1"/>
    <col min="925" max="925" width="12.375" style="72" customWidth="1"/>
    <col min="926" max="926" width="12.25" style="72" customWidth="1"/>
    <col min="927" max="927" width="12.125" style="72" customWidth="1"/>
    <col min="928" max="928" width="11.625" style="72" customWidth="1"/>
    <col min="929" max="929" width="12" style="72" customWidth="1"/>
    <col min="930" max="930" width="13" style="72" customWidth="1"/>
    <col min="931" max="931" width="11.625" style="72" customWidth="1"/>
    <col min="932" max="933" width="12" style="72" customWidth="1"/>
    <col min="934" max="936" width="11.625" style="72" customWidth="1"/>
    <col min="937" max="937" width="11.125" style="72" customWidth="1"/>
    <col min="938" max="938" width="12" style="72" customWidth="1"/>
    <col min="939" max="939" width="13" style="72" customWidth="1"/>
    <col min="940" max="940" width="13.625" style="72" customWidth="1"/>
    <col min="941" max="941" width="11.875" style="72" customWidth="1"/>
    <col min="942" max="943" width="11.625" style="72" customWidth="1"/>
    <col min="944" max="944" width="12" style="72" customWidth="1"/>
    <col min="945" max="945" width="12.75" style="72" customWidth="1"/>
    <col min="946" max="946" width="11.625" style="72" customWidth="1"/>
    <col min="947" max="947" width="12.125" style="72" customWidth="1"/>
    <col min="948" max="949" width="11.625" style="72" customWidth="1"/>
    <col min="950" max="950" width="12.5" style="72" customWidth="1"/>
    <col min="951" max="1125" width="11.625" style="72" customWidth="1"/>
    <col min="1126" max="1126" width="17.75" style="72" customWidth="1"/>
    <col min="1127" max="1128" width="9" style="72" customWidth="1"/>
    <col min="1129" max="1129" width="16.25" style="72" customWidth="1"/>
    <col min="1130" max="1130" width="24" style="72" customWidth="1"/>
    <col min="1131" max="1131" width="9" style="72"/>
    <col min="1132" max="1132" width="11.75" style="72" customWidth="1"/>
    <col min="1133" max="1133" width="8.875" style="72" customWidth="1"/>
    <col min="1134" max="1134" width="17.375" style="72" customWidth="1"/>
    <col min="1135" max="1135" width="13.25" style="72" customWidth="1"/>
    <col min="1136" max="1136" width="25.75" style="72" customWidth="1"/>
    <col min="1137" max="1137" width="11.125" style="72" customWidth="1"/>
    <col min="1138" max="1138" width="10.75" style="72" customWidth="1"/>
    <col min="1139" max="1139" width="9" style="72" customWidth="1"/>
    <col min="1140" max="1140" width="9.75" style="72" customWidth="1"/>
    <col min="1141" max="1141" width="7.5" style="72" customWidth="1"/>
    <col min="1142" max="1142" width="13.25" style="72" customWidth="1"/>
    <col min="1143" max="1143" width="11.75" style="72" customWidth="1"/>
    <col min="1144" max="1144" width="8.875" style="72" customWidth="1"/>
    <col min="1145" max="1145" width="9.625" style="72" customWidth="1"/>
    <col min="1146" max="1147" width="11.875" style="72" customWidth="1"/>
    <col min="1148" max="1148" width="11.5" style="72" customWidth="1"/>
    <col min="1149" max="1164" width="12.25" style="72" customWidth="1"/>
    <col min="1165" max="1165" width="13" style="72" customWidth="1"/>
    <col min="1166" max="1170" width="12.375" style="72" customWidth="1"/>
    <col min="1171" max="1171" width="13" style="72" customWidth="1"/>
    <col min="1172" max="1173" width="12.375" style="72" customWidth="1"/>
    <col min="1174" max="1174" width="13" style="72" customWidth="1"/>
    <col min="1175" max="1175" width="13.125" style="72" customWidth="1"/>
    <col min="1176" max="1176" width="13" style="72" customWidth="1"/>
    <col min="1177" max="1177" width="13.125" style="72" customWidth="1"/>
    <col min="1178" max="1179" width="12.375" style="72" customWidth="1"/>
    <col min="1180" max="1180" width="13" style="72" customWidth="1"/>
    <col min="1181" max="1181" width="12.375" style="72" customWidth="1"/>
    <col min="1182" max="1182" width="12.25" style="72" customWidth="1"/>
    <col min="1183" max="1183" width="12.125" style="72" customWidth="1"/>
    <col min="1184" max="1184" width="11.625" style="72" customWidth="1"/>
    <col min="1185" max="1185" width="12" style="72" customWidth="1"/>
    <col min="1186" max="1186" width="13" style="72" customWidth="1"/>
    <col min="1187" max="1187" width="11.625" style="72" customWidth="1"/>
    <col min="1188" max="1189" width="12" style="72" customWidth="1"/>
    <col min="1190" max="1192" width="11.625" style="72" customWidth="1"/>
    <col min="1193" max="1193" width="11.125" style="72" customWidth="1"/>
    <col min="1194" max="1194" width="12" style="72" customWidth="1"/>
    <col min="1195" max="1195" width="13" style="72" customWidth="1"/>
    <col min="1196" max="1196" width="13.625" style="72" customWidth="1"/>
    <col min="1197" max="1197" width="11.875" style="72" customWidth="1"/>
    <col min="1198" max="1199" width="11.625" style="72" customWidth="1"/>
    <col min="1200" max="1200" width="12" style="72" customWidth="1"/>
    <col min="1201" max="1201" width="12.75" style="72" customWidth="1"/>
    <col min="1202" max="1202" width="11.625" style="72" customWidth="1"/>
    <col min="1203" max="1203" width="12.125" style="72" customWidth="1"/>
    <col min="1204" max="1205" width="11.625" style="72" customWidth="1"/>
    <col min="1206" max="1206" width="12.5" style="72" customWidth="1"/>
    <col min="1207" max="1381" width="11.625" style="72" customWidth="1"/>
    <col min="1382" max="1382" width="17.75" style="72" customWidth="1"/>
    <col min="1383" max="1384" width="9" style="72" customWidth="1"/>
    <col min="1385" max="1385" width="16.25" style="72" customWidth="1"/>
    <col min="1386" max="1386" width="24" style="72" customWidth="1"/>
    <col min="1387" max="1387" width="9" style="72"/>
    <col min="1388" max="1388" width="11.75" style="72" customWidth="1"/>
    <col min="1389" max="1389" width="8.875" style="72" customWidth="1"/>
    <col min="1390" max="1390" width="17.375" style="72" customWidth="1"/>
    <col min="1391" max="1391" width="13.25" style="72" customWidth="1"/>
    <col min="1392" max="1392" width="25.75" style="72" customWidth="1"/>
    <col min="1393" max="1393" width="11.125" style="72" customWidth="1"/>
    <col min="1394" max="1394" width="10.75" style="72" customWidth="1"/>
    <col min="1395" max="1395" width="9" style="72" customWidth="1"/>
    <col min="1396" max="1396" width="9.75" style="72" customWidth="1"/>
    <col min="1397" max="1397" width="7.5" style="72" customWidth="1"/>
    <col min="1398" max="1398" width="13.25" style="72" customWidth="1"/>
    <col min="1399" max="1399" width="11.75" style="72" customWidth="1"/>
    <col min="1400" max="1400" width="8.875" style="72" customWidth="1"/>
    <col min="1401" max="1401" width="9.625" style="72" customWidth="1"/>
    <col min="1402" max="1403" width="11.875" style="72" customWidth="1"/>
    <col min="1404" max="1404" width="11.5" style="72" customWidth="1"/>
    <col min="1405" max="1420" width="12.25" style="72" customWidth="1"/>
    <col min="1421" max="1421" width="13" style="72" customWidth="1"/>
    <col min="1422" max="1426" width="12.375" style="72" customWidth="1"/>
    <col min="1427" max="1427" width="13" style="72" customWidth="1"/>
    <col min="1428" max="1429" width="12.375" style="72" customWidth="1"/>
    <col min="1430" max="1430" width="13" style="72" customWidth="1"/>
    <col min="1431" max="1431" width="13.125" style="72" customWidth="1"/>
    <col min="1432" max="1432" width="13" style="72" customWidth="1"/>
    <col min="1433" max="1433" width="13.125" style="72" customWidth="1"/>
    <col min="1434" max="1435" width="12.375" style="72" customWidth="1"/>
    <col min="1436" max="1436" width="13" style="72" customWidth="1"/>
    <col min="1437" max="1437" width="12.375" style="72" customWidth="1"/>
    <col min="1438" max="1438" width="12.25" style="72" customWidth="1"/>
    <col min="1439" max="1439" width="12.125" style="72" customWidth="1"/>
    <col min="1440" max="1440" width="11.625" style="72" customWidth="1"/>
    <col min="1441" max="1441" width="12" style="72" customWidth="1"/>
    <col min="1442" max="1442" width="13" style="72" customWidth="1"/>
    <col min="1443" max="1443" width="11.625" style="72" customWidth="1"/>
    <col min="1444" max="1445" width="12" style="72" customWidth="1"/>
    <col min="1446" max="1448" width="11.625" style="72" customWidth="1"/>
    <col min="1449" max="1449" width="11.125" style="72" customWidth="1"/>
    <col min="1450" max="1450" width="12" style="72" customWidth="1"/>
    <col min="1451" max="1451" width="13" style="72" customWidth="1"/>
    <col min="1452" max="1452" width="13.625" style="72" customWidth="1"/>
    <col min="1453" max="1453" width="11.875" style="72" customWidth="1"/>
    <col min="1454" max="1455" width="11.625" style="72" customWidth="1"/>
    <col min="1456" max="1456" width="12" style="72" customWidth="1"/>
    <col min="1457" max="1457" width="12.75" style="72" customWidth="1"/>
    <col min="1458" max="1458" width="11.625" style="72" customWidth="1"/>
    <col min="1459" max="1459" width="12.125" style="72" customWidth="1"/>
    <col min="1460" max="1461" width="11.625" style="72" customWidth="1"/>
    <col min="1462" max="1462" width="12.5" style="72" customWidth="1"/>
    <col min="1463" max="1637" width="11.625" style="72" customWidth="1"/>
    <col min="1638" max="1638" width="17.75" style="72" customWidth="1"/>
    <col min="1639" max="1640" width="9" style="72" customWidth="1"/>
    <col min="1641" max="1641" width="16.25" style="72" customWidth="1"/>
    <col min="1642" max="1642" width="24" style="72" customWidth="1"/>
    <col min="1643" max="1643" width="9" style="72"/>
    <col min="1644" max="1644" width="11.75" style="72" customWidth="1"/>
    <col min="1645" max="1645" width="8.875" style="72" customWidth="1"/>
    <col min="1646" max="1646" width="17.375" style="72" customWidth="1"/>
    <col min="1647" max="1647" width="13.25" style="72" customWidth="1"/>
    <col min="1648" max="1648" width="25.75" style="72" customWidth="1"/>
    <col min="1649" max="1649" width="11.125" style="72" customWidth="1"/>
    <col min="1650" max="1650" width="10.75" style="72" customWidth="1"/>
    <col min="1651" max="1651" width="9" style="72" customWidth="1"/>
    <col min="1652" max="1652" width="9.75" style="72" customWidth="1"/>
    <col min="1653" max="1653" width="7.5" style="72" customWidth="1"/>
    <col min="1654" max="1654" width="13.25" style="72" customWidth="1"/>
    <col min="1655" max="1655" width="11.75" style="72" customWidth="1"/>
    <col min="1656" max="1656" width="8.875" style="72" customWidth="1"/>
    <col min="1657" max="1657" width="9.625" style="72" customWidth="1"/>
    <col min="1658" max="1659" width="11.875" style="72" customWidth="1"/>
    <col min="1660" max="1660" width="11.5" style="72" customWidth="1"/>
    <col min="1661" max="1676" width="12.25" style="72" customWidth="1"/>
    <col min="1677" max="1677" width="13" style="72" customWidth="1"/>
    <col min="1678" max="1682" width="12.375" style="72" customWidth="1"/>
    <col min="1683" max="1683" width="13" style="72" customWidth="1"/>
    <col min="1684" max="1685" width="12.375" style="72" customWidth="1"/>
    <col min="1686" max="1686" width="13" style="72" customWidth="1"/>
    <col min="1687" max="1687" width="13.125" style="72" customWidth="1"/>
    <col min="1688" max="1688" width="13" style="72" customWidth="1"/>
    <col min="1689" max="1689" width="13.125" style="72" customWidth="1"/>
    <col min="1690" max="1691" width="12.375" style="72" customWidth="1"/>
    <col min="1692" max="1692" width="13" style="72" customWidth="1"/>
    <col min="1693" max="1693" width="12.375" style="72" customWidth="1"/>
    <col min="1694" max="1694" width="12.25" style="72" customWidth="1"/>
    <col min="1695" max="1695" width="12.125" style="72" customWidth="1"/>
    <col min="1696" max="1696" width="11.625" style="72" customWidth="1"/>
    <col min="1697" max="1697" width="12" style="72" customWidth="1"/>
    <col min="1698" max="1698" width="13" style="72" customWidth="1"/>
    <col min="1699" max="1699" width="11.625" style="72" customWidth="1"/>
    <col min="1700" max="1701" width="12" style="72" customWidth="1"/>
    <col min="1702" max="1704" width="11.625" style="72" customWidth="1"/>
    <col min="1705" max="1705" width="11.125" style="72" customWidth="1"/>
    <col min="1706" max="1706" width="12" style="72" customWidth="1"/>
    <col min="1707" max="1707" width="13" style="72" customWidth="1"/>
    <col min="1708" max="1708" width="13.625" style="72" customWidth="1"/>
    <col min="1709" max="1709" width="11.875" style="72" customWidth="1"/>
    <col min="1710" max="1711" width="11.625" style="72" customWidth="1"/>
    <col min="1712" max="1712" width="12" style="72" customWidth="1"/>
    <col min="1713" max="1713" width="12.75" style="72" customWidth="1"/>
    <col min="1714" max="1714" width="11.625" style="72" customWidth="1"/>
    <col min="1715" max="1715" width="12.125" style="72" customWidth="1"/>
    <col min="1716" max="1717" width="11.625" style="72" customWidth="1"/>
    <col min="1718" max="1718" width="12.5" style="72" customWidth="1"/>
    <col min="1719" max="1893" width="11.625" style="72" customWidth="1"/>
    <col min="1894" max="1894" width="17.75" style="72" customWidth="1"/>
    <col min="1895" max="1896" width="9" style="72" customWidth="1"/>
    <col min="1897" max="1897" width="16.25" style="72" customWidth="1"/>
    <col min="1898" max="1898" width="24" style="72" customWidth="1"/>
    <col min="1899" max="1899" width="9" style="72"/>
    <col min="1900" max="1900" width="11.75" style="72" customWidth="1"/>
    <col min="1901" max="1901" width="8.875" style="72" customWidth="1"/>
    <col min="1902" max="1902" width="17.375" style="72" customWidth="1"/>
    <col min="1903" max="1903" width="13.25" style="72" customWidth="1"/>
    <col min="1904" max="1904" width="25.75" style="72" customWidth="1"/>
    <col min="1905" max="1905" width="11.125" style="72" customWidth="1"/>
    <col min="1906" max="1906" width="10.75" style="72" customWidth="1"/>
    <col min="1907" max="1907" width="9" style="72" customWidth="1"/>
    <col min="1908" max="1908" width="9.75" style="72" customWidth="1"/>
    <col min="1909" max="1909" width="7.5" style="72" customWidth="1"/>
    <col min="1910" max="1910" width="13.25" style="72" customWidth="1"/>
    <col min="1911" max="1911" width="11.75" style="72" customWidth="1"/>
    <col min="1912" max="1912" width="8.875" style="72" customWidth="1"/>
    <col min="1913" max="1913" width="9.625" style="72" customWidth="1"/>
    <col min="1914" max="1915" width="11.875" style="72" customWidth="1"/>
    <col min="1916" max="1916" width="11.5" style="72" customWidth="1"/>
    <col min="1917" max="1932" width="12.25" style="72" customWidth="1"/>
    <col min="1933" max="1933" width="13" style="72" customWidth="1"/>
    <col min="1934" max="1938" width="12.375" style="72" customWidth="1"/>
    <col min="1939" max="1939" width="13" style="72" customWidth="1"/>
    <col min="1940" max="1941" width="12.375" style="72" customWidth="1"/>
    <col min="1942" max="1942" width="13" style="72" customWidth="1"/>
    <col min="1943" max="1943" width="13.125" style="72" customWidth="1"/>
    <col min="1944" max="1944" width="13" style="72" customWidth="1"/>
    <col min="1945" max="1945" width="13.125" style="72" customWidth="1"/>
    <col min="1946" max="1947" width="12.375" style="72" customWidth="1"/>
    <col min="1948" max="1948" width="13" style="72" customWidth="1"/>
    <col min="1949" max="1949" width="12.375" style="72" customWidth="1"/>
    <col min="1950" max="1950" width="12.25" style="72" customWidth="1"/>
    <col min="1951" max="1951" width="12.125" style="72" customWidth="1"/>
    <col min="1952" max="1952" width="11.625" style="72" customWidth="1"/>
    <col min="1953" max="1953" width="12" style="72" customWidth="1"/>
    <col min="1954" max="1954" width="13" style="72" customWidth="1"/>
    <col min="1955" max="1955" width="11.625" style="72" customWidth="1"/>
    <col min="1956" max="1957" width="12" style="72" customWidth="1"/>
    <col min="1958" max="1960" width="11.625" style="72" customWidth="1"/>
    <col min="1961" max="1961" width="11.125" style="72" customWidth="1"/>
    <col min="1962" max="1962" width="12" style="72" customWidth="1"/>
    <col min="1963" max="1963" width="13" style="72" customWidth="1"/>
    <col min="1964" max="1964" width="13.625" style="72" customWidth="1"/>
    <col min="1965" max="1965" width="11.875" style="72" customWidth="1"/>
    <col min="1966" max="1967" width="11.625" style="72" customWidth="1"/>
    <col min="1968" max="1968" width="12" style="72" customWidth="1"/>
    <col min="1969" max="1969" width="12.75" style="72" customWidth="1"/>
    <col min="1970" max="1970" width="11.625" style="72" customWidth="1"/>
    <col min="1971" max="1971" width="12.125" style="72" customWidth="1"/>
    <col min="1972" max="1973" width="11.625" style="72" customWidth="1"/>
    <col min="1974" max="1974" width="12.5" style="72" customWidth="1"/>
    <col min="1975" max="2149" width="11.625" style="72" customWidth="1"/>
    <col min="2150" max="2150" width="17.75" style="72" customWidth="1"/>
    <col min="2151" max="2152" width="9" style="72" customWidth="1"/>
    <col min="2153" max="2153" width="16.25" style="72" customWidth="1"/>
    <col min="2154" max="2154" width="24" style="72" customWidth="1"/>
    <col min="2155" max="2155" width="9" style="72"/>
    <col min="2156" max="2156" width="11.75" style="72" customWidth="1"/>
    <col min="2157" max="2157" width="8.875" style="72" customWidth="1"/>
    <col min="2158" max="2158" width="17.375" style="72" customWidth="1"/>
    <col min="2159" max="2159" width="13.25" style="72" customWidth="1"/>
    <col min="2160" max="2160" width="25.75" style="72" customWidth="1"/>
    <col min="2161" max="2161" width="11.125" style="72" customWidth="1"/>
    <col min="2162" max="2162" width="10.75" style="72" customWidth="1"/>
    <col min="2163" max="2163" width="9" style="72" customWidth="1"/>
    <col min="2164" max="2164" width="9.75" style="72" customWidth="1"/>
    <col min="2165" max="2165" width="7.5" style="72" customWidth="1"/>
    <col min="2166" max="2166" width="13.25" style="72" customWidth="1"/>
    <col min="2167" max="2167" width="11.75" style="72" customWidth="1"/>
    <col min="2168" max="2168" width="8.875" style="72" customWidth="1"/>
    <col min="2169" max="2169" width="9.625" style="72" customWidth="1"/>
    <col min="2170" max="2171" width="11.875" style="72" customWidth="1"/>
    <col min="2172" max="2172" width="11.5" style="72" customWidth="1"/>
    <col min="2173" max="2188" width="12.25" style="72" customWidth="1"/>
    <col min="2189" max="2189" width="13" style="72" customWidth="1"/>
    <col min="2190" max="2194" width="12.375" style="72" customWidth="1"/>
    <col min="2195" max="2195" width="13" style="72" customWidth="1"/>
    <col min="2196" max="2197" width="12.375" style="72" customWidth="1"/>
    <col min="2198" max="2198" width="13" style="72" customWidth="1"/>
    <col min="2199" max="2199" width="13.125" style="72" customWidth="1"/>
    <col min="2200" max="2200" width="13" style="72" customWidth="1"/>
    <col min="2201" max="2201" width="13.125" style="72" customWidth="1"/>
    <col min="2202" max="2203" width="12.375" style="72" customWidth="1"/>
    <col min="2204" max="2204" width="13" style="72" customWidth="1"/>
    <col min="2205" max="2205" width="12.375" style="72" customWidth="1"/>
    <col min="2206" max="2206" width="12.25" style="72" customWidth="1"/>
    <col min="2207" max="2207" width="12.125" style="72" customWidth="1"/>
    <col min="2208" max="2208" width="11.625" style="72" customWidth="1"/>
    <col min="2209" max="2209" width="12" style="72" customWidth="1"/>
    <col min="2210" max="2210" width="13" style="72" customWidth="1"/>
    <col min="2211" max="2211" width="11.625" style="72" customWidth="1"/>
    <col min="2212" max="2213" width="12" style="72" customWidth="1"/>
    <col min="2214" max="2216" width="11.625" style="72" customWidth="1"/>
    <col min="2217" max="2217" width="11.125" style="72" customWidth="1"/>
    <col min="2218" max="2218" width="12" style="72" customWidth="1"/>
    <col min="2219" max="2219" width="13" style="72" customWidth="1"/>
    <col min="2220" max="2220" width="13.625" style="72" customWidth="1"/>
    <col min="2221" max="2221" width="11.875" style="72" customWidth="1"/>
    <col min="2222" max="2223" width="11.625" style="72" customWidth="1"/>
    <col min="2224" max="2224" width="12" style="72" customWidth="1"/>
    <col min="2225" max="2225" width="12.75" style="72" customWidth="1"/>
    <col min="2226" max="2226" width="11.625" style="72" customWidth="1"/>
    <col min="2227" max="2227" width="12.125" style="72" customWidth="1"/>
    <col min="2228" max="2229" width="11.625" style="72" customWidth="1"/>
    <col min="2230" max="2230" width="12.5" style="72" customWidth="1"/>
    <col min="2231" max="2405" width="11.625" style="72" customWidth="1"/>
    <col min="2406" max="2406" width="17.75" style="72" customWidth="1"/>
    <col min="2407" max="2408" width="9" style="72" customWidth="1"/>
    <col min="2409" max="2409" width="16.25" style="72" customWidth="1"/>
    <col min="2410" max="2410" width="24" style="72" customWidth="1"/>
    <col min="2411" max="2411" width="9" style="72"/>
    <col min="2412" max="2412" width="11.75" style="72" customWidth="1"/>
    <col min="2413" max="2413" width="8.875" style="72" customWidth="1"/>
    <col min="2414" max="2414" width="17.375" style="72" customWidth="1"/>
    <col min="2415" max="2415" width="13.25" style="72" customWidth="1"/>
    <col min="2416" max="2416" width="25.75" style="72" customWidth="1"/>
    <col min="2417" max="2417" width="11.125" style="72" customWidth="1"/>
    <col min="2418" max="2418" width="10.75" style="72" customWidth="1"/>
    <col min="2419" max="2419" width="9" style="72" customWidth="1"/>
    <col min="2420" max="2420" width="9.75" style="72" customWidth="1"/>
    <col min="2421" max="2421" width="7.5" style="72" customWidth="1"/>
    <col min="2422" max="2422" width="13.25" style="72" customWidth="1"/>
    <col min="2423" max="2423" width="11.75" style="72" customWidth="1"/>
    <col min="2424" max="2424" width="8.875" style="72" customWidth="1"/>
    <col min="2425" max="2425" width="9.625" style="72" customWidth="1"/>
    <col min="2426" max="2427" width="11.875" style="72" customWidth="1"/>
    <col min="2428" max="2428" width="11.5" style="72" customWidth="1"/>
    <col min="2429" max="2444" width="12.25" style="72" customWidth="1"/>
    <col min="2445" max="2445" width="13" style="72" customWidth="1"/>
    <col min="2446" max="2450" width="12.375" style="72" customWidth="1"/>
    <col min="2451" max="2451" width="13" style="72" customWidth="1"/>
    <col min="2452" max="2453" width="12.375" style="72" customWidth="1"/>
    <col min="2454" max="2454" width="13" style="72" customWidth="1"/>
    <col min="2455" max="2455" width="13.125" style="72" customWidth="1"/>
    <col min="2456" max="2456" width="13" style="72" customWidth="1"/>
    <col min="2457" max="2457" width="13.125" style="72" customWidth="1"/>
    <col min="2458" max="2459" width="12.375" style="72" customWidth="1"/>
    <col min="2460" max="2460" width="13" style="72" customWidth="1"/>
    <col min="2461" max="2461" width="12.375" style="72" customWidth="1"/>
    <col min="2462" max="2462" width="12.25" style="72" customWidth="1"/>
    <col min="2463" max="2463" width="12.125" style="72" customWidth="1"/>
    <col min="2464" max="2464" width="11.625" style="72" customWidth="1"/>
    <col min="2465" max="2465" width="12" style="72" customWidth="1"/>
    <col min="2466" max="2466" width="13" style="72" customWidth="1"/>
    <col min="2467" max="2467" width="11.625" style="72" customWidth="1"/>
    <col min="2468" max="2469" width="12" style="72" customWidth="1"/>
    <col min="2470" max="2472" width="11.625" style="72" customWidth="1"/>
    <col min="2473" max="2473" width="11.125" style="72" customWidth="1"/>
    <col min="2474" max="2474" width="12" style="72" customWidth="1"/>
    <col min="2475" max="2475" width="13" style="72" customWidth="1"/>
    <col min="2476" max="2476" width="13.625" style="72" customWidth="1"/>
    <col min="2477" max="2477" width="11.875" style="72" customWidth="1"/>
    <col min="2478" max="2479" width="11.625" style="72" customWidth="1"/>
    <col min="2480" max="2480" width="12" style="72" customWidth="1"/>
    <col min="2481" max="2481" width="12.75" style="72" customWidth="1"/>
    <col min="2482" max="2482" width="11.625" style="72" customWidth="1"/>
    <col min="2483" max="2483" width="12.125" style="72" customWidth="1"/>
    <col min="2484" max="2485" width="11.625" style="72" customWidth="1"/>
    <col min="2486" max="2486" width="12.5" style="72" customWidth="1"/>
    <col min="2487" max="2661" width="11.625" style="72" customWidth="1"/>
    <col min="2662" max="2662" width="17.75" style="72" customWidth="1"/>
    <col min="2663" max="2664" width="9" style="72" customWidth="1"/>
    <col min="2665" max="2665" width="16.25" style="72" customWidth="1"/>
    <col min="2666" max="2666" width="24" style="72" customWidth="1"/>
    <col min="2667" max="2667" width="9" style="72"/>
    <col min="2668" max="2668" width="11.75" style="72" customWidth="1"/>
    <col min="2669" max="2669" width="8.875" style="72" customWidth="1"/>
    <col min="2670" max="2670" width="17.375" style="72" customWidth="1"/>
    <col min="2671" max="2671" width="13.25" style="72" customWidth="1"/>
    <col min="2672" max="2672" width="25.75" style="72" customWidth="1"/>
    <col min="2673" max="2673" width="11.125" style="72" customWidth="1"/>
    <col min="2674" max="2674" width="10.75" style="72" customWidth="1"/>
    <col min="2675" max="2675" width="9" style="72" customWidth="1"/>
    <col min="2676" max="2676" width="9.75" style="72" customWidth="1"/>
    <col min="2677" max="2677" width="7.5" style="72" customWidth="1"/>
    <col min="2678" max="2678" width="13.25" style="72" customWidth="1"/>
    <col min="2679" max="2679" width="11.75" style="72" customWidth="1"/>
    <col min="2680" max="2680" width="8.875" style="72" customWidth="1"/>
    <col min="2681" max="2681" width="9.625" style="72" customWidth="1"/>
    <col min="2682" max="2683" width="11.875" style="72" customWidth="1"/>
    <col min="2684" max="2684" width="11.5" style="72" customWidth="1"/>
    <col min="2685" max="2700" width="12.25" style="72" customWidth="1"/>
    <col min="2701" max="2701" width="13" style="72" customWidth="1"/>
    <col min="2702" max="2706" width="12.375" style="72" customWidth="1"/>
    <col min="2707" max="2707" width="13" style="72" customWidth="1"/>
    <col min="2708" max="2709" width="12.375" style="72" customWidth="1"/>
    <col min="2710" max="2710" width="13" style="72" customWidth="1"/>
    <col min="2711" max="2711" width="13.125" style="72" customWidth="1"/>
    <col min="2712" max="2712" width="13" style="72" customWidth="1"/>
    <col min="2713" max="2713" width="13.125" style="72" customWidth="1"/>
    <col min="2714" max="2715" width="12.375" style="72" customWidth="1"/>
    <col min="2716" max="2716" width="13" style="72" customWidth="1"/>
    <col min="2717" max="2717" width="12.375" style="72" customWidth="1"/>
    <col min="2718" max="2718" width="12.25" style="72" customWidth="1"/>
    <col min="2719" max="2719" width="12.125" style="72" customWidth="1"/>
    <col min="2720" max="2720" width="11.625" style="72" customWidth="1"/>
    <col min="2721" max="2721" width="12" style="72" customWidth="1"/>
    <col min="2722" max="2722" width="13" style="72" customWidth="1"/>
    <col min="2723" max="2723" width="11.625" style="72" customWidth="1"/>
    <col min="2724" max="2725" width="12" style="72" customWidth="1"/>
    <col min="2726" max="2728" width="11.625" style="72" customWidth="1"/>
    <col min="2729" max="2729" width="11.125" style="72" customWidth="1"/>
    <col min="2730" max="2730" width="12" style="72" customWidth="1"/>
    <col min="2731" max="2731" width="13" style="72" customWidth="1"/>
    <col min="2732" max="2732" width="13.625" style="72" customWidth="1"/>
    <col min="2733" max="2733" width="11.875" style="72" customWidth="1"/>
    <col min="2734" max="2735" width="11.625" style="72" customWidth="1"/>
    <col min="2736" max="2736" width="12" style="72" customWidth="1"/>
    <col min="2737" max="2737" width="12.75" style="72" customWidth="1"/>
    <col min="2738" max="2738" width="11.625" style="72" customWidth="1"/>
    <col min="2739" max="2739" width="12.125" style="72" customWidth="1"/>
    <col min="2740" max="2741" width="11.625" style="72" customWidth="1"/>
    <col min="2742" max="2742" width="12.5" style="72" customWidth="1"/>
    <col min="2743" max="2917" width="11.625" style="72" customWidth="1"/>
    <col min="2918" max="2918" width="17.75" style="72" customWidth="1"/>
    <col min="2919" max="2920" width="9" style="72" customWidth="1"/>
    <col min="2921" max="2921" width="16.25" style="72" customWidth="1"/>
    <col min="2922" max="2922" width="24" style="72" customWidth="1"/>
    <col min="2923" max="2923" width="9" style="72"/>
    <col min="2924" max="2924" width="11.75" style="72" customWidth="1"/>
    <col min="2925" max="2925" width="8.875" style="72" customWidth="1"/>
    <col min="2926" max="2926" width="17.375" style="72" customWidth="1"/>
    <col min="2927" max="2927" width="13.25" style="72" customWidth="1"/>
    <col min="2928" max="2928" width="25.75" style="72" customWidth="1"/>
    <col min="2929" max="2929" width="11.125" style="72" customWidth="1"/>
    <col min="2930" max="2930" width="10.75" style="72" customWidth="1"/>
    <col min="2931" max="2931" width="9" style="72" customWidth="1"/>
    <col min="2932" max="2932" width="9.75" style="72" customWidth="1"/>
    <col min="2933" max="2933" width="7.5" style="72" customWidth="1"/>
    <col min="2934" max="2934" width="13.25" style="72" customWidth="1"/>
    <col min="2935" max="2935" width="11.75" style="72" customWidth="1"/>
    <col min="2936" max="2936" width="8.875" style="72" customWidth="1"/>
    <col min="2937" max="2937" width="9.625" style="72" customWidth="1"/>
    <col min="2938" max="2939" width="11.875" style="72" customWidth="1"/>
    <col min="2940" max="2940" width="11.5" style="72" customWidth="1"/>
    <col min="2941" max="2956" width="12.25" style="72" customWidth="1"/>
    <col min="2957" max="2957" width="13" style="72" customWidth="1"/>
    <col min="2958" max="2962" width="12.375" style="72" customWidth="1"/>
    <col min="2963" max="2963" width="13" style="72" customWidth="1"/>
    <col min="2964" max="2965" width="12.375" style="72" customWidth="1"/>
    <col min="2966" max="2966" width="13" style="72" customWidth="1"/>
    <col min="2967" max="2967" width="13.125" style="72" customWidth="1"/>
    <col min="2968" max="2968" width="13" style="72" customWidth="1"/>
    <col min="2969" max="2969" width="13.125" style="72" customWidth="1"/>
    <col min="2970" max="2971" width="12.375" style="72" customWidth="1"/>
    <col min="2972" max="2972" width="13" style="72" customWidth="1"/>
    <col min="2973" max="2973" width="12.375" style="72" customWidth="1"/>
    <col min="2974" max="2974" width="12.25" style="72" customWidth="1"/>
    <col min="2975" max="2975" width="12.125" style="72" customWidth="1"/>
    <col min="2976" max="2976" width="11.625" style="72" customWidth="1"/>
    <col min="2977" max="2977" width="12" style="72" customWidth="1"/>
    <col min="2978" max="2978" width="13" style="72" customWidth="1"/>
    <col min="2979" max="2979" width="11.625" style="72" customWidth="1"/>
    <col min="2980" max="2981" width="12" style="72" customWidth="1"/>
    <col min="2982" max="2984" width="11.625" style="72" customWidth="1"/>
    <col min="2985" max="2985" width="11.125" style="72" customWidth="1"/>
    <col min="2986" max="2986" width="12" style="72" customWidth="1"/>
    <col min="2987" max="2987" width="13" style="72" customWidth="1"/>
    <col min="2988" max="2988" width="13.625" style="72" customWidth="1"/>
    <col min="2989" max="2989" width="11.875" style="72" customWidth="1"/>
    <col min="2990" max="2991" width="11.625" style="72" customWidth="1"/>
    <col min="2992" max="2992" width="12" style="72" customWidth="1"/>
    <col min="2993" max="2993" width="12.75" style="72" customWidth="1"/>
    <col min="2994" max="2994" width="11.625" style="72" customWidth="1"/>
    <col min="2995" max="2995" width="12.125" style="72" customWidth="1"/>
    <col min="2996" max="2997" width="11.625" style="72" customWidth="1"/>
    <col min="2998" max="2998" width="12.5" style="72" customWidth="1"/>
    <col min="2999" max="3173" width="11.625" style="72" customWidth="1"/>
    <col min="3174" max="3174" width="17.75" style="72" customWidth="1"/>
    <col min="3175" max="3176" width="9" style="72" customWidth="1"/>
    <col min="3177" max="3177" width="16.25" style="72" customWidth="1"/>
    <col min="3178" max="3178" width="24" style="72" customWidth="1"/>
    <col min="3179" max="3179" width="9" style="72"/>
    <col min="3180" max="3180" width="11.75" style="72" customWidth="1"/>
    <col min="3181" max="3181" width="8.875" style="72" customWidth="1"/>
    <col min="3182" max="3182" width="17.375" style="72" customWidth="1"/>
    <col min="3183" max="3183" width="13.25" style="72" customWidth="1"/>
    <col min="3184" max="3184" width="25.75" style="72" customWidth="1"/>
    <col min="3185" max="3185" width="11.125" style="72" customWidth="1"/>
    <col min="3186" max="3186" width="10.75" style="72" customWidth="1"/>
    <col min="3187" max="3187" width="9" style="72" customWidth="1"/>
    <col min="3188" max="3188" width="9.75" style="72" customWidth="1"/>
    <col min="3189" max="3189" width="7.5" style="72" customWidth="1"/>
    <col min="3190" max="3190" width="13.25" style="72" customWidth="1"/>
    <col min="3191" max="3191" width="11.75" style="72" customWidth="1"/>
    <col min="3192" max="3192" width="8.875" style="72" customWidth="1"/>
    <col min="3193" max="3193" width="9.625" style="72" customWidth="1"/>
    <col min="3194" max="3195" width="11.875" style="72" customWidth="1"/>
    <col min="3196" max="3196" width="11.5" style="72" customWidth="1"/>
    <col min="3197" max="3212" width="12.25" style="72" customWidth="1"/>
    <col min="3213" max="3213" width="13" style="72" customWidth="1"/>
    <col min="3214" max="3218" width="12.375" style="72" customWidth="1"/>
    <col min="3219" max="3219" width="13" style="72" customWidth="1"/>
    <col min="3220" max="3221" width="12.375" style="72" customWidth="1"/>
    <col min="3222" max="3222" width="13" style="72" customWidth="1"/>
    <col min="3223" max="3223" width="13.125" style="72" customWidth="1"/>
    <col min="3224" max="3224" width="13" style="72" customWidth="1"/>
    <col min="3225" max="3225" width="13.125" style="72" customWidth="1"/>
    <col min="3226" max="3227" width="12.375" style="72" customWidth="1"/>
    <col min="3228" max="3228" width="13" style="72" customWidth="1"/>
    <col min="3229" max="3229" width="12.375" style="72" customWidth="1"/>
    <col min="3230" max="3230" width="12.25" style="72" customWidth="1"/>
    <col min="3231" max="3231" width="12.125" style="72" customWidth="1"/>
    <col min="3232" max="3232" width="11.625" style="72" customWidth="1"/>
    <col min="3233" max="3233" width="12" style="72" customWidth="1"/>
    <col min="3234" max="3234" width="13" style="72" customWidth="1"/>
    <col min="3235" max="3235" width="11.625" style="72" customWidth="1"/>
    <col min="3236" max="3237" width="12" style="72" customWidth="1"/>
    <col min="3238" max="3240" width="11.625" style="72" customWidth="1"/>
    <col min="3241" max="3241" width="11.125" style="72" customWidth="1"/>
    <col min="3242" max="3242" width="12" style="72" customWidth="1"/>
    <col min="3243" max="3243" width="13" style="72" customWidth="1"/>
    <col min="3244" max="3244" width="13.625" style="72" customWidth="1"/>
    <col min="3245" max="3245" width="11.875" style="72" customWidth="1"/>
    <col min="3246" max="3247" width="11.625" style="72" customWidth="1"/>
    <col min="3248" max="3248" width="12" style="72" customWidth="1"/>
    <col min="3249" max="3249" width="12.75" style="72" customWidth="1"/>
    <col min="3250" max="3250" width="11.625" style="72" customWidth="1"/>
    <col min="3251" max="3251" width="12.125" style="72" customWidth="1"/>
    <col min="3252" max="3253" width="11.625" style="72" customWidth="1"/>
    <col min="3254" max="3254" width="12.5" style="72" customWidth="1"/>
    <col min="3255" max="3429" width="11.625" style="72" customWidth="1"/>
    <col min="3430" max="3430" width="17.75" style="72" customWidth="1"/>
    <col min="3431" max="3432" width="9" style="72" customWidth="1"/>
    <col min="3433" max="3433" width="16.25" style="72" customWidth="1"/>
    <col min="3434" max="3434" width="24" style="72" customWidth="1"/>
    <col min="3435" max="3435" width="9" style="72"/>
    <col min="3436" max="3436" width="11.75" style="72" customWidth="1"/>
    <col min="3437" max="3437" width="8.875" style="72" customWidth="1"/>
    <col min="3438" max="3438" width="17.375" style="72" customWidth="1"/>
    <col min="3439" max="3439" width="13.25" style="72" customWidth="1"/>
    <col min="3440" max="3440" width="25.75" style="72" customWidth="1"/>
    <col min="3441" max="3441" width="11.125" style="72" customWidth="1"/>
    <col min="3442" max="3442" width="10.75" style="72" customWidth="1"/>
    <col min="3443" max="3443" width="9" style="72" customWidth="1"/>
    <col min="3444" max="3444" width="9.75" style="72" customWidth="1"/>
    <col min="3445" max="3445" width="7.5" style="72" customWidth="1"/>
    <col min="3446" max="3446" width="13.25" style="72" customWidth="1"/>
    <col min="3447" max="3447" width="11.75" style="72" customWidth="1"/>
    <col min="3448" max="3448" width="8.875" style="72" customWidth="1"/>
    <col min="3449" max="3449" width="9.625" style="72" customWidth="1"/>
    <col min="3450" max="3451" width="11.875" style="72" customWidth="1"/>
    <col min="3452" max="3452" width="11.5" style="72" customWidth="1"/>
    <col min="3453" max="3468" width="12.25" style="72" customWidth="1"/>
    <col min="3469" max="3469" width="13" style="72" customWidth="1"/>
    <col min="3470" max="3474" width="12.375" style="72" customWidth="1"/>
    <col min="3475" max="3475" width="13" style="72" customWidth="1"/>
    <col min="3476" max="3477" width="12.375" style="72" customWidth="1"/>
    <col min="3478" max="3478" width="13" style="72" customWidth="1"/>
    <col min="3479" max="3479" width="13.125" style="72" customWidth="1"/>
    <col min="3480" max="3480" width="13" style="72" customWidth="1"/>
    <col min="3481" max="3481" width="13.125" style="72" customWidth="1"/>
    <col min="3482" max="3483" width="12.375" style="72" customWidth="1"/>
    <col min="3484" max="3484" width="13" style="72" customWidth="1"/>
    <col min="3485" max="3485" width="12.375" style="72" customWidth="1"/>
    <col min="3486" max="3486" width="12.25" style="72" customWidth="1"/>
    <col min="3487" max="3487" width="12.125" style="72" customWidth="1"/>
    <col min="3488" max="3488" width="11.625" style="72" customWidth="1"/>
    <col min="3489" max="3489" width="12" style="72" customWidth="1"/>
    <col min="3490" max="3490" width="13" style="72" customWidth="1"/>
    <col min="3491" max="3491" width="11.625" style="72" customWidth="1"/>
    <col min="3492" max="3493" width="12" style="72" customWidth="1"/>
    <col min="3494" max="3496" width="11.625" style="72" customWidth="1"/>
    <col min="3497" max="3497" width="11.125" style="72" customWidth="1"/>
    <col min="3498" max="3498" width="12" style="72" customWidth="1"/>
    <col min="3499" max="3499" width="13" style="72" customWidth="1"/>
    <col min="3500" max="3500" width="13.625" style="72" customWidth="1"/>
    <col min="3501" max="3501" width="11.875" style="72" customWidth="1"/>
    <col min="3502" max="3503" width="11.625" style="72" customWidth="1"/>
    <col min="3504" max="3504" width="12" style="72" customWidth="1"/>
    <col min="3505" max="3505" width="12.75" style="72" customWidth="1"/>
    <col min="3506" max="3506" width="11.625" style="72" customWidth="1"/>
    <col min="3507" max="3507" width="12.125" style="72" customWidth="1"/>
    <col min="3508" max="3509" width="11.625" style="72" customWidth="1"/>
    <col min="3510" max="3510" width="12.5" style="72" customWidth="1"/>
    <col min="3511" max="3685" width="11.625" style="72" customWidth="1"/>
    <col min="3686" max="3686" width="17.75" style="72" customWidth="1"/>
    <col min="3687" max="3688" width="9" style="72" customWidth="1"/>
    <col min="3689" max="3689" width="16.25" style="72" customWidth="1"/>
    <col min="3690" max="3690" width="24" style="72" customWidth="1"/>
    <col min="3691" max="3691" width="9" style="72"/>
    <col min="3692" max="3692" width="11.75" style="72" customWidth="1"/>
    <col min="3693" max="3693" width="8.875" style="72" customWidth="1"/>
    <col min="3694" max="3694" width="17.375" style="72" customWidth="1"/>
    <col min="3695" max="3695" width="13.25" style="72" customWidth="1"/>
    <col min="3696" max="3696" width="25.75" style="72" customWidth="1"/>
    <col min="3697" max="3697" width="11.125" style="72" customWidth="1"/>
    <col min="3698" max="3698" width="10.75" style="72" customWidth="1"/>
    <col min="3699" max="3699" width="9" style="72" customWidth="1"/>
    <col min="3700" max="3700" width="9.75" style="72" customWidth="1"/>
    <col min="3701" max="3701" width="7.5" style="72" customWidth="1"/>
    <col min="3702" max="3702" width="13.25" style="72" customWidth="1"/>
    <col min="3703" max="3703" width="11.75" style="72" customWidth="1"/>
    <col min="3704" max="3704" width="8.875" style="72" customWidth="1"/>
    <col min="3705" max="3705" width="9.625" style="72" customWidth="1"/>
    <col min="3706" max="3707" width="11.875" style="72" customWidth="1"/>
    <col min="3708" max="3708" width="11.5" style="72" customWidth="1"/>
    <col min="3709" max="3724" width="12.25" style="72" customWidth="1"/>
    <col min="3725" max="3725" width="13" style="72" customWidth="1"/>
    <col min="3726" max="3730" width="12.375" style="72" customWidth="1"/>
    <col min="3731" max="3731" width="13" style="72" customWidth="1"/>
    <col min="3732" max="3733" width="12.375" style="72" customWidth="1"/>
    <col min="3734" max="3734" width="13" style="72" customWidth="1"/>
    <col min="3735" max="3735" width="13.125" style="72" customWidth="1"/>
    <col min="3736" max="3736" width="13" style="72" customWidth="1"/>
    <col min="3737" max="3737" width="13.125" style="72" customWidth="1"/>
    <col min="3738" max="3739" width="12.375" style="72" customWidth="1"/>
    <col min="3740" max="3740" width="13" style="72" customWidth="1"/>
    <col min="3741" max="3741" width="12.375" style="72" customWidth="1"/>
    <col min="3742" max="3742" width="12.25" style="72" customWidth="1"/>
    <col min="3743" max="3743" width="12.125" style="72" customWidth="1"/>
    <col min="3744" max="3744" width="11.625" style="72" customWidth="1"/>
    <col min="3745" max="3745" width="12" style="72" customWidth="1"/>
    <col min="3746" max="3746" width="13" style="72" customWidth="1"/>
    <col min="3747" max="3747" width="11.625" style="72" customWidth="1"/>
    <col min="3748" max="3749" width="12" style="72" customWidth="1"/>
    <col min="3750" max="3752" width="11.625" style="72" customWidth="1"/>
    <col min="3753" max="3753" width="11.125" style="72" customWidth="1"/>
    <col min="3754" max="3754" width="12" style="72" customWidth="1"/>
    <col min="3755" max="3755" width="13" style="72" customWidth="1"/>
    <col min="3756" max="3756" width="13.625" style="72" customWidth="1"/>
    <col min="3757" max="3757" width="11.875" style="72" customWidth="1"/>
    <col min="3758" max="3759" width="11.625" style="72" customWidth="1"/>
    <col min="3760" max="3760" width="12" style="72" customWidth="1"/>
    <col min="3761" max="3761" width="12.75" style="72" customWidth="1"/>
    <col min="3762" max="3762" width="11.625" style="72" customWidth="1"/>
    <col min="3763" max="3763" width="12.125" style="72" customWidth="1"/>
    <col min="3764" max="3765" width="11.625" style="72" customWidth="1"/>
    <col min="3766" max="3766" width="12.5" style="72" customWidth="1"/>
    <col min="3767" max="3941" width="11.625" style="72" customWidth="1"/>
    <col min="3942" max="3942" width="17.75" style="72" customWidth="1"/>
    <col min="3943" max="3944" width="9" style="72" customWidth="1"/>
    <col min="3945" max="3945" width="16.25" style="72" customWidth="1"/>
    <col min="3946" max="3946" width="24" style="72" customWidth="1"/>
    <col min="3947" max="3947" width="9" style="72"/>
    <col min="3948" max="3948" width="11.75" style="72" customWidth="1"/>
    <col min="3949" max="3949" width="8.875" style="72" customWidth="1"/>
    <col min="3950" max="3950" width="17.375" style="72" customWidth="1"/>
    <col min="3951" max="3951" width="13.25" style="72" customWidth="1"/>
    <col min="3952" max="3952" width="25.75" style="72" customWidth="1"/>
    <col min="3953" max="3953" width="11.125" style="72" customWidth="1"/>
    <col min="3954" max="3954" width="10.75" style="72" customWidth="1"/>
    <col min="3955" max="3955" width="9" style="72" customWidth="1"/>
    <col min="3956" max="3956" width="9.75" style="72" customWidth="1"/>
    <col min="3957" max="3957" width="7.5" style="72" customWidth="1"/>
    <col min="3958" max="3958" width="13.25" style="72" customWidth="1"/>
    <col min="3959" max="3959" width="11.75" style="72" customWidth="1"/>
    <col min="3960" max="3960" width="8.875" style="72" customWidth="1"/>
    <col min="3961" max="3961" width="9.625" style="72" customWidth="1"/>
    <col min="3962" max="3963" width="11.875" style="72" customWidth="1"/>
    <col min="3964" max="3964" width="11.5" style="72" customWidth="1"/>
    <col min="3965" max="3980" width="12.25" style="72" customWidth="1"/>
    <col min="3981" max="3981" width="13" style="72" customWidth="1"/>
    <col min="3982" max="3986" width="12.375" style="72" customWidth="1"/>
    <col min="3987" max="3987" width="13" style="72" customWidth="1"/>
    <col min="3988" max="3989" width="12.375" style="72" customWidth="1"/>
    <col min="3990" max="3990" width="13" style="72" customWidth="1"/>
    <col min="3991" max="3991" width="13.125" style="72" customWidth="1"/>
    <col min="3992" max="3992" width="13" style="72" customWidth="1"/>
    <col min="3993" max="3993" width="13.125" style="72" customWidth="1"/>
    <col min="3994" max="3995" width="12.375" style="72" customWidth="1"/>
    <col min="3996" max="3996" width="13" style="72" customWidth="1"/>
    <col min="3997" max="3997" width="12.375" style="72" customWidth="1"/>
    <col min="3998" max="3998" width="12.25" style="72" customWidth="1"/>
    <col min="3999" max="3999" width="12.125" style="72" customWidth="1"/>
    <col min="4000" max="4000" width="11.625" style="72" customWidth="1"/>
    <col min="4001" max="4001" width="12" style="72" customWidth="1"/>
    <col min="4002" max="4002" width="13" style="72" customWidth="1"/>
    <col min="4003" max="4003" width="11.625" style="72" customWidth="1"/>
    <col min="4004" max="4005" width="12" style="72" customWidth="1"/>
    <col min="4006" max="4008" width="11.625" style="72" customWidth="1"/>
    <col min="4009" max="4009" width="11.125" style="72" customWidth="1"/>
    <col min="4010" max="4010" width="12" style="72" customWidth="1"/>
    <col min="4011" max="4011" width="13" style="72" customWidth="1"/>
    <col min="4012" max="4012" width="13.625" style="72" customWidth="1"/>
    <col min="4013" max="4013" width="11.875" style="72" customWidth="1"/>
    <col min="4014" max="4015" width="11.625" style="72" customWidth="1"/>
    <col min="4016" max="4016" width="12" style="72" customWidth="1"/>
    <col min="4017" max="4017" width="12.75" style="72" customWidth="1"/>
    <col min="4018" max="4018" width="11.625" style="72" customWidth="1"/>
    <col min="4019" max="4019" width="12.125" style="72" customWidth="1"/>
    <col min="4020" max="4021" width="11.625" style="72" customWidth="1"/>
    <col min="4022" max="4022" width="12.5" style="72" customWidth="1"/>
    <col min="4023" max="4197" width="11.625" style="72" customWidth="1"/>
    <col min="4198" max="4198" width="17.75" style="72" customWidth="1"/>
    <col min="4199" max="4200" width="9" style="72" customWidth="1"/>
    <col min="4201" max="4201" width="16.25" style="72" customWidth="1"/>
    <col min="4202" max="4202" width="24" style="72" customWidth="1"/>
    <col min="4203" max="4203" width="9" style="72"/>
    <col min="4204" max="4204" width="11.75" style="72" customWidth="1"/>
    <col min="4205" max="4205" width="8.875" style="72" customWidth="1"/>
    <col min="4206" max="4206" width="17.375" style="72" customWidth="1"/>
    <col min="4207" max="4207" width="13.25" style="72" customWidth="1"/>
    <col min="4208" max="4208" width="25.75" style="72" customWidth="1"/>
    <col min="4209" max="4209" width="11.125" style="72" customWidth="1"/>
    <col min="4210" max="4210" width="10.75" style="72" customWidth="1"/>
    <col min="4211" max="4211" width="9" style="72" customWidth="1"/>
    <col min="4212" max="4212" width="9.75" style="72" customWidth="1"/>
    <col min="4213" max="4213" width="7.5" style="72" customWidth="1"/>
    <col min="4214" max="4214" width="13.25" style="72" customWidth="1"/>
    <col min="4215" max="4215" width="11.75" style="72" customWidth="1"/>
    <col min="4216" max="4216" width="8.875" style="72" customWidth="1"/>
    <col min="4217" max="4217" width="9.625" style="72" customWidth="1"/>
    <col min="4218" max="4219" width="11.875" style="72" customWidth="1"/>
    <col min="4220" max="4220" width="11.5" style="72" customWidth="1"/>
    <col min="4221" max="4236" width="12.25" style="72" customWidth="1"/>
    <col min="4237" max="4237" width="13" style="72" customWidth="1"/>
    <col min="4238" max="4242" width="12.375" style="72" customWidth="1"/>
    <col min="4243" max="4243" width="13" style="72" customWidth="1"/>
    <col min="4244" max="4245" width="12.375" style="72" customWidth="1"/>
    <col min="4246" max="4246" width="13" style="72" customWidth="1"/>
    <col min="4247" max="4247" width="13.125" style="72" customWidth="1"/>
    <col min="4248" max="4248" width="13" style="72" customWidth="1"/>
    <col min="4249" max="4249" width="13.125" style="72" customWidth="1"/>
    <col min="4250" max="4251" width="12.375" style="72" customWidth="1"/>
    <col min="4252" max="4252" width="13" style="72" customWidth="1"/>
    <col min="4253" max="4253" width="12.375" style="72" customWidth="1"/>
    <col min="4254" max="4254" width="12.25" style="72" customWidth="1"/>
    <col min="4255" max="4255" width="12.125" style="72" customWidth="1"/>
    <col min="4256" max="4256" width="11.625" style="72" customWidth="1"/>
    <col min="4257" max="4257" width="12" style="72" customWidth="1"/>
    <col min="4258" max="4258" width="13" style="72" customWidth="1"/>
    <col min="4259" max="4259" width="11.625" style="72" customWidth="1"/>
    <col min="4260" max="4261" width="12" style="72" customWidth="1"/>
    <col min="4262" max="4264" width="11.625" style="72" customWidth="1"/>
    <col min="4265" max="4265" width="11.125" style="72" customWidth="1"/>
    <col min="4266" max="4266" width="12" style="72" customWidth="1"/>
    <col min="4267" max="4267" width="13" style="72" customWidth="1"/>
    <col min="4268" max="4268" width="13.625" style="72" customWidth="1"/>
    <col min="4269" max="4269" width="11.875" style="72" customWidth="1"/>
    <col min="4270" max="4271" width="11.625" style="72" customWidth="1"/>
    <col min="4272" max="4272" width="12" style="72" customWidth="1"/>
    <col min="4273" max="4273" width="12.75" style="72" customWidth="1"/>
    <col min="4274" max="4274" width="11.625" style="72" customWidth="1"/>
    <col min="4275" max="4275" width="12.125" style="72" customWidth="1"/>
    <col min="4276" max="4277" width="11.625" style="72" customWidth="1"/>
    <col min="4278" max="4278" width="12.5" style="72" customWidth="1"/>
    <col min="4279" max="4453" width="11.625" style="72" customWidth="1"/>
    <col min="4454" max="4454" width="17.75" style="72" customWidth="1"/>
    <col min="4455" max="4456" width="9" style="72" customWidth="1"/>
    <col min="4457" max="4457" width="16.25" style="72" customWidth="1"/>
    <col min="4458" max="4458" width="24" style="72" customWidth="1"/>
    <col min="4459" max="4459" width="9" style="72"/>
    <col min="4460" max="4460" width="11.75" style="72" customWidth="1"/>
    <col min="4461" max="4461" width="8.875" style="72" customWidth="1"/>
    <col min="4462" max="4462" width="17.375" style="72" customWidth="1"/>
    <col min="4463" max="4463" width="13.25" style="72" customWidth="1"/>
    <col min="4464" max="4464" width="25.75" style="72" customWidth="1"/>
    <col min="4465" max="4465" width="11.125" style="72" customWidth="1"/>
    <col min="4466" max="4466" width="10.75" style="72" customWidth="1"/>
    <col min="4467" max="4467" width="9" style="72" customWidth="1"/>
    <col min="4468" max="4468" width="9.75" style="72" customWidth="1"/>
    <col min="4469" max="4469" width="7.5" style="72" customWidth="1"/>
    <col min="4470" max="4470" width="13.25" style="72" customWidth="1"/>
    <col min="4471" max="4471" width="11.75" style="72" customWidth="1"/>
    <col min="4472" max="4472" width="8.875" style="72" customWidth="1"/>
    <col min="4473" max="4473" width="9.625" style="72" customWidth="1"/>
    <col min="4474" max="4475" width="11.875" style="72" customWidth="1"/>
    <col min="4476" max="4476" width="11.5" style="72" customWidth="1"/>
    <col min="4477" max="4492" width="12.25" style="72" customWidth="1"/>
    <col min="4493" max="4493" width="13" style="72" customWidth="1"/>
    <col min="4494" max="4498" width="12.375" style="72" customWidth="1"/>
    <col min="4499" max="4499" width="13" style="72" customWidth="1"/>
    <col min="4500" max="4501" width="12.375" style="72" customWidth="1"/>
    <col min="4502" max="4502" width="13" style="72" customWidth="1"/>
    <col min="4503" max="4503" width="13.125" style="72" customWidth="1"/>
    <col min="4504" max="4504" width="13" style="72" customWidth="1"/>
    <col min="4505" max="4505" width="13.125" style="72" customWidth="1"/>
    <col min="4506" max="4507" width="12.375" style="72" customWidth="1"/>
    <col min="4508" max="4508" width="13" style="72" customWidth="1"/>
    <col min="4509" max="4509" width="12.375" style="72" customWidth="1"/>
    <col min="4510" max="4510" width="12.25" style="72" customWidth="1"/>
    <col min="4511" max="4511" width="12.125" style="72" customWidth="1"/>
    <col min="4512" max="4512" width="11.625" style="72" customWidth="1"/>
    <col min="4513" max="4513" width="12" style="72" customWidth="1"/>
    <col min="4514" max="4514" width="13" style="72" customWidth="1"/>
    <col min="4515" max="4515" width="11.625" style="72" customWidth="1"/>
    <col min="4516" max="4517" width="12" style="72" customWidth="1"/>
    <col min="4518" max="4520" width="11.625" style="72" customWidth="1"/>
    <col min="4521" max="4521" width="11.125" style="72" customWidth="1"/>
    <col min="4522" max="4522" width="12" style="72" customWidth="1"/>
    <col min="4523" max="4523" width="13" style="72" customWidth="1"/>
    <col min="4524" max="4524" width="13.625" style="72" customWidth="1"/>
    <col min="4525" max="4525" width="11.875" style="72" customWidth="1"/>
    <col min="4526" max="4527" width="11.625" style="72" customWidth="1"/>
    <col min="4528" max="4528" width="12" style="72" customWidth="1"/>
    <col min="4529" max="4529" width="12.75" style="72" customWidth="1"/>
    <col min="4530" max="4530" width="11.625" style="72" customWidth="1"/>
    <col min="4531" max="4531" width="12.125" style="72" customWidth="1"/>
    <col min="4532" max="4533" width="11.625" style="72" customWidth="1"/>
    <col min="4534" max="4534" width="12.5" style="72" customWidth="1"/>
    <col min="4535" max="4709" width="11.625" style="72" customWidth="1"/>
    <col min="4710" max="4710" width="17.75" style="72" customWidth="1"/>
    <col min="4711" max="4712" width="9" style="72" customWidth="1"/>
    <col min="4713" max="4713" width="16.25" style="72" customWidth="1"/>
    <col min="4714" max="4714" width="24" style="72" customWidth="1"/>
    <col min="4715" max="4715" width="9" style="72"/>
    <col min="4716" max="4716" width="11.75" style="72" customWidth="1"/>
    <col min="4717" max="4717" width="8.875" style="72" customWidth="1"/>
    <col min="4718" max="4718" width="17.375" style="72" customWidth="1"/>
    <col min="4719" max="4719" width="13.25" style="72" customWidth="1"/>
    <col min="4720" max="4720" width="25.75" style="72" customWidth="1"/>
    <col min="4721" max="4721" width="11.125" style="72" customWidth="1"/>
    <col min="4722" max="4722" width="10.75" style="72" customWidth="1"/>
    <col min="4723" max="4723" width="9" style="72" customWidth="1"/>
    <col min="4724" max="4724" width="9.75" style="72" customWidth="1"/>
    <col min="4725" max="4725" width="7.5" style="72" customWidth="1"/>
    <col min="4726" max="4726" width="13.25" style="72" customWidth="1"/>
    <col min="4727" max="4727" width="11.75" style="72" customWidth="1"/>
    <col min="4728" max="4728" width="8.875" style="72" customWidth="1"/>
    <col min="4729" max="4729" width="9.625" style="72" customWidth="1"/>
    <col min="4730" max="4731" width="11.875" style="72" customWidth="1"/>
    <col min="4732" max="4732" width="11.5" style="72" customWidth="1"/>
    <col min="4733" max="4748" width="12.25" style="72" customWidth="1"/>
    <col min="4749" max="4749" width="13" style="72" customWidth="1"/>
    <col min="4750" max="4754" width="12.375" style="72" customWidth="1"/>
    <col min="4755" max="4755" width="13" style="72" customWidth="1"/>
    <col min="4756" max="4757" width="12.375" style="72" customWidth="1"/>
    <col min="4758" max="4758" width="13" style="72" customWidth="1"/>
    <col min="4759" max="4759" width="13.125" style="72" customWidth="1"/>
    <col min="4760" max="4760" width="13" style="72" customWidth="1"/>
    <col min="4761" max="4761" width="13.125" style="72" customWidth="1"/>
    <col min="4762" max="4763" width="12.375" style="72" customWidth="1"/>
    <col min="4764" max="4764" width="13" style="72" customWidth="1"/>
    <col min="4765" max="4765" width="12.375" style="72" customWidth="1"/>
    <col min="4766" max="4766" width="12.25" style="72" customWidth="1"/>
    <col min="4767" max="4767" width="12.125" style="72" customWidth="1"/>
    <col min="4768" max="4768" width="11.625" style="72" customWidth="1"/>
    <col min="4769" max="4769" width="12" style="72" customWidth="1"/>
    <col min="4770" max="4770" width="13" style="72" customWidth="1"/>
    <col min="4771" max="4771" width="11.625" style="72" customWidth="1"/>
    <col min="4772" max="4773" width="12" style="72" customWidth="1"/>
    <col min="4774" max="4776" width="11.625" style="72" customWidth="1"/>
    <col min="4777" max="4777" width="11.125" style="72" customWidth="1"/>
    <col min="4778" max="4778" width="12" style="72" customWidth="1"/>
    <col min="4779" max="4779" width="13" style="72" customWidth="1"/>
    <col min="4780" max="4780" width="13.625" style="72" customWidth="1"/>
    <col min="4781" max="4781" width="11.875" style="72" customWidth="1"/>
    <col min="4782" max="4783" width="11.625" style="72" customWidth="1"/>
    <col min="4784" max="4784" width="12" style="72" customWidth="1"/>
    <col min="4785" max="4785" width="12.75" style="72" customWidth="1"/>
    <col min="4786" max="4786" width="11.625" style="72" customWidth="1"/>
    <col min="4787" max="4787" width="12.125" style="72" customWidth="1"/>
    <col min="4788" max="4789" width="11.625" style="72" customWidth="1"/>
    <col min="4790" max="4790" width="12.5" style="72" customWidth="1"/>
    <col min="4791" max="4965" width="11.625" style="72" customWidth="1"/>
    <col min="4966" max="4966" width="17.75" style="72" customWidth="1"/>
    <col min="4967" max="4968" width="9" style="72" customWidth="1"/>
    <col min="4969" max="4969" width="16.25" style="72" customWidth="1"/>
    <col min="4970" max="4970" width="24" style="72" customWidth="1"/>
    <col min="4971" max="4971" width="9" style="72"/>
    <col min="4972" max="4972" width="11.75" style="72" customWidth="1"/>
    <col min="4973" max="4973" width="8.875" style="72" customWidth="1"/>
    <col min="4974" max="4974" width="17.375" style="72" customWidth="1"/>
    <col min="4975" max="4975" width="13.25" style="72" customWidth="1"/>
    <col min="4976" max="4976" width="25.75" style="72" customWidth="1"/>
    <col min="4977" max="4977" width="11.125" style="72" customWidth="1"/>
    <col min="4978" max="4978" width="10.75" style="72" customWidth="1"/>
    <col min="4979" max="4979" width="9" style="72" customWidth="1"/>
    <col min="4980" max="4980" width="9.75" style="72" customWidth="1"/>
    <col min="4981" max="4981" width="7.5" style="72" customWidth="1"/>
    <col min="4982" max="4982" width="13.25" style="72" customWidth="1"/>
    <col min="4983" max="4983" width="11.75" style="72" customWidth="1"/>
    <col min="4984" max="4984" width="8.875" style="72" customWidth="1"/>
    <col min="4985" max="4985" width="9.625" style="72" customWidth="1"/>
    <col min="4986" max="4987" width="11.875" style="72" customWidth="1"/>
    <col min="4988" max="4988" width="11.5" style="72" customWidth="1"/>
    <col min="4989" max="5004" width="12.25" style="72" customWidth="1"/>
    <col min="5005" max="5005" width="13" style="72" customWidth="1"/>
    <col min="5006" max="5010" width="12.375" style="72" customWidth="1"/>
    <col min="5011" max="5011" width="13" style="72" customWidth="1"/>
    <col min="5012" max="5013" width="12.375" style="72" customWidth="1"/>
    <col min="5014" max="5014" width="13" style="72" customWidth="1"/>
    <col min="5015" max="5015" width="13.125" style="72" customWidth="1"/>
    <col min="5016" max="5016" width="13" style="72" customWidth="1"/>
    <col min="5017" max="5017" width="13.125" style="72" customWidth="1"/>
    <col min="5018" max="5019" width="12.375" style="72" customWidth="1"/>
    <col min="5020" max="5020" width="13" style="72" customWidth="1"/>
    <col min="5021" max="5021" width="12.375" style="72" customWidth="1"/>
    <col min="5022" max="5022" width="12.25" style="72" customWidth="1"/>
    <col min="5023" max="5023" width="12.125" style="72" customWidth="1"/>
    <col min="5024" max="5024" width="11.625" style="72" customWidth="1"/>
    <col min="5025" max="5025" width="12" style="72" customWidth="1"/>
    <col min="5026" max="5026" width="13" style="72" customWidth="1"/>
    <col min="5027" max="5027" width="11.625" style="72" customWidth="1"/>
    <col min="5028" max="5029" width="12" style="72" customWidth="1"/>
    <col min="5030" max="5032" width="11.625" style="72" customWidth="1"/>
    <col min="5033" max="5033" width="11.125" style="72" customWidth="1"/>
    <col min="5034" max="5034" width="12" style="72" customWidth="1"/>
    <col min="5035" max="5035" width="13" style="72" customWidth="1"/>
    <col min="5036" max="5036" width="13.625" style="72" customWidth="1"/>
    <col min="5037" max="5037" width="11.875" style="72" customWidth="1"/>
    <col min="5038" max="5039" width="11.625" style="72" customWidth="1"/>
    <col min="5040" max="5040" width="12" style="72" customWidth="1"/>
    <col min="5041" max="5041" width="12.75" style="72" customWidth="1"/>
    <col min="5042" max="5042" width="11.625" style="72" customWidth="1"/>
    <col min="5043" max="5043" width="12.125" style="72" customWidth="1"/>
    <col min="5044" max="5045" width="11.625" style="72" customWidth="1"/>
    <col min="5046" max="5046" width="12.5" style="72" customWidth="1"/>
    <col min="5047" max="5221" width="11.625" style="72" customWidth="1"/>
    <col min="5222" max="5222" width="17.75" style="72" customWidth="1"/>
    <col min="5223" max="5224" width="9" style="72" customWidth="1"/>
    <col min="5225" max="5225" width="16.25" style="72" customWidth="1"/>
    <col min="5226" max="5226" width="24" style="72" customWidth="1"/>
    <col min="5227" max="5227" width="9" style="72"/>
    <col min="5228" max="5228" width="11.75" style="72" customWidth="1"/>
    <col min="5229" max="5229" width="8.875" style="72" customWidth="1"/>
    <col min="5230" max="5230" width="17.375" style="72" customWidth="1"/>
    <col min="5231" max="5231" width="13.25" style="72" customWidth="1"/>
    <col min="5232" max="5232" width="25.75" style="72" customWidth="1"/>
    <col min="5233" max="5233" width="11.125" style="72" customWidth="1"/>
    <col min="5234" max="5234" width="10.75" style="72" customWidth="1"/>
    <col min="5235" max="5235" width="9" style="72" customWidth="1"/>
    <col min="5236" max="5236" width="9.75" style="72" customWidth="1"/>
    <col min="5237" max="5237" width="7.5" style="72" customWidth="1"/>
    <col min="5238" max="5238" width="13.25" style="72" customWidth="1"/>
    <col min="5239" max="5239" width="11.75" style="72" customWidth="1"/>
    <col min="5240" max="5240" width="8.875" style="72" customWidth="1"/>
    <col min="5241" max="5241" width="9.625" style="72" customWidth="1"/>
    <col min="5242" max="5243" width="11.875" style="72" customWidth="1"/>
    <col min="5244" max="5244" width="11.5" style="72" customWidth="1"/>
    <col min="5245" max="5260" width="12.25" style="72" customWidth="1"/>
    <col min="5261" max="5261" width="13" style="72" customWidth="1"/>
    <col min="5262" max="5266" width="12.375" style="72" customWidth="1"/>
    <col min="5267" max="5267" width="13" style="72" customWidth="1"/>
    <col min="5268" max="5269" width="12.375" style="72" customWidth="1"/>
    <col min="5270" max="5270" width="13" style="72" customWidth="1"/>
    <col min="5271" max="5271" width="13.125" style="72" customWidth="1"/>
    <col min="5272" max="5272" width="13" style="72" customWidth="1"/>
    <col min="5273" max="5273" width="13.125" style="72" customWidth="1"/>
    <col min="5274" max="5275" width="12.375" style="72" customWidth="1"/>
    <col min="5276" max="5276" width="13" style="72" customWidth="1"/>
    <col min="5277" max="5277" width="12.375" style="72" customWidth="1"/>
    <col min="5278" max="5278" width="12.25" style="72" customWidth="1"/>
    <col min="5279" max="5279" width="12.125" style="72" customWidth="1"/>
    <col min="5280" max="5280" width="11.625" style="72" customWidth="1"/>
    <col min="5281" max="5281" width="12" style="72" customWidth="1"/>
    <col min="5282" max="5282" width="13" style="72" customWidth="1"/>
    <col min="5283" max="5283" width="11.625" style="72" customWidth="1"/>
    <col min="5284" max="5285" width="12" style="72" customWidth="1"/>
    <col min="5286" max="5288" width="11.625" style="72" customWidth="1"/>
    <col min="5289" max="5289" width="11.125" style="72" customWidth="1"/>
    <col min="5290" max="5290" width="12" style="72" customWidth="1"/>
    <col min="5291" max="5291" width="13" style="72" customWidth="1"/>
    <col min="5292" max="5292" width="13.625" style="72" customWidth="1"/>
    <col min="5293" max="5293" width="11.875" style="72" customWidth="1"/>
    <col min="5294" max="5295" width="11.625" style="72" customWidth="1"/>
    <col min="5296" max="5296" width="12" style="72" customWidth="1"/>
    <col min="5297" max="5297" width="12.75" style="72" customWidth="1"/>
    <col min="5298" max="5298" width="11.625" style="72" customWidth="1"/>
    <col min="5299" max="5299" width="12.125" style="72" customWidth="1"/>
    <col min="5300" max="5301" width="11.625" style="72" customWidth="1"/>
    <col min="5302" max="5302" width="12.5" style="72" customWidth="1"/>
    <col min="5303" max="5477" width="11.625" style="72" customWidth="1"/>
    <col min="5478" max="5478" width="17.75" style="72" customWidth="1"/>
    <col min="5479" max="5480" width="9" style="72" customWidth="1"/>
    <col min="5481" max="5481" width="16.25" style="72" customWidth="1"/>
    <col min="5482" max="5482" width="24" style="72" customWidth="1"/>
    <col min="5483" max="5483" width="9" style="72"/>
    <col min="5484" max="5484" width="11.75" style="72" customWidth="1"/>
    <col min="5485" max="5485" width="8.875" style="72" customWidth="1"/>
    <col min="5486" max="5486" width="17.375" style="72" customWidth="1"/>
    <col min="5487" max="5487" width="13.25" style="72" customWidth="1"/>
    <col min="5488" max="5488" width="25.75" style="72" customWidth="1"/>
    <col min="5489" max="5489" width="11.125" style="72" customWidth="1"/>
    <col min="5490" max="5490" width="10.75" style="72" customWidth="1"/>
    <col min="5491" max="5491" width="9" style="72" customWidth="1"/>
    <col min="5492" max="5492" width="9.75" style="72" customWidth="1"/>
    <col min="5493" max="5493" width="7.5" style="72" customWidth="1"/>
    <col min="5494" max="5494" width="13.25" style="72" customWidth="1"/>
    <col min="5495" max="5495" width="11.75" style="72" customWidth="1"/>
    <col min="5496" max="5496" width="8.875" style="72" customWidth="1"/>
    <col min="5497" max="5497" width="9.625" style="72" customWidth="1"/>
    <col min="5498" max="5499" width="11.875" style="72" customWidth="1"/>
    <col min="5500" max="5500" width="11.5" style="72" customWidth="1"/>
    <col min="5501" max="5516" width="12.25" style="72" customWidth="1"/>
    <col min="5517" max="5517" width="13" style="72" customWidth="1"/>
    <col min="5518" max="5522" width="12.375" style="72" customWidth="1"/>
    <col min="5523" max="5523" width="13" style="72" customWidth="1"/>
    <col min="5524" max="5525" width="12.375" style="72" customWidth="1"/>
    <col min="5526" max="5526" width="13" style="72" customWidth="1"/>
    <col min="5527" max="5527" width="13.125" style="72" customWidth="1"/>
    <col min="5528" max="5528" width="13" style="72" customWidth="1"/>
    <col min="5529" max="5529" width="13.125" style="72" customWidth="1"/>
    <col min="5530" max="5531" width="12.375" style="72" customWidth="1"/>
    <col min="5532" max="5532" width="13" style="72" customWidth="1"/>
    <col min="5533" max="5533" width="12.375" style="72" customWidth="1"/>
    <col min="5534" max="5534" width="12.25" style="72" customWidth="1"/>
    <col min="5535" max="5535" width="12.125" style="72" customWidth="1"/>
    <col min="5536" max="5536" width="11.625" style="72" customWidth="1"/>
    <col min="5537" max="5537" width="12" style="72" customWidth="1"/>
    <col min="5538" max="5538" width="13" style="72" customWidth="1"/>
    <col min="5539" max="5539" width="11.625" style="72" customWidth="1"/>
    <col min="5540" max="5541" width="12" style="72" customWidth="1"/>
    <col min="5542" max="5544" width="11.625" style="72" customWidth="1"/>
    <col min="5545" max="5545" width="11.125" style="72" customWidth="1"/>
    <col min="5546" max="5546" width="12" style="72" customWidth="1"/>
    <col min="5547" max="5547" width="13" style="72" customWidth="1"/>
    <col min="5548" max="5548" width="13.625" style="72" customWidth="1"/>
    <col min="5549" max="5549" width="11.875" style="72" customWidth="1"/>
    <col min="5550" max="5551" width="11.625" style="72" customWidth="1"/>
    <col min="5552" max="5552" width="12" style="72" customWidth="1"/>
    <col min="5553" max="5553" width="12.75" style="72" customWidth="1"/>
    <col min="5554" max="5554" width="11.625" style="72" customWidth="1"/>
    <col min="5555" max="5555" width="12.125" style="72" customWidth="1"/>
    <col min="5556" max="5557" width="11.625" style="72" customWidth="1"/>
    <col min="5558" max="5558" width="12.5" style="72" customWidth="1"/>
    <col min="5559" max="5733" width="11.625" style="72" customWidth="1"/>
    <col min="5734" max="5734" width="17.75" style="72" customWidth="1"/>
    <col min="5735" max="5736" width="9" style="72" customWidth="1"/>
    <col min="5737" max="5737" width="16.25" style="72" customWidth="1"/>
    <col min="5738" max="5738" width="24" style="72" customWidth="1"/>
    <col min="5739" max="5739" width="9" style="72"/>
    <col min="5740" max="5740" width="11.75" style="72" customWidth="1"/>
    <col min="5741" max="5741" width="8.875" style="72" customWidth="1"/>
    <col min="5742" max="5742" width="17.375" style="72" customWidth="1"/>
    <col min="5743" max="5743" width="13.25" style="72" customWidth="1"/>
    <col min="5744" max="5744" width="25.75" style="72" customWidth="1"/>
    <col min="5745" max="5745" width="11.125" style="72" customWidth="1"/>
    <col min="5746" max="5746" width="10.75" style="72" customWidth="1"/>
    <col min="5747" max="5747" width="9" style="72" customWidth="1"/>
    <col min="5748" max="5748" width="9.75" style="72" customWidth="1"/>
    <col min="5749" max="5749" width="7.5" style="72" customWidth="1"/>
    <col min="5750" max="5750" width="13.25" style="72" customWidth="1"/>
    <col min="5751" max="5751" width="11.75" style="72" customWidth="1"/>
    <col min="5752" max="5752" width="8.875" style="72" customWidth="1"/>
    <col min="5753" max="5753" width="9.625" style="72" customWidth="1"/>
    <col min="5754" max="5755" width="11.875" style="72" customWidth="1"/>
    <col min="5756" max="5756" width="11.5" style="72" customWidth="1"/>
    <col min="5757" max="5772" width="12.25" style="72" customWidth="1"/>
    <col min="5773" max="5773" width="13" style="72" customWidth="1"/>
    <col min="5774" max="5778" width="12.375" style="72" customWidth="1"/>
    <col min="5779" max="5779" width="13" style="72" customWidth="1"/>
    <col min="5780" max="5781" width="12.375" style="72" customWidth="1"/>
    <col min="5782" max="5782" width="13" style="72" customWidth="1"/>
    <col min="5783" max="5783" width="13.125" style="72" customWidth="1"/>
    <col min="5784" max="5784" width="13" style="72" customWidth="1"/>
    <col min="5785" max="5785" width="13.125" style="72" customWidth="1"/>
    <col min="5786" max="5787" width="12.375" style="72" customWidth="1"/>
    <col min="5788" max="5788" width="13" style="72" customWidth="1"/>
    <col min="5789" max="5789" width="12.375" style="72" customWidth="1"/>
    <col min="5790" max="5790" width="12.25" style="72" customWidth="1"/>
    <col min="5791" max="5791" width="12.125" style="72" customWidth="1"/>
    <col min="5792" max="5792" width="11.625" style="72" customWidth="1"/>
    <col min="5793" max="5793" width="12" style="72" customWidth="1"/>
    <col min="5794" max="5794" width="13" style="72" customWidth="1"/>
    <col min="5795" max="5795" width="11.625" style="72" customWidth="1"/>
    <col min="5796" max="5797" width="12" style="72" customWidth="1"/>
    <col min="5798" max="5800" width="11.625" style="72" customWidth="1"/>
    <col min="5801" max="5801" width="11.125" style="72" customWidth="1"/>
    <col min="5802" max="5802" width="12" style="72" customWidth="1"/>
    <col min="5803" max="5803" width="13" style="72" customWidth="1"/>
    <col min="5804" max="5804" width="13.625" style="72" customWidth="1"/>
    <col min="5805" max="5805" width="11.875" style="72" customWidth="1"/>
    <col min="5806" max="5807" width="11.625" style="72" customWidth="1"/>
    <col min="5808" max="5808" width="12" style="72" customWidth="1"/>
    <col min="5809" max="5809" width="12.75" style="72" customWidth="1"/>
    <col min="5810" max="5810" width="11.625" style="72" customWidth="1"/>
    <col min="5811" max="5811" width="12.125" style="72" customWidth="1"/>
    <col min="5812" max="5813" width="11.625" style="72" customWidth="1"/>
    <col min="5814" max="5814" width="12.5" style="72" customWidth="1"/>
    <col min="5815" max="5989" width="11.625" style="72" customWidth="1"/>
    <col min="5990" max="5990" width="17.75" style="72" customWidth="1"/>
    <col min="5991" max="5992" width="9" style="72" customWidth="1"/>
    <col min="5993" max="5993" width="16.25" style="72" customWidth="1"/>
    <col min="5994" max="5994" width="24" style="72" customWidth="1"/>
    <col min="5995" max="5995" width="9" style="72"/>
    <col min="5996" max="5996" width="11.75" style="72" customWidth="1"/>
    <col min="5997" max="5997" width="8.875" style="72" customWidth="1"/>
    <col min="5998" max="5998" width="17.375" style="72" customWidth="1"/>
    <col min="5999" max="5999" width="13.25" style="72" customWidth="1"/>
    <col min="6000" max="6000" width="25.75" style="72" customWidth="1"/>
    <col min="6001" max="6001" width="11.125" style="72" customWidth="1"/>
    <col min="6002" max="6002" width="10.75" style="72" customWidth="1"/>
    <col min="6003" max="6003" width="9" style="72" customWidth="1"/>
    <col min="6004" max="6004" width="9.75" style="72" customWidth="1"/>
    <col min="6005" max="6005" width="7.5" style="72" customWidth="1"/>
    <col min="6006" max="6006" width="13.25" style="72" customWidth="1"/>
    <col min="6007" max="6007" width="11.75" style="72" customWidth="1"/>
    <col min="6008" max="6008" width="8.875" style="72" customWidth="1"/>
    <col min="6009" max="6009" width="9.625" style="72" customWidth="1"/>
    <col min="6010" max="6011" width="11.875" style="72" customWidth="1"/>
    <col min="6012" max="6012" width="11.5" style="72" customWidth="1"/>
    <col min="6013" max="6028" width="12.25" style="72" customWidth="1"/>
    <col min="6029" max="6029" width="13" style="72" customWidth="1"/>
    <col min="6030" max="6034" width="12.375" style="72" customWidth="1"/>
    <col min="6035" max="6035" width="13" style="72" customWidth="1"/>
    <col min="6036" max="6037" width="12.375" style="72" customWidth="1"/>
    <col min="6038" max="6038" width="13" style="72" customWidth="1"/>
    <col min="6039" max="6039" width="13.125" style="72" customWidth="1"/>
    <col min="6040" max="6040" width="13" style="72" customWidth="1"/>
    <col min="6041" max="6041" width="13.125" style="72" customWidth="1"/>
    <col min="6042" max="6043" width="12.375" style="72" customWidth="1"/>
    <col min="6044" max="6044" width="13" style="72" customWidth="1"/>
    <col min="6045" max="6045" width="12.375" style="72" customWidth="1"/>
    <col min="6046" max="6046" width="12.25" style="72" customWidth="1"/>
    <col min="6047" max="6047" width="12.125" style="72" customWidth="1"/>
    <col min="6048" max="6048" width="11.625" style="72" customWidth="1"/>
    <col min="6049" max="6049" width="12" style="72" customWidth="1"/>
    <col min="6050" max="6050" width="13" style="72" customWidth="1"/>
    <col min="6051" max="6051" width="11.625" style="72" customWidth="1"/>
    <col min="6052" max="6053" width="12" style="72" customWidth="1"/>
    <col min="6054" max="6056" width="11.625" style="72" customWidth="1"/>
    <col min="6057" max="6057" width="11.125" style="72" customWidth="1"/>
    <col min="6058" max="6058" width="12" style="72" customWidth="1"/>
    <col min="6059" max="6059" width="13" style="72" customWidth="1"/>
    <col min="6060" max="6060" width="13.625" style="72" customWidth="1"/>
    <col min="6061" max="6061" width="11.875" style="72" customWidth="1"/>
    <col min="6062" max="6063" width="11.625" style="72" customWidth="1"/>
    <col min="6064" max="6064" width="12" style="72" customWidth="1"/>
    <col min="6065" max="6065" width="12.75" style="72" customWidth="1"/>
    <col min="6066" max="6066" width="11.625" style="72" customWidth="1"/>
    <col min="6067" max="6067" width="12.125" style="72" customWidth="1"/>
    <col min="6068" max="6069" width="11.625" style="72" customWidth="1"/>
    <col min="6070" max="6070" width="12.5" style="72" customWidth="1"/>
    <col min="6071" max="6245" width="11.625" style="72" customWidth="1"/>
    <col min="6246" max="6246" width="17.75" style="72" customWidth="1"/>
    <col min="6247" max="6248" width="9" style="72" customWidth="1"/>
    <col min="6249" max="6249" width="16.25" style="72" customWidth="1"/>
    <col min="6250" max="6250" width="24" style="72" customWidth="1"/>
    <col min="6251" max="6251" width="9" style="72"/>
    <col min="6252" max="6252" width="11.75" style="72" customWidth="1"/>
    <col min="6253" max="6253" width="8.875" style="72" customWidth="1"/>
    <col min="6254" max="6254" width="17.375" style="72" customWidth="1"/>
    <col min="6255" max="6255" width="13.25" style="72" customWidth="1"/>
    <col min="6256" max="6256" width="25.75" style="72" customWidth="1"/>
    <col min="6257" max="6257" width="11.125" style="72" customWidth="1"/>
    <col min="6258" max="6258" width="10.75" style="72" customWidth="1"/>
    <col min="6259" max="6259" width="9" style="72" customWidth="1"/>
    <col min="6260" max="6260" width="9.75" style="72" customWidth="1"/>
    <col min="6261" max="6261" width="7.5" style="72" customWidth="1"/>
    <col min="6262" max="6262" width="13.25" style="72" customWidth="1"/>
    <col min="6263" max="6263" width="11.75" style="72" customWidth="1"/>
    <col min="6264" max="6264" width="8.875" style="72" customWidth="1"/>
    <col min="6265" max="6265" width="9.625" style="72" customWidth="1"/>
    <col min="6266" max="6267" width="11.875" style="72" customWidth="1"/>
    <col min="6268" max="6268" width="11.5" style="72" customWidth="1"/>
    <col min="6269" max="6284" width="12.25" style="72" customWidth="1"/>
    <col min="6285" max="6285" width="13" style="72" customWidth="1"/>
    <col min="6286" max="6290" width="12.375" style="72" customWidth="1"/>
    <col min="6291" max="6291" width="13" style="72" customWidth="1"/>
    <col min="6292" max="6293" width="12.375" style="72" customWidth="1"/>
    <col min="6294" max="6294" width="13" style="72" customWidth="1"/>
    <col min="6295" max="6295" width="13.125" style="72" customWidth="1"/>
    <col min="6296" max="6296" width="13" style="72" customWidth="1"/>
    <col min="6297" max="6297" width="13.125" style="72" customWidth="1"/>
    <col min="6298" max="6299" width="12.375" style="72" customWidth="1"/>
    <col min="6300" max="6300" width="13" style="72" customWidth="1"/>
    <col min="6301" max="6301" width="12.375" style="72" customWidth="1"/>
    <col min="6302" max="6302" width="12.25" style="72" customWidth="1"/>
    <col min="6303" max="6303" width="12.125" style="72" customWidth="1"/>
    <col min="6304" max="6304" width="11.625" style="72" customWidth="1"/>
    <col min="6305" max="6305" width="12" style="72" customWidth="1"/>
    <col min="6306" max="6306" width="13" style="72" customWidth="1"/>
    <col min="6307" max="6307" width="11.625" style="72" customWidth="1"/>
    <col min="6308" max="6309" width="12" style="72" customWidth="1"/>
    <col min="6310" max="6312" width="11.625" style="72" customWidth="1"/>
    <col min="6313" max="6313" width="11.125" style="72" customWidth="1"/>
    <col min="6314" max="6314" width="12" style="72" customWidth="1"/>
    <col min="6315" max="6315" width="13" style="72" customWidth="1"/>
    <col min="6316" max="6316" width="13.625" style="72" customWidth="1"/>
    <col min="6317" max="6317" width="11.875" style="72" customWidth="1"/>
    <col min="6318" max="6319" width="11.625" style="72" customWidth="1"/>
    <col min="6320" max="6320" width="12" style="72" customWidth="1"/>
    <col min="6321" max="6321" width="12.75" style="72" customWidth="1"/>
    <col min="6322" max="6322" width="11.625" style="72" customWidth="1"/>
    <col min="6323" max="6323" width="12.125" style="72" customWidth="1"/>
    <col min="6324" max="6325" width="11.625" style="72" customWidth="1"/>
    <col min="6326" max="6326" width="12.5" style="72" customWidth="1"/>
    <col min="6327" max="6501" width="11.625" style="72" customWidth="1"/>
    <col min="6502" max="6502" width="17.75" style="72" customWidth="1"/>
    <col min="6503" max="6504" width="9" style="72" customWidth="1"/>
    <col min="6505" max="6505" width="16.25" style="72" customWidth="1"/>
    <col min="6506" max="6506" width="24" style="72" customWidth="1"/>
    <col min="6507" max="6507" width="9" style="72"/>
    <col min="6508" max="6508" width="11.75" style="72" customWidth="1"/>
    <col min="6509" max="6509" width="8.875" style="72" customWidth="1"/>
    <col min="6510" max="6510" width="17.375" style="72" customWidth="1"/>
    <col min="6511" max="6511" width="13.25" style="72" customWidth="1"/>
    <col min="6512" max="6512" width="25.75" style="72" customWidth="1"/>
    <col min="6513" max="6513" width="11.125" style="72" customWidth="1"/>
    <col min="6514" max="6514" width="10.75" style="72" customWidth="1"/>
    <col min="6515" max="6515" width="9" style="72" customWidth="1"/>
    <col min="6516" max="6516" width="9.75" style="72" customWidth="1"/>
    <col min="6517" max="6517" width="7.5" style="72" customWidth="1"/>
    <col min="6518" max="6518" width="13.25" style="72" customWidth="1"/>
    <col min="6519" max="6519" width="11.75" style="72" customWidth="1"/>
    <col min="6520" max="6520" width="8.875" style="72" customWidth="1"/>
    <col min="6521" max="6521" width="9.625" style="72" customWidth="1"/>
    <col min="6522" max="6523" width="11.875" style="72" customWidth="1"/>
    <col min="6524" max="6524" width="11.5" style="72" customWidth="1"/>
    <col min="6525" max="6540" width="12.25" style="72" customWidth="1"/>
    <col min="6541" max="6541" width="13" style="72" customWidth="1"/>
    <col min="6542" max="6546" width="12.375" style="72" customWidth="1"/>
    <col min="6547" max="6547" width="13" style="72" customWidth="1"/>
    <col min="6548" max="6549" width="12.375" style="72" customWidth="1"/>
    <col min="6550" max="6550" width="13" style="72" customWidth="1"/>
    <col min="6551" max="6551" width="13.125" style="72" customWidth="1"/>
    <col min="6552" max="6552" width="13" style="72" customWidth="1"/>
    <col min="6553" max="6553" width="13.125" style="72" customWidth="1"/>
    <col min="6554" max="6555" width="12.375" style="72" customWidth="1"/>
    <col min="6556" max="6556" width="13" style="72" customWidth="1"/>
    <col min="6557" max="6557" width="12.375" style="72" customWidth="1"/>
    <col min="6558" max="6558" width="12.25" style="72" customWidth="1"/>
    <col min="6559" max="6559" width="12.125" style="72" customWidth="1"/>
    <col min="6560" max="6560" width="11.625" style="72" customWidth="1"/>
    <col min="6561" max="6561" width="12" style="72" customWidth="1"/>
    <col min="6562" max="6562" width="13" style="72" customWidth="1"/>
    <col min="6563" max="6563" width="11.625" style="72" customWidth="1"/>
    <col min="6564" max="6565" width="12" style="72" customWidth="1"/>
    <col min="6566" max="6568" width="11.625" style="72" customWidth="1"/>
    <col min="6569" max="6569" width="11.125" style="72" customWidth="1"/>
    <col min="6570" max="6570" width="12" style="72" customWidth="1"/>
    <col min="6571" max="6571" width="13" style="72" customWidth="1"/>
    <col min="6572" max="6572" width="13.625" style="72" customWidth="1"/>
    <col min="6573" max="6573" width="11.875" style="72" customWidth="1"/>
    <col min="6574" max="6575" width="11.625" style="72" customWidth="1"/>
    <col min="6576" max="6576" width="12" style="72" customWidth="1"/>
    <col min="6577" max="6577" width="12.75" style="72" customWidth="1"/>
    <col min="6578" max="6578" width="11.625" style="72" customWidth="1"/>
    <col min="6579" max="6579" width="12.125" style="72" customWidth="1"/>
    <col min="6580" max="6581" width="11.625" style="72" customWidth="1"/>
    <col min="6582" max="6582" width="12.5" style="72" customWidth="1"/>
    <col min="6583" max="6757" width="11.625" style="72" customWidth="1"/>
    <col min="6758" max="6758" width="17.75" style="72" customWidth="1"/>
    <col min="6759" max="6760" width="9" style="72" customWidth="1"/>
    <col min="6761" max="6761" width="16.25" style="72" customWidth="1"/>
    <col min="6762" max="6762" width="24" style="72" customWidth="1"/>
    <col min="6763" max="6763" width="9" style="72"/>
    <col min="6764" max="6764" width="11.75" style="72" customWidth="1"/>
    <col min="6765" max="6765" width="8.875" style="72" customWidth="1"/>
    <col min="6766" max="6766" width="17.375" style="72" customWidth="1"/>
    <col min="6767" max="6767" width="13.25" style="72" customWidth="1"/>
    <col min="6768" max="6768" width="25.75" style="72" customWidth="1"/>
    <col min="6769" max="6769" width="11.125" style="72" customWidth="1"/>
    <col min="6770" max="6770" width="10.75" style="72" customWidth="1"/>
    <col min="6771" max="6771" width="9" style="72" customWidth="1"/>
    <col min="6772" max="6772" width="9.75" style="72" customWidth="1"/>
    <col min="6773" max="6773" width="7.5" style="72" customWidth="1"/>
    <col min="6774" max="6774" width="13.25" style="72" customWidth="1"/>
    <col min="6775" max="6775" width="11.75" style="72" customWidth="1"/>
    <col min="6776" max="6776" width="8.875" style="72" customWidth="1"/>
    <col min="6777" max="6777" width="9.625" style="72" customWidth="1"/>
    <col min="6778" max="6779" width="11.875" style="72" customWidth="1"/>
    <col min="6780" max="6780" width="11.5" style="72" customWidth="1"/>
    <col min="6781" max="6796" width="12.25" style="72" customWidth="1"/>
    <col min="6797" max="6797" width="13" style="72" customWidth="1"/>
    <col min="6798" max="6802" width="12.375" style="72" customWidth="1"/>
    <col min="6803" max="6803" width="13" style="72" customWidth="1"/>
    <col min="6804" max="6805" width="12.375" style="72" customWidth="1"/>
    <col min="6806" max="6806" width="13" style="72" customWidth="1"/>
    <col min="6807" max="6807" width="13.125" style="72" customWidth="1"/>
    <col min="6808" max="6808" width="13" style="72" customWidth="1"/>
    <col min="6809" max="6809" width="13.125" style="72" customWidth="1"/>
    <col min="6810" max="6811" width="12.375" style="72" customWidth="1"/>
    <col min="6812" max="6812" width="13" style="72" customWidth="1"/>
    <col min="6813" max="6813" width="12.375" style="72" customWidth="1"/>
    <col min="6814" max="6814" width="12.25" style="72" customWidth="1"/>
    <col min="6815" max="6815" width="12.125" style="72" customWidth="1"/>
    <col min="6816" max="6816" width="11.625" style="72" customWidth="1"/>
    <col min="6817" max="6817" width="12" style="72" customWidth="1"/>
    <col min="6818" max="6818" width="13" style="72" customWidth="1"/>
    <col min="6819" max="6819" width="11.625" style="72" customWidth="1"/>
    <col min="6820" max="6821" width="12" style="72" customWidth="1"/>
    <col min="6822" max="6824" width="11.625" style="72" customWidth="1"/>
    <col min="6825" max="6825" width="11.125" style="72" customWidth="1"/>
    <col min="6826" max="6826" width="12" style="72" customWidth="1"/>
    <col min="6827" max="6827" width="13" style="72" customWidth="1"/>
    <col min="6828" max="6828" width="13.625" style="72" customWidth="1"/>
    <col min="6829" max="6829" width="11.875" style="72" customWidth="1"/>
    <col min="6830" max="6831" width="11.625" style="72" customWidth="1"/>
    <col min="6832" max="6832" width="12" style="72" customWidth="1"/>
    <col min="6833" max="6833" width="12.75" style="72" customWidth="1"/>
    <col min="6834" max="6834" width="11.625" style="72" customWidth="1"/>
    <col min="6835" max="6835" width="12.125" style="72" customWidth="1"/>
    <col min="6836" max="6837" width="11.625" style="72" customWidth="1"/>
    <col min="6838" max="6838" width="12.5" style="72" customWidth="1"/>
    <col min="6839" max="7013" width="11.625" style="72" customWidth="1"/>
    <col min="7014" max="7014" width="17.75" style="72" customWidth="1"/>
    <col min="7015" max="7016" width="9" style="72" customWidth="1"/>
    <col min="7017" max="7017" width="16.25" style="72" customWidth="1"/>
    <col min="7018" max="7018" width="24" style="72" customWidth="1"/>
    <col min="7019" max="7019" width="9" style="72"/>
    <col min="7020" max="7020" width="11.75" style="72" customWidth="1"/>
    <col min="7021" max="7021" width="8.875" style="72" customWidth="1"/>
    <col min="7022" max="7022" width="17.375" style="72" customWidth="1"/>
    <col min="7023" max="7023" width="13.25" style="72" customWidth="1"/>
    <col min="7024" max="7024" width="25.75" style="72" customWidth="1"/>
    <col min="7025" max="7025" width="11.125" style="72" customWidth="1"/>
    <col min="7026" max="7026" width="10.75" style="72" customWidth="1"/>
    <col min="7027" max="7027" width="9" style="72" customWidth="1"/>
    <col min="7028" max="7028" width="9.75" style="72" customWidth="1"/>
    <col min="7029" max="7029" width="7.5" style="72" customWidth="1"/>
    <col min="7030" max="7030" width="13.25" style="72" customWidth="1"/>
    <col min="7031" max="7031" width="11.75" style="72" customWidth="1"/>
    <col min="7032" max="7032" width="8.875" style="72" customWidth="1"/>
    <col min="7033" max="7033" width="9.625" style="72" customWidth="1"/>
    <col min="7034" max="7035" width="11.875" style="72" customWidth="1"/>
    <col min="7036" max="7036" width="11.5" style="72" customWidth="1"/>
    <col min="7037" max="7052" width="12.25" style="72" customWidth="1"/>
    <col min="7053" max="7053" width="13" style="72" customWidth="1"/>
    <col min="7054" max="7058" width="12.375" style="72" customWidth="1"/>
    <col min="7059" max="7059" width="13" style="72" customWidth="1"/>
    <col min="7060" max="7061" width="12.375" style="72" customWidth="1"/>
    <col min="7062" max="7062" width="13" style="72" customWidth="1"/>
    <col min="7063" max="7063" width="13.125" style="72" customWidth="1"/>
    <col min="7064" max="7064" width="13" style="72" customWidth="1"/>
    <col min="7065" max="7065" width="13.125" style="72" customWidth="1"/>
    <col min="7066" max="7067" width="12.375" style="72" customWidth="1"/>
    <col min="7068" max="7068" width="13" style="72" customWidth="1"/>
    <col min="7069" max="7069" width="12.375" style="72" customWidth="1"/>
    <col min="7070" max="7070" width="12.25" style="72" customWidth="1"/>
    <col min="7071" max="7071" width="12.125" style="72" customWidth="1"/>
    <col min="7072" max="7072" width="11.625" style="72" customWidth="1"/>
    <col min="7073" max="7073" width="12" style="72" customWidth="1"/>
    <col min="7074" max="7074" width="13" style="72" customWidth="1"/>
    <col min="7075" max="7075" width="11.625" style="72" customWidth="1"/>
    <col min="7076" max="7077" width="12" style="72" customWidth="1"/>
    <col min="7078" max="7080" width="11.625" style="72" customWidth="1"/>
    <col min="7081" max="7081" width="11.125" style="72" customWidth="1"/>
    <col min="7082" max="7082" width="12" style="72" customWidth="1"/>
    <col min="7083" max="7083" width="13" style="72" customWidth="1"/>
    <col min="7084" max="7084" width="13.625" style="72" customWidth="1"/>
    <col min="7085" max="7085" width="11.875" style="72" customWidth="1"/>
    <col min="7086" max="7087" width="11.625" style="72" customWidth="1"/>
    <col min="7088" max="7088" width="12" style="72" customWidth="1"/>
    <col min="7089" max="7089" width="12.75" style="72" customWidth="1"/>
    <col min="7090" max="7090" width="11.625" style="72" customWidth="1"/>
    <col min="7091" max="7091" width="12.125" style="72" customWidth="1"/>
    <col min="7092" max="7093" width="11.625" style="72" customWidth="1"/>
    <col min="7094" max="7094" width="12.5" style="72" customWidth="1"/>
    <col min="7095" max="7269" width="11.625" style="72" customWidth="1"/>
    <col min="7270" max="7270" width="17.75" style="72" customWidth="1"/>
    <col min="7271" max="7272" width="9" style="72" customWidth="1"/>
    <col min="7273" max="7273" width="16.25" style="72" customWidth="1"/>
    <col min="7274" max="7274" width="24" style="72" customWidth="1"/>
    <col min="7275" max="7275" width="9" style="72"/>
    <col min="7276" max="7276" width="11.75" style="72" customWidth="1"/>
    <col min="7277" max="7277" width="8.875" style="72" customWidth="1"/>
    <col min="7278" max="7278" width="17.375" style="72" customWidth="1"/>
    <col min="7279" max="7279" width="13.25" style="72" customWidth="1"/>
    <col min="7280" max="7280" width="25.75" style="72" customWidth="1"/>
    <col min="7281" max="7281" width="11.125" style="72" customWidth="1"/>
    <col min="7282" max="7282" width="10.75" style="72" customWidth="1"/>
    <col min="7283" max="7283" width="9" style="72" customWidth="1"/>
    <col min="7284" max="7284" width="9.75" style="72" customWidth="1"/>
    <col min="7285" max="7285" width="7.5" style="72" customWidth="1"/>
    <col min="7286" max="7286" width="13.25" style="72" customWidth="1"/>
    <col min="7287" max="7287" width="11.75" style="72" customWidth="1"/>
    <col min="7288" max="7288" width="8.875" style="72" customWidth="1"/>
    <col min="7289" max="7289" width="9.625" style="72" customWidth="1"/>
    <col min="7290" max="7291" width="11.875" style="72" customWidth="1"/>
    <col min="7292" max="7292" width="11.5" style="72" customWidth="1"/>
    <col min="7293" max="7308" width="12.25" style="72" customWidth="1"/>
    <col min="7309" max="7309" width="13" style="72" customWidth="1"/>
    <col min="7310" max="7314" width="12.375" style="72" customWidth="1"/>
    <col min="7315" max="7315" width="13" style="72" customWidth="1"/>
    <col min="7316" max="7317" width="12.375" style="72" customWidth="1"/>
    <col min="7318" max="7318" width="13" style="72" customWidth="1"/>
    <col min="7319" max="7319" width="13.125" style="72" customWidth="1"/>
    <col min="7320" max="7320" width="13" style="72" customWidth="1"/>
    <col min="7321" max="7321" width="13.125" style="72" customWidth="1"/>
    <col min="7322" max="7323" width="12.375" style="72" customWidth="1"/>
    <col min="7324" max="7324" width="13" style="72" customWidth="1"/>
    <col min="7325" max="7325" width="12.375" style="72" customWidth="1"/>
    <col min="7326" max="7326" width="12.25" style="72" customWidth="1"/>
    <col min="7327" max="7327" width="12.125" style="72" customWidth="1"/>
    <col min="7328" max="7328" width="11.625" style="72" customWidth="1"/>
    <col min="7329" max="7329" width="12" style="72" customWidth="1"/>
    <col min="7330" max="7330" width="13" style="72" customWidth="1"/>
    <col min="7331" max="7331" width="11.625" style="72" customWidth="1"/>
    <col min="7332" max="7333" width="12" style="72" customWidth="1"/>
    <col min="7334" max="7336" width="11.625" style="72" customWidth="1"/>
    <col min="7337" max="7337" width="11.125" style="72" customWidth="1"/>
    <col min="7338" max="7338" width="12" style="72" customWidth="1"/>
    <col min="7339" max="7339" width="13" style="72" customWidth="1"/>
    <col min="7340" max="7340" width="13.625" style="72" customWidth="1"/>
    <col min="7341" max="7341" width="11.875" style="72" customWidth="1"/>
    <col min="7342" max="7343" width="11.625" style="72" customWidth="1"/>
    <col min="7344" max="7344" width="12" style="72" customWidth="1"/>
    <col min="7345" max="7345" width="12.75" style="72" customWidth="1"/>
    <col min="7346" max="7346" width="11.625" style="72" customWidth="1"/>
    <col min="7347" max="7347" width="12.125" style="72" customWidth="1"/>
    <col min="7348" max="7349" width="11.625" style="72" customWidth="1"/>
    <col min="7350" max="7350" width="12.5" style="72" customWidth="1"/>
    <col min="7351" max="7525" width="11.625" style="72" customWidth="1"/>
    <col min="7526" max="7526" width="17.75" style="72" customWidth="1"/>
    <col min="7527" max="7528" width="9" style="72" customWidth="1"/>
    <col min="7529" max="7529" width="16.25" style="72" customWidth="1"/>
    <col min="7530" max="7530" width="24" style="72" customWidth="1"/>
    <col min="7531" max="7531" width="9" style="72"/>
    <col min="7532" max="7532" width="11.75" style="72" customWidth="1"/>
    <col min="7533" max="7533" width="8.875" style="72" customWidth="1"/>
    <col min="7534" max="7534" width="17.375" style="72" customWidth="1"/>
    <col min="7535" max="7535" width="13.25" style="72" customWidth="1"/>
    <col min="7536" max="7536" width="25.75" style="72" customWidth="1"/>
    <col min="7537" max="7537" width="11.125" style="72" customWidth="1"/>
    <col min="7538" max="7538" width="10.75" style="72" customWidth="1"/>
    <col min="7539" max="7539" width="9" style="72" customWidth="1"/>
    <col min="7540" max="7540" width="9.75" style="72" customWidth="1"/>
    <col min="7541" max="7541" width="7.5" style="72" customWidth="1"/>
    <col min="7542" max="7542" width="13.25" style="72" customWidth="1"/>
    <col min="7543" max="7543" width="11.75" style="72" customWidth="1"/>
    <col min="7544" max="7544" width="8.875" style="72" customWidth="1"/>
    <col min="7545" max="7545" width="9.625" style="72" customWidth="1"/>
    <col min="7546" max="7547" width="11.875" style="72" customWidth="1"/>
    <col min="7548" max="7548" width="11.5" style="72" customWidth="1"/>
    <col min="7549" max="7564" width="12.25" style="72" customWidth="1"/>
    <col min="7565" max="7565" width="13" style="72" customWidth="1"/>
    <col min="7566" max="7570" width="12.375" style="72" customWidth="1"/>
    <col min="7571" max="7571" width="13" style="72" customWidth="1"/>
    <col min="7572" max="7573" width="12.375" style="72" customWidth="1"/>
    <col min="7574" max="7574" width="13" style="72" customWidth="1"/>
    <col min="7575" max="7575" width="13.125" style="72" customWidth="1"/>
    <col min="7576" max="7576" width="13" style="72" customWidth="1"/>
    <col min="7577" max="7577" width="13.125" style="72" customWidth="1"/>
    <col min="7578" max="7579" width="12.375" style="72" customWidth="1"/>
    <col min="7580" max="7580" width="13" style="72" customWidth="1"/>
    <col min="7581" max="7581" width="12.375" style="72" customWidth="1"/>
    <col min="7582" max="7582" width="12.25" style="72" customWidth="1"/>
    <col min="7583" max="7583" width="12.125" style="72" customWidth="1"/>
    <col min="7584" max="7584" width="11.625" style="72" customWidth="1"/>
    <col min="7585" max="7585" width="12" style="72" customWidth="1"/>
    <col min="7586" max="7586" width="13" style="72" customWidth="1"/>
    <col min="7587" max="7587" width="11.625" style="72" customWidth="1"/>
    <col min="7588" max="7589" width="12" style="72" customWidth="1"/>
    <col min="7590" max="7592" width="11.625" style="72" customWidth="1"/>
    <col min="7593" max="7593" width="11.125" style="72" customWidth="1"/>
    <col min="7594" max="7594" width="12" style="72" customWidth="1"/>
    <col min="7595" max="7595" width="13" style="72" customWidth="1"/>
    <col min="7596" max="7596" width="13.625" style="72" customWidth="1"/>
    <col min="7597" max="7597" width="11.875" style="72" customWidth="1"/>
    <col min="7598" max="7599" width="11.625" style="72" customWidth="1"/>
    <col min="7600" max="7600" width="12" style="72" customWidth="1"/>
    <col min="7601" max="7601" width="12.75" style="72" customWidth="1"/>
    <col min="7602" max="7602" width="11.625" style="72" customWidth="1"/>
    <col min="7603" max="7603" width="12.125" style="72" customWidth="1"/>
    <col min="7604" max="7605" width="11.625" style="72" customWidth="1"/>
    <col min="7606" max="7606" width="12.5" style="72" customWidth="1"/>
    <col min="7607" max="7781" width="11.625" style="72" customWidth="1"/>
    <col min="7782" max="7782" width="17.75" style="72" customWidth="1"/>
    <col min="7783" max="7784" width="9" style="72" customWidth="1"/>
    <col min="7785" max="7785" width="16.25" style="72" customWidth="1"/>
    <col min="7786" max="7786" width="24" style="72" customWidth="1"/>
    <col min="7787" max="7787" width="9" style="72"/>
    <col min="7788" max="7788" width="11.75" style="72" customWidth="1"/>
    <col min="7789" max="7789" width="8.875" style="72" customWidth="1"/>
    <col min="7790" max="7790" width="17.375" style="72" customWidth="1"/>
    <col min="7791" max="7791" width="13.25" style="72" customWidth="1"/>
    <col min="7792" max="7792" width="25.75" style="72" customWidth="1"/>
    <col min="7793" max="7793" width="11.125" style="72" customWidth="1"/>
    <col min="7794" max="7794" width="10.75" style="72" customWidth="1"/>
    <col min="7795" max="7795" width="9" style="72" customWidth="1"/>
    <col min="7796" max="7796" width="9.75" style="72" customWidth="1"/>
    <col min="7797" max="7797" width="7.5" style="72" customWidth="1"/>
    <col min="7798" max="7798" width="13.25" style="72" customWidth="1"/>
    <col min="7799" max="7799" width="11.75" style="72" customWidth="1"/>
    <col min="7800" max="7800" width="8.875" style="72" customWidth="1"/>
    <col min="7801" max="7801" width="9.625" style="72" customWidth="1"/>
    <col min="7802" max="7803" width="11.875" style="72" customWidth="1"/>
    <col min="7804" max="7804" width="11.5" style="72" customWidth="1"/>
    <col min="7805" max="7820" width="12.25" style="72" customWidth="1"/>
    <col min="7821" max="7821" width="13" style="72" customWidth="1"/>
    <col min="7822" max="7826" width="12.375" style="72" customWidth="1"/>
    <col min="7827" max="7827" width="13" style="72" customWidth="1"/>
    <col min="7828" max="7829" width="12.375" style="72" customWidth="1"/>
    <col min="7830" max="7830" width="13" style="72" customWidth="1"/>
    <col min="7831" max="7831" width="13.125" style="72" customWidth="1"/>
    <col min="7832" max="7832" width="13" style="72" customWidth="1"/>
    <col min="7833" max="7833" width="13.125" style="72" customWidth="1"/>
    <col min="7834" max="7835" width="12.375" style="72" customWidth="1"/>
    <col min="7836" max="7836" width="13" style="72" customWidth="1"/>
    <col min="7837" max="7837" width="12.375" style="72" customWidth="1"/>
    <col min="7838" max="7838" width="12.25" style="72" customWidth="1"/>
    <col min="7839" max="7839" width="12.125" style="72" customWidth="1"/>
    <col min="7840" max="7840" width="11.625" style="72" customWidth="1"/>
    <col min="7841" max="7841" width="12" style="72" customWidth="1"/>
    <col min="7842" max="7842" width="13" style="72" customWidth="1"/>
    <col min="7843" max="7843" width="11.625" style="72" customWidth="1"/>
    <col min="7844" max="7845" width="12" style="72" customWidth="1"/>
    <col min="7846" max="7848" width="11.625" style="72" customWidth="1"/>
    <col min="7849" max="7849" width="11.125" style="72" customWidth="1"/>
    <col min="7850" max="7850" width="12" style="72" customWidth="1"/>
    <col min="7851" max="7851" width="13" style="72" customWidth="1"/>
    <col min="7852" max="7852" width="13.625" style="72" customWidth="1"/>
    <col min="7853" max="7853" width="11.875" style="72" customWidth="1"/>
    <col min="7854" max="7855" width="11.625" style="72" customWidth="1"/>
    <col min="7856" max="7856" width="12" style="72" customWidth="1"/>
    <col min="7857" max="7857" width="12.75" style="72" customWidth="1"/>
    <col min="7858" max="7858" width="11.625" style="72" customWidth="1"/>
    <col min="7859" max="7859" width="12.125" style="72" customWidth="1"/>
    <col min="7860" max="7861" width="11.625" style="72" customWidth="1"/>
    <col min="7862" max="7862" width="12.5" style="72" customWidth="1"/>
    <col min="7863" max="8037" width="11.625" style="72" customWidth="1"/>
    <col min="8038" max="8038" width="17.75" style="72" customWidth="1"/>
    <col min="8039" max="8040" width="9" style="72" customWidth="1"/>
    <col min="8041" max="8041" width="16.25" style="72" customWidth="1"/>
    <col min="8042" max="8042" width="24" style="72" customWidth="1"/>
    <col min="8043" max="8043" width="9" style="72"/>
    <col min="8044" max="8044" width="11.75" style="72" customWidth="1"/>
    <col min="8045" max="8045" width="8.875" style="72" customWidth="1"/>
    <col min="8046" max="8046" width="17.375" style="72" customWidth="1"/>
    <col min="8047" max="8047" width="13.25" style="72" customWidth="1"/>
    <col min="8048" max="8048" width="25.75" style="72" customWidth="1"/>
    <col min="8049" max="8049" width="11.125" style="72" customWidth="1"/>
    <col min="8050" max="8050" width="10.75" style="72" customWidth="1"/>
    <col min="8051" max="8051" width="9" style="72" customWidth="1"/>
    <col min="8052" max="8052" width="9.75" style="72" customWidth="1"/>
    <col min="8053" max="8053" width="7.5" style="72" customWidth="1"/>
    <col min="8054" max="8054" width="13.25" style="72" customWidth="1"/>
    <col min="8055" max="8055" width="11.75" style="72" customWidth="1"/>
    <col min="8056" max="8056" width="8.875" style="72" customWidth="1"/>
    <col min="8057" max="8057" width="9.625" style="72" customWidth="1"/>
    <col min="8058" max="8059" width="11.875" style="72" customWidth="1"/>
    <col min="8060" max="8060" width="11.5" style="72" customWidth="1"/>
    <col min="8061" max="8076" width="12.25" style="72" customWidth="1"/>
    <col min="8077" max="8077" width="13" style="72" customWidth="1"/>
    <col min="8078" max="8082" width="12.375" style="72" customWidth="1"/>
    <col min="8083" max="8083" width="13" style="72" customWidth="1"/>
    <col min="8084" max="8085" width="12.375" style="72" customWidth="1"/>
    <col min="8086" max="8086" width="13" style="72" customWidth="1"/>
    <col min="8087" max="8087" width="13.125" style="72" customWidth="1"/>
    <col min="8088" max="8088" width="13" style="72" customWidth="1"/>
    <col min="8089" max="8089" width="13.125" style="72" customWidth="1"/>
    <col min="8090" max="8091" width="12.375" style="72" customWidth="1"/>
    <col min="8092" max="8092" width="13" style="72" customWidth="1"/>
    <col min="8093" max="8093" width="12.375" style="72" customWidth="1"/>
    <col min="8094" max="8094" width="12.25" style="72" customWidth="1"/>
    <col min="8095" max="8095" width="12.125" style="72" customWidth="1"/>
    <col min="8096" max="8096" width="11.625" style="72" customWidth="1"/>
    <col min="8097" max="8097" width="12" style="72" customWidth="1"/>
    <col min="8098" max="8098" width="13" style="72" customWidth="1"/>
    <col min="8099" max="8099" width="11.625" style="72" customWidth="1"/>
    <col min="8100" max="8101" width="12" style="72" customWidth="1"/>
    <col min="8102" max="8104" width="11.625" style="72" customWidth="1"/>
    <col min="8105" max="8105" width="11.125" style="72" customWidth="1"/>
    <col min="8106" max="8106" width="12" style="72" customWidth="1"/>
    <col min="8107" max="8107" width="13" style="72" customWidth="1"/>
    <col min="8108" max="8108" width="13.625" style="72" customWidth="1"/>
    <col min="8109" max="8109" width="11.875" style="72" customWidth="1"/>
    <col min="8110" max="8111" width="11.625" style="72" customWidth="1"/>
    <col min="8112" max="8112" width="12" style="72" customWidth="1"/>
    <col min="8113" max="8113" width="12.75" style="72" customWidth="1"/>
    <col min="8114" max="8114" width="11.625" style="72" customWidth="1"/>
    <col min="8115" max="8115" width="12.125" style="72" customWidth="1"/>
    <col min="8116" max="8117" width="11.625" style="72" customWidth="1"/>
    <col min="8118" max="8118" width="12.5" style="72" customWidth="1"/>
    <col min="8119" max="8293" width="11.625" style="72" customWidth="1"/>
    <col min="8294" max="8294" width="17.75" style="72" customWidth="1"/>
    <col min="8295" max="8296" width="9" style="72" customWidth="1"/>
    <col min="8297" max="8297" width="16.25" style="72" customWidth="1"/>
    <col min="8298" max="8298" width="24" style="72" customWidth="1"/>
    <col min="8299" max="8299" width="9" style="72"/>
    <col min="8300" max="8300" width="11.75" style="72" customWidth="1"/>
    <col min="8301" max="8301" width="8.875" style="72" customWidth="1"/>
    <col min="8302" max="8302" width="17.375" style="72" customWidth="1"/>
    <col min="8303" max="8303" width="13.25" style="72" customWidth="1"/>
    <col min="8304" max="8304" width="25.75" style="72" customWidth="1"/>
    <col min="8305" max="8305" width="11.125" style="72" customWidth="1"/>
    <col min="8306" max="8306" width="10.75" style="72" customWidth="1"/>
    <col min="8307" max="8307" width="9" style="72" customWidth="1"/>
    <col min="8308" max="8308" width="9.75" style="72" customWidth="1"/>
    <col min="8309" max="8309" width="7.5" style="72" customWidth="1"/>
    <col min="8310" max="8310" width="13.25" style="72" customWidth="1"/>
    <col min="8311" max="8311" width="11.75" style="72" customWidth="1"/>
    <col min="8312" max="8312" width="8.875" style="72" customWidth="1"/>
    <col min="8313" max="8313" width="9.625" style="72" customWidth="1"/>
    <col min="8314" max="8315" width="11.875" style="72" customWidth="1"/>
    <col min="8316" max="8316" width="11.5" style="72" customWidth="1"/>
    <col min="8317" max="8332" width="12.25" style="72" customWidth="1"/>
    <col min="8333" max="8333" width="13" style="72" customWidth="1"/>
    <col min="8334" max="8338" width="12.375" style="72" customWidth="1"/>
    <col min="8339" max="8339" width="13" style="72" customWidth="1"/>
    <col min="8340" max="8341" width="12.375" style="72" customWidth="1"/>
    <col min="8342" max="8342" width="13" style="72" customWidth="1"/>
    <col min="8343" max="8343" width="13.125" style="72" customWidth="1"/>
    <col min="8344" max="8344" width="13" style="72" customWidth="1"/>
    <col min="8345" max="8345" width="13.125" style="72" customWidth="1"/>
    <col min="8346" max="8347" width="12.375" style="72" customWidth="1"/>
    <col min="8348" max="8348" width="13" style="72" customWidth="1"/>
    <col min="8349" max="8349" width="12.375" style="72" customWidth="1"/>
    <col min="8350" max="8350" width="12.25" style="72" customWidth="1"/>
    <col min="8351" max="8351" width="12.125" style="72" customWidth="1"/>
    <col min="8352" max="8352" width="11.625" style="72" customWidth="1"/>
    <col min="8353" max="8353" width="12" style="72" customWidth="1"/>
    <col min="8354" max="8354" width="13" style="72" customWidth="1"/>
    <col min="8355" max="8355" width="11.625" style="72" customWidth="1"/>
    <col min="8356" max="8357" width="12" style="72" customWidth="1"/>
    <col min="8358" max="8360" width="11.625" style="72" customWidth="1"/>
    <col min="8361" max="8361" width="11.125" style="72" customWidth="1"/>
    <col min="8362" max="8362" width="12" style="72" customWidth="1"/>
    <col min="8363" max="8363" width="13" style="72" customWidth="1"/>
    <col min="8364" max="8364" width="13.625" style="72" customWidth="1"/>
    <col min="8365" max="8365" width="11.875" style="72" customWidth="1"/>
    <col min="8366" max="8367" width="11.625" style="72" customWidth="1"/>
    <col min="8368" max="8368" width="12" style="72" customWidth="1"/>
    <col min="8369" max="8369" width="12.75" style="72" customWidth="1"/>
    <col min="8370" max="8370" width="11.625" style="72" customWidth="1"/>
    <col min="8371" max="8371" width="12.125" style="72" customWidth="1"/>
    <col min="8372" max="8373" width="11.625" style="72" customWidth="1"/>
    <col min="8374" max="8374" width="12.5" style="72" customWidth="1"/>
    <col min="8375" max="8549" width="11.625" style="72" customWidth="1"/>
    <col min="8550" max="8550" width="17.75" style="72" customWidth="1"/>
    <col min="8551" max="8552" width="9" style="72" customWidth="1"/>
    <col min="8553" max="8553" width="16.25" style="72" customWidth="1"/>
    <col min="8554" max="8554" width="24" style="72" customWidth="1"/>
    <col min="8555" max="8555" width="9" style="72"/>
    <col min="8556" max="8556" width="11.75" style="72" customWidth="1"/>
    <col min="8557" max="8557" width="8.875" style="72" customWidth="1"/>
    <col min="8558" max="8558" width="17.375" style="72" customWidth="1"/>
    <col min="8559" max="8559" width="13.25" style="72" customWidth="1"/>
    <col min="8560" max="8560" width="25.75" style="72" customWidth="1"/>
    <col min="8561" max="8561" width="11.125" style="72" customWidth="1"/>
    <col min="8562" max="8562" width="10.75" style="72" customWidth="1"/>
    <col min="8563" max="8563" width="9" style="72" customWidth="1"/>
    <col min="8564" max="8564" width="9.75" style="72" customWidth="1"/>
    <col min="8565" max="8565" width="7.5" style="72" customWidth="1"/>
    <col min="8566" max="8566" width="13.25" style="72" customWidth="1"/>
    <col min="8567" max="8567" width="11.75" style="72" customWidth="1"/>
    <col min="8568" max="8568" width="8.875" style="72" customWidth="1"/>
    <col min="8569" max="8569" width="9.625" style="72" customWidth="1"/>
    <col min="8570" max="8571" width="11.875" style="72" customWidth="1"/>
    <col min="8572" max="8572" width="11.5" style="72" customWidth="1"/>
    <col min="8573" max="8588" width="12.25" style="72" customWidth="1"/>
    <col min="8589" max="8589" width="13" style="72" customWidth="1"/>
    <col min="8590" max="8594" width="12.375" style="72" customWidth="1"/>
    <col min="8595" max="8595" width="13" style="72" customWidth="1"/>
    <col min="8596" max="8597" width="12.375" style="72" customWidth="1"/>
    <col min="8598" max="8598" width="13" style="72" customWidth="1"/>
    <col min="8599" max="8599" width="13.125" style="72" customWidth="1"/>
    <col min="8600" max="8600" width="13" style="72" customWidth="1"/>
    <col min="8601" max="8601" width="13.125" style="72" customWidth="1"/>
    <col min="8602" max="8603" width="12.375" style="72" customWidth="1"/>
    <col min="8604" max="8604" width="13" style="72" customWidth="1"/>
    <col min="8605" max="8605" width="12.375" style="72" customWidth="1"/>
    <col min="8606" max="8606" width="12.25" style="72" customWidth="1"/>
    <col min="8607" max="8607" width="12.125" style="72" customWidth="1"/>
    <col min="8608" max="8608" width="11.625" style="72" customWidth="1"/>
    <col min="8609" max="8609" width="12" style="72" customWidth="1"/>
    <col min="8610" max="8610" width="13" style="72" customWidth="1"/>
    <col min="8611" max="8611" width="11.625" style="72" customWidth="1"/>
    <col min="8612" max="8613" width="12" style="72" customWidth="1"/>
    <col min="8614" max="8616" width="11.625" style="72" customWidth="1"/>
    <col min="8617" max="8617" width="11.125" style="72" customWidth="1"/>
    <col min="8618" max="8618" width="12" style="72" customWidth="1"/>
    <col min="8619" max="8619" width="13" style="72" customWidth="1"/>
    <col min="8620" max="8620" width="13.625" style="72" customWidth="1"/>
    <col min="8621" max="8621" width="11.875" style="72" customWidth="1"/>
    <col min="8622" max="8623" width="11.625" style="72" customWidth="1"/>
    <col min="8624" max="8624" width="12" style="72" customWidth="1"/>
    <col min="8625" max="8625" width="12.75" style="72" customWidth="1"/>
    <col min="8626" max="8626" width="11.625" style="72" customWidth="1"/>
    <col min="8627" max="8627" width="12.125" style="72" customWidth="1"/>
    <col min="8628" max="8629" width="11.625" style="72" customWidth="1"/>
    <col min="8630" max="8630" width="12.5" style="72" customWidth="1"/>
    <col min="8631" max="8805" width="11.625" style="72" customWidth="1"/>
    <col min="8806" max="8806" width="17.75" style="72" customWidth="1"/>
    <col min="8807" max="8808" width="9" style="72" customWidth="1"/>
    <col min="8809" max="8809" width="16.25" style="72" customWidth="1"/>
    <col min="8810" max="8810" width="24" style="72" customWidth="1"/>
    <col min="8811" max="8811" width="9" style="72"/>
    <col min="8812" max="8812" width="11.75" style="72" customWidth="1"/>
    <col min="8813" max="8813" width="8.875" style="72" customWidth="1"/>
    <col min="8814" max="8814" width="17.375" style="72" customWidth="1"/>
    <col min="8815" max="8815" width="13.25" style="72" customWidth="1"/>
    <col min="8816" max="8816" width="25.75" style="72" customWidth="1"/>
    <col min="8817" max="8817" width="11.125" style="72" customWidth="1"/>
    <col min="8818" max="8818" width="10.75" style="72" customWidth="1"/>
    <col min="8819" max="8819" width="9" style="72" customWidth="1"/>
    <col min="8820" max="8820" width="9.75" style="72" customWidth="1"/>
    <col min="8821" max="8821" width="7.5" style="72" customWidth="1"/>
    <col min="8822" max="8822" width="13.25" style="72" customWidth="1"/>
    <col min="8823" max="8823" width="11.75" style="72" customWidth="1"/>
    <col min="8824" max="8824" width="8.875" style="72" customWidth="1"/>
    <col min="8825" max="8825" width="9.625" style="72" customWidth="1"/>
    <col min="8826" max="8827" width="11.875" style="72" customWidth="1"/>
    <col min="8828" max="8828" width="11.5" style="72" customWidth="1"/>
    <col min="8829" max="8844" width="12.25" style="72" customWidth="1"/>
    <col min="8845" max="8845" width="13" style="72" customWidth="1"/>
    <col min="8846" max="8850" width="12.375" style="72" customWidth="1"/>
    <col min="8851" max="8851" width="13" style="72" customWidth="1"/>
    <col min="8852" max="8853" width="12.375" style="72" customWidth="1"/>
    <col min="8854" max="8854" width="13" style="72" customWidth="1"/>
    <col min="8855" max="8855" width="13.125" style="72" customWidth="1"/>
    <col min="8856" max="8856" width="13" style="72" customWidth="1"/>
    <col min="8857" max="8857" width="13.125" style="72" customWidth="1"/>
    <col min="8858" max="8859" width="12.375" style="72" customWidth="1"/>
    <col min="8860" max="8860" width="13" style="72" customWidth="1"/>
    <col min="8861" max="8861" width="12.375" style="72" customWidth="1"/>
    <col min="8862" max="8862" width="12.25" style="72" customWidth="1"/>
    <col min="8863" max="8863" width="12.125" style="72" customWidth="1"/>
    <col min="8864" max="8864" width="11.625" style="72" customWidth="1"/>
    <col min="8865" max="8865" width="12" style="72" customWidth="1"/>
    <col min="8866" max="8866" width="13" style="72" customWidth="1"/>
    <col min="8867" max="8867" width="11.625" style="72" customWidth="1"/>
    <col min="8868" max="8869" width="12" style="72" customWidth="1"/>
    <col min="8870" max="8872" width="11.625" style="72" customWidth="1"/>
    <col min="8873" max="8873" width="11.125" style="72" customWidth="1"/>
    <col min="8874" max="8874" width="12" style="72" customWidth="1"/>
    <col min="8875" max="8875" width="13" style="72" customWidth="1"/>
    <col min="8876" max="8876" width="13.625" style="72" customWidth="1"/>
    <col min="8877" max="8877" width="11.875" style="72" customWidth="1"/>
    <col min="8878" max="8879" width="11.625" style="72" customWidth="1"/>
    <col min="8880" max="8880" width="12" style="72" customWidth="1"/>
    <col min="8881" max="8881" width="12.75" style="72" customWidth="1"/>
    <col min="8882" max="8882" width="11.625" style="72" customWidth="1"/>
    <col min="8883" max="8883" width="12.125" style="72" customWidth="1"/>
    <col min="8884" max="8885" width="11.625" style="72" customWidth="1"/>
    <col min="8886" max="8886" width="12.5" style="72" customWidth="1"/>
    <col min="8887" max="9061" width="11.625" style="72" customWidth="1"/>
    <col min="9062" max="9062" width="17.75" style="72" customWidth="1"/>
    <col min="9063" max="9064" width="9" style="72" customWidth="1"/>
    <col min="9065" max="9065" width="16.25" style="72" customWidth="1"/>
    <col min="9066" max="9066" width="24" style="72" customWidth="1"/>
    <col min="9067" max="9067" width="9" style="72"/>
    <col min="9068" max="9068" width="11.75" style="72" customWidth="1"/>
    <col min="9069" max="9069" width="8.875" style="72" customWidth="1"/>
    <col min="9070" max="9070" width="17.375" style="72" customWidth="1"/>
    <col min="9071" max="9071" width="13.25" style="72" customWidth="1"/>
    <col min="9072" max="9072" width="25.75" style="72" customWidth="1"/>
    <col min="9073" max="9073" width="11.125" style="72" customWidth="1"/>
    <col min="9074" max="9074" width="10.75" style="72" customWidth="1"/>
    <col min="9075" max="9075" width="9" style="72" customWidth="1"/>
    <col min="9076" max="9076" width="9.75" style="72" customWidth="1"/>
    <col min="9077" max="9077" width="7.5" style="72" customWidth="1"/>
    <col min="9078" max="9078" width="13.25" style="72" customWidth="1"/>
    <col min="9079" max="9079" width="11.75" style="72" customWidth="1"/>
    <col min="9080" max="9080" width="8.875" style="72" customWidth="1"/>
    <col min="9081" max="9081" width="9.625" style="72" customWidth="1"/>
    <col min="9082" max="9083" width="11.875" style="72" customWidth="1"/>
    <col min="9084" max="9084" width="11.5" style="72" customWidth="1"/>
    <col min="9085" max="9100" width="12.25" style="72" customWidth="1"/>
    <col min="9101" max="9101" width="13" style="72" customWidth="1"/>
    <col min="9102" max="9106" width="12.375" style="72" customWidth="1"/>
    <col min="9107" max="9107" width="13" style="72" customWidth="1"/>
    <col min="9108" max="9109" width="12.375" style="72" customWidth="1"/>
    <col min="9110" max="9110" width="13" style="72" customWidth="1"/>
    <col min="9111" max="9111" width="13.125" style="72" customWidth="1"/>
    <col min="9112" max="9112" width="13" style="72" customWidth="1"/>
    <col min="9113" max="9113" width="13.125" style="72" customWidth="1"/>
    <col min="9114" max="9115" width="12.375" style="72" customWidth="1"/>
    <col min="9116" max="9116" width="13" style="72" customWidth="1"/>
    <col min="9117" max="9117" width="12.375" style="72" customWidth="1"/>
    <col min="9118" max="9118" width="12.25" style="72" customWidth="1"/>
    <col min="9119" max="9119" width="12.125" style="72" customWidth="1"/>
    <col min="9120" max="9120" width="11.625" style="72" customWidth="1"/>
    <col min="9121" max="9121" width="12" style="72" customWidth="1"/>
    <col min="9122" max="9122" width="13" style="72" customWidth="1"/>
    <col min="9123" max="9123" width="11.625" style="72" customWidth="1"/>
    <col min="9124" max="9125" width="12" style="72" customWidth="1"/>
    <col min="9126" max="9128" width="11.625" style="72" customWidth="1"/>
    <col min="9129" max="9129" width="11.125" style="72" customWidth="1"/>
    <col min="9130" max="9130" width="12" style="72" customWidth="1"/>
    <col min="9131" max="9131" width="13" style="72" customWidth="1"/>
    <col min="9132" max="9132" width="13.625" style="72" customWidth="1"/>
    <col min="9133" max="9133" width="11.875" style="72" customWidth="1"/>
    <col min="9134" max="9135" width="11.625" style="72" customWidth="1"/>
    <col min="9136" max="9136" width="12" style="72" customWidth="1"/>
    <col min="9137" max="9137" width="12.75" style="72" customWidth="1"/>
    <col min="9138" max="9138" width="11.625" style="72" customWidth="1"/>
    <col min="9139" max="9139" width="12.125" style="72" customWidth="1"/>
    <col min="9140" max="9141" width="11.625" style="72" customWidth="1"/>
    <col min="9142" max="9142" width="12.5" style="72" customWidth="1"/>
    <col min="9143" max="9317" width="11.625" style="72" customWidth="1"/>
    <col min="9318" max="9318" width="17.75" style="72" customWidth="1"/>
    <col min="9319" max="9320" width="9" style="72" customWidth="1"/>
    <col min="9321" max="9321" width="16.25" style="72" customWidth="1"/>
    <col min="9322" max="9322" width="24" style="72" customWidth="1"/>
    <col min="9323" max="9323" width="9" style="72"/>
    <col min="9324" max="9324" width="11.75" style="72" customWidth="1"/>
    <col min="9325" max="9325" width="8.875" style="72" customWidth="1"/>
    <col min="9326" max="9326" width="17.375" style="72" customWidth="1"/>
    <col min="9327" max="9327" width="13.25" style="72" customWidth="1"/>
    <col min="9328" max="9328" width="25.75" style="72" customWidth="1"/>
    <col min="9329" max="9329" width="11.125" style="72" customWidth="1"/>
    <col min="9330" max="9330" width="10.75" style="72" customWidth="1"/>
    <col min="9331" max="9331" width="9" style="72" customWidth="1"/>
    <col min="9332" max="9332" width="9.75" style="72" customWidth="1"/>
    <col min="9333" max="9333" width="7.5" style="72" customWidth="1"/>
    <col min="9334" max="9334" width="13.25" style="72" customWidth="1"/>
    <col min="9335" max="9335" width="11.75" style="72" customWidth="1"/>
    <col min="9336" max="9336" width="8.875" style="72" customWidth="1"/>
    <col min="9337" max="9337" width="9.625" style="72" customWidth="1"/>
    <col min="9338" max="9339" width="11.875" style="72" customWidth="1"/>
    <col min="9340" max="9340" width="11.5" style="72" customWidth="1"/>
    <col min="9341" max="9356" width="12.25" style="72" customWidth="1"/>
    <col min="9357" max="9357" width="13" style="72" customWidth="1"/>
    <col min="9358" max="9362" width="12.375" style="72" customWidth="1"/>
    <col min="9363" max="9363" width="13" style="72" customWidth="1"/>
    <col min="9364" max="9365" width="12.375" style="72" customWidth="1"/>
    <col min="9366" max="9366" width="13" style="72" customWidth="1"/>
    <col min="9367" max="9367" width="13.125" style="72" customWidth="1"/>
    <col min="9368" max="9368" width="13" style="72" customWidth="1"/>
    <col min="9369" max="9369" width="13.125" style="72" customWidth="1"/>
    <col min="9370" max="9371" width="12.375" style="72" customWidth="1"/>
    <col min="9372" max="9372" width="13" style="72" customWidth="1"/>
    <col min="9373" max="9373" width="12.375" style="72" customWidth="1"/>
    <col min="9374" max="9374" width="12.25" style="72" customWidth="1"/>
    <col min="9375" max="9375" width="12.125" style="72" customWidth="1"/>
    <col min="9376" max="9376" width="11.625" style="72" customWidth="1"/>
    <col min="9377" max="9377" width="12" style="72" customWidth="1"/>
    <col min="9378" max="9378" width="13" style="72" customWidth="1"/>
    <col min="9379" max="9379" width="11.625" style="72" customWidth="1"/>
    <col min="9380" max="9381" width="12" style="72" customWidth="1"/>
    <col min="9382" max="9384" width="11.625" style="72" customWidth="1"/>
    <col min="9385" max="9385" width="11.125" style="72" customWidth="1"/>
    <col min="9386" max="9386" width="12" style="72" customWidth="1"/>
    <col min="9387" max="9387" width="13" style="72" customWidth="1"/>
    <col min="9388" max="9388" width="13.625" style="72" customWidth="1"/>
    <col min="9389" max="9389" width="11.875" style="72" customWidth="1"/>
    <col min="9390" max="9391" width="11.625" style="72" customWidth="1"/>
    <col min="9392" max="9392" width="12" style="72" customWidth="1"/>
    <col min="9393" max="9393" width="12.75" style="72" customWidth="1"/>
    <col min="9394" max="9394" width="11.625" style="72" customWidth="1"/>
    <col min="9395" max="9395" width="12.125" style="72" customWidth="1"/>
    <col min="9396" max="9397" width="11.625" style="72" customWidth="1"/>
    <col min="9398" max="9398" width="12.5" style="72" customWidth="1"/>
    <col min="9399" max="9573" width="11.625" style="72" customWidth="1"/>
    <col min="9574" max="9574" width="17.75" style="72" customWidth="1"/>
    <col min="9575" max="9576" width="9" style="72" customWidth="1"/>
    <col min="9577" max="9577" width="16.25" style="72" customWidth="1"/>
    <col min="9578" max="9578" width="24" style="72" customWidth="1"/>
    <col min="9579" max="9579" width="9" style="72"/>
    <col min="9580" max="9580" width="11.75" style="72" customWidth="1"/>
    <col min="9581" max="9581" width="8.875" style="72" customWidth="1"/>
    <col min="9582" max="9582" width="17.375" style="72" customWidth="1"/>
    <col min="9583" max="9583" width="13.25" style="72" customWidth="1"/>
    <col min="9584" max="9584" width="25.75" style="72" customWidth="1"/>
    <col min="9585" max="9585" width="11.125" style="72" customWidth="1"/>
    <col min="9586" max="9586" width="10.75" style="72" customWidth="1"/>
    <col min="9587" max="9587" width="9" style="72" customWidth="1"/>
    <col min="9588" max="9588" width="9.75" style="72" customWidth="1"/>
    <col min="9589" max="9589" width="7.5" style="72" customWidth="1"/>
    <col min="9590" max="9590" width="13.25" style="72" customWidth="1"/>
    <col min="9591" max="9591" width="11.75" style="72" customWidth="1"/>
    <col min="9592" max="9592" width="8.875" style="72" customWidth="1"/>
    <col min="9593" max="9593" width="9.625" style="72" customWidth="1"/>
    <col min="9594" max="9595" width="11.875" style="72" customWidth="1"/>
    <col min="9596" max="9596" width="11.5" style="72" customWidth="1"/>
    <col min="9597" max="9612" width="12.25" style="72" customWidth="1"/>
    <col min="9613" max="9613" width="13" style="72" customWidth="1"/>
    <col min="9614" max="9618" width="12.375" style="72" customWidth="1"/>
    <col min="9619" max="9619" width="13" style="72" customWidth="1"/>
    <col min="9620" max="9621" width="12.375" style="72" customWidth="1"/>
    <col min="9622" max="9622" width="13" style="72" customWidth="1"/>
    <col min="9623" max="9623" width="13.125" style="72" customWidth="1"/>
    <col min="9624" max="9624" width="13" style="72" customWidth="1"/>
    <col min="9625" max="9625" width="13.125" style="72" customWidth="1"/>
    <col min="9626" max="9627" width="12.375" style="72" customWidth="1"/>
    <col min="9628" max="9628" width="13" style="72" customWidth="1"/>
    <col min="9629" max="9629" width="12.375" style="72" customWidth="1"/>
    <col min="9630" max="9630" width="12.25" style="72" customWidth="1"/>
    <col min="9631" max="9631" width="12.125" style="72" customWidth="1"/>
    <col min="9632" max="9632" width="11.625" style="72" customWidth="1"/>
    <col min="9633" max="9633" width="12" style="72" customWidth="1"/>
    <col min="9634" max="9634" width="13" style="72" customWidth="1"/>
    <col min="9635" max="9635" width="11.625" style="72" customWidth="1"/>
    <col min="9636" max="9637" width="12" style="72" customWidth="1"/>
    <col min="9638" max="9640" width="11.625" style="72" customWidth="1"/>
    <col min="9641" max="9641" width="11.125" style="72" customWidth="1"/>
    <col min="9642" max="9642" width="12" style="72" customWidth="1"/>
    <col min="9643" max="9643" width="13" style="72" customWidth="1"/>
    <col min="9644" max="9644" width="13.625" style="72" customWidth="1"/>
    <col min="9645" max="9645" width="11.875" style="72" customWidth="1"/>
    <col min="9646" max="9647" width="11.625" style="72" customWidth="1"/>
    <col min="9648" max="9648" width="12" style="72" customWidth="1"/>
    <col min="9649" max="9649" width="12.75" style="72" customWidth="1"/>
    <col min="9650" max="9650" width="11.625" style="72" customWidth="1"/>
    <col min="9651" max="9651" width="12.125" style="72" customWidth="1"/>
    <col min="9652" max="9653" width="11.625" style="72" customWidth="1"/>
    <col min="9654" max="9654" width="12.5" style="72" customWidth="1"/>
    <col min="9655" max="9829" width="11.625" style="72" customWidth="1"/>
    <col min="9830" max="9830" width="17.75" style="72" customWidth="1"/>
    <col min="9831" max="9832" width="9" style="72" customWidth="1"/>
    <col min="9833" max="9833" width="16.25" style="72" customWidth="1"/>
    <col min="9834" max="9834" width="24" style="72" customWidth="1"/>
    <col min="9835" max="9835" width="9" style="72"/>
    <col min="9836" max="9836" width="11.75" style="72" customWidth="1"/>
    <col min="9837" max="9837" width="8.875" style="72" customWidth="1"/>
    <col min="9838" max="9838" width="17.375" style="72" customWidth="1"/>
    <col min="9839" max="9839" width="13.25" style="72" customWidth="1"/>
    <col min="9840" max="9840" width="25.75" style="72" customWidth="1"/>
    <col min="9841" max="9841" width="11.125" style="72" customWidth="1"/>
    <col min="9842" max="9842" width="10.75" style="72" customWidth="1"/>
    <col min="9843" max="9843" width="9" style="72" customWidth="1"/>
    <col min="9844" max="9844" width="9.75" style="72" customWidth="1"/>
    <col min="9845" max="9845" width="7.5" style="72" customWidth="1"/>
    <col min="9846" max="9846" width="13.25" style="72" customWidth="1"/>
    <col min="9847" max="9847" width="11.75" style="72" customWidth="1"/>
    <col min="9848" max="9848" width="8.875" style="72" customWidth="1"/>
    <col min="9849" max="9849" width="9.625" style="72" customWidth="1"/>
    <col min="9850" max="9851" width="11.875" style="72" customWidth="1"/>
    <col min="9852" max="9852" width="11.5" style="72" customWidth="1"/>
    <col min="9853" max="9868" width="12.25" style="72" customWidth="1"/>
    <col min="9869" max="9869" width="13" style="72" customWidth="1"/>
    <col min="9870" max="9874" width="12.375" style="72" customWidth="1"/>
    <col min="9875" max="9875" width="13" style="72" customWidth="1"/>
    <col min="9876" max="9877" width="12.375" style="72" customWidth="1"/>
    <col min="9878" max="9878" width="13" style="72" customWidth="1"/>
    <col min="9879" max="9879" width="13.125" style="72" customWidth="1"/>
    <col min="9880" max="9880" width="13" style="72" customWidth="1"/>
    <col min="9881" max="9881" width="13.125" style="72" customWidth="1"/>
    <col min="9882" max="9883" width="12.375" style="72" customWidth="1"/>
    <col min="9884" max="9884" width="13" style="72" customWidth="1"/>
    <col min="9885" max="9885" width="12.375" style="72" customWidth="1"/>
    <col min="9886" max="9886" width="12.25" style="72" customWidth="1"/>
    <col min="9887" max="9887" width="12.125" style="72" customWidth="1"/>
    <col min="9888" max="9888" width="11.625" style="72" customWidth="1"/>
    <col min="9889" max="9889" width="12" style="72" customWidth="1"/>
    <col min="9890" max="9890" width="13" style="72" customWidth="1"/>
    <col min="9891" max="9891" width="11.625" style="72" customWidth="1"/>
    <col min="9892" max="9893" width="12" style="72" customWidth="1"/>
    <col min="9894" max="9896" width="11.625" style="72" customWidth="1"/>
    <col min="9897" max="9897" width="11.125" style="72" customWidth="1"/>
    <col min="9898" max="9898" width="12" style="72" customWidth="1"/>
    <col min="9899" max="9899" width="13" style="72" customWidth="1"/>
    <col min="9900" max="9900" width="13.625" style="72" customWidth="1"/>
    <col min="9901" max="9901" width="11.875" style="72" customWidth="1"/>
    <col min="9902" max="9903" width="11.625" style="72" customWidth="1"/>
    <col min="9904" max="9904" width="12" style="72" customWidth="1"/>
    <col min="9905" max="9905" width="12.75" style="72" customWidth="1"/>
    <col min="9906" max="9906" width="11.625" style="72" customWidth="1"/>
    <col min="9907" max="9907" width="12.125" style="72" customWidth="1"/>
    <col min="9908" max="9909" width="11.625" style="72" customWidth="1"/>
    <col min="9910" max="9910" width="12.5" style="72" customWidth="1"/>
    <col min="9911" max="10085" width="11.625" style="72" customWidth="1"/>
    <col min="10086" max="10086" width="17.75" style="72" customWidth="1"/>
    <col min="10087" max="10088" width="9" style="72" customWidth="1"/>
    <col min="10089" max="10089" width="16.25" style="72" customWidth="1"/>
    <col min="10090" max="10090" width="24" style="72" customWidth="1"/>
    <col min="10091" max="10091" width="9" style="72"/>
    <col min="10092" max="10092" width="11.75" style="72" customWidth="1"/>
    <col min="10093" max="10093" width="8.875" style="72" customWidth="1"/>
    <col min="10094" max="10094" width="17.375" style="72" customWidth="1"/>
    <col min="10095" max="10095" width="13.25" style="72" customWidth="1"/>
    <col min="10096" max="10096" width="25.75" style="72" customWidth="1"/>
    <col min="10097" max="10097" width="11.125" style="72" customWidth="1"/>
    <col min="10098" max="10098" width="10.75" style="72" customWidth="1"/>
    <col min="10099" max="10099" width="9" style="72" customWidth="1"/>
    <col min="10100" max="10100" width="9.75" style="72" customWidth="1"/>
    <col min="10101" max="10101" width="7.5" style="72" customWidth="1"/>
    <col min="10102" max="10102" width="13.25" style="72" customWidth="1"/>
    <col min="10103" max="10103" width="11.75" style="72" customWidth="1"/>
    <col min="10104" max="10104" width="8.875" style="72" customWidth="1"/>
    <col min="10105" max="10105" width="9.625" style="72" customWidth="1"/>
    <col min="10106" max="10107" width="11.875" style="72" customWidth="1"/>
    <col min="10108" max="10108" width="11.5" style="72" customWidth="1"/>
    <col min="10109" max="10124" width="12.25" style="72" customWidth="1"/>
    <col min="10125" max="10125" width="13" style="72" customWidth="1"/>
    <col min="10126" max="10130" width="12.375" style="72" customWidth="1"/>
    <col min="10131" max="10131" width="13" style="72" customWidth="1"/>
    <col min="10132" max="10133" width="12.375" style="72" customWidth="1"/>
    <col min="10134" max="10134" width="13" style="72" customWidth="1"/>
    <col min="10135" max="10135" width="13.125" style="72" customWidth="1"/>
    <col min="10136" max="10136" width="13" style="72" customWidth="1"/>
    <col min="10137" max="10137" width="13.125" style="72" customWidth="1"/>
    <col min="10138" max="10139" width="12.375" style="72" customWidth="1"/>
    <col min="10140" max="10140" width="13" style="72" customWidth="1"/>
    <col min="10141" max="10141" width="12.375" style="72" customWidth="1"/>
    <col min="10142" max="10142" width="12.25" style="72" customWidth="1"/>
    <col min="10143" max="10143" width="12.125" style="72" customWidth="1"/>
    <col min="10144" max="10144" width="11.625" style="72" customWidth="1"/>
    <col min="10145" max="10145" width="12" style="72" customWidth="1"/>
    <col min="10146" max="10146" width="13" style="72" customWidth="1"/>
    <col min="10147" max="10147" width="11.625" style="72" customWidth="1"/>
    <col min="10148" max="10149" width="12" style="72" customWidth="1"/>
    <col min="10150" max="10152" width="11.625" style="72" customWidth="1"/>
    <col min="10153" max="10153" width="11.125" style="72" customWidth="1"/>
    <col min="10154" max="10154" width="12" style="72" customWidth="1"/>
    <col min="10155" max="10155" width="13" style="72" customWidth="1"/>
    <col min="10156" max="10156" width="13.625" style="72" customWidth="1"/>
    <col min="10157" max="10157" width="11.875" style="72" customWidth="1"/>
    <col min="10158" max="10159" width="11.625" style="72" customWidth="1"/>
    <col min="10160" max="10160" width="12" style="72" customWidth="1"/>
    <col min="10161" max="10161" width="12.75" style="72" customWidth="1"/>
    <col min="10162" max="10162" width="11.625" style="72" customWidth="1"/>
    <col min="10163" max="10163" width="12.125" style="72" customWidth="1"/>
    <col min="10164" max="10165" width="11.625" style="72" customWidth="1"/>
    <col min="10166" max="10166" width="12.5" style="72" customWidth="1"/>
    <col min="10167" max="10341" width="11.625" style="72" customWidth="1"/>
    <col min="10342" max="10342" width="17.75" style="72" customWidth="1"/>
    <col min="10343" max="10344" width="9" style="72" customWidth="1"/>
    <col min="10345" max="10345" width="16.25" style="72" customWidth="1"/>
    <col min="10346" max="10346" width="24" style="72" customWidth="1"/>
    <col min="10347" max="10347" width="9" style="72"/>
    <col min="10348" max="10348" width="11.75" style="72" customWidth="1"/>
    <col min="10349" max="10349" width="8.875" style="72" customWidth="1"/>
    <col min="10350" max="10350" width="17.375" style="72" customWidth="1"/>
    <col min="10351" max="10351" width="13.25" style="72" customWidth="1"/>
    <col min="10352" max="10352" width="25.75" style="72" customWidth="1"/>
    <col min="10353" max="10353" width="11.125" style="72" customWidth="1"/>
    <col min="10354" max="10354" width="10.75" style="72" customWidth="1"/>
    <col min="10355" max="10355" width="9" style="72" customWidth="1"/>
    <col min="10356" max="10356" width="9.75" style="72" customWidth="1"/>
    <col min="10357" max="10357" width="7.5" style="72" customWidth="1"/>
    <col min="10358" max="10358" width="13.25" style="72" customWidth="1"/>
    <col min="10359" max="10359" width="11.75" style="72" customWidth="1"/>
    <col min="10360" max="10360" width="8.875" style="72" customWidth="1"/>
    <col min="10361" max="10361" width="9.625" style="72" customWidth="1"/>
    <col min="10362" max="10363" width="11.875" style="72" customWidth="1"/>
    <col min="10364" max="10364" width="11.5" style="72" customWidth="1"/>
    <col min="10365" max="10380" width="12.25" style="72" customWidth="1"/>
    <col min="10381" max="10381" width="13" style="72" customWidth="1"/>
    <col min="10382" max="10386" width="12.375" style="72" customWidth="1"/>
    <col min="10387" max="10387" width="13" style="72" customWidth="1"/>
    <col min="10388" max="10389" width="12.375" style="72" customWidth="1"/>
    <col min="10390" max="10390" width="13" style="72" customWidth="1"/>
    <col min="10391" max="10391" width="13.125" style="72" customWidth="1"/>
    <col min="10392" max="10392" width="13" style="72" customWidth="1"/>
    <col min="10393" max="10393" width="13.125" style="72" customWidth="1"/>
    <col min="10394" max="10395" width="12.375" style="72" customWidth="1"/>
    <col min="10396" max="10396" width="13" style="72" customWidth="1"/>
    <col min="10397" max="10397" width="12.375" style="72" customWidth="1"/>
    <col min="10398" max="10398" width="12.25" style="72" customWidth="1"/>
    <col min="10399" max="10399" width="12.125" style="72" customWidth="1"/>
    <col min="10400" max="10400" width="11.625" style="72" customWidth="1"/>
    <col min="10401" max="10401" width="12" style="72" customWidth="1"/>
    <col min="10402" max="10402" width="13" style="72" customWidth="1"/>
    <col min="10403" max="10403" width="11.625" style="72" customWidth="1"/>
    <col min="10404" max="10405" width="12" style="72" customWidth="1"/>
    <col min="10406" max="10408" width="11.625" style="72" customWidth="1"/>
    <col min="10409" max="10409" width="11.125" style="72" customWidth="1"/>
    <col min="10410" max="10410" width="12" style="72" customWidth="1"/>
    <col min="10411" max="10411" width="13" style="72" customWidth="1"/>
    <col min="10412" max="10412" width="13.625" style="72" customWidth="1"/>
    <col min="10413" max="10413" width="11.875" style="72" customWidth="1"/>
    <col min="10414" max="10415" width="11.625" style="72" customWidth="1"/>
    <col min="10416" max="10416" width="12" style="72" customWidth="1"/>
    <col min="10417" max="10417" width="12.75" style="72" customWidth="1"/>
    <col min="10418" max="10418" width="11.625" style="72" customWidth="1"/>
    <col min="10419" max="10419" width="12.125" style="72" customWidth="1"/>
    <col min="10420" max="10421" width="11.625" style="72" customWidth="1"/>
    <col min="10422" max="10422" width="12.5" style="72" customWidth="1"/>
    <col min="10423" max="10597" width="11.625" style="72" customWidth="1"/>
    <col min="10598" max="10598" width="17.75" style="72" customWidth="1"/>
    <col min="10599" max="10600" width="9" style="72" customWidth="1"/>
    <col min="10601" max="10601" width="16.25" style="72" customWidth="1"/>
    <col min="10602" max="10602" width="24" style="72" customWidth="1"/>
    <col min="10603" max="10603" width="9" style="72"/>
    <col min="10604" max="10604" width="11.75" style="72" customWidth="1"/>
    <col min="10605" max="10605" width="8.875" style="72" customWidth="1"/>
    <col min="10606" max="10606" width="17.375" style="72" customWidth="1"/>
    <col min="10607" max="10607" width="13.25" style="72" customWidth="1"/>
    <col min="10608" max="10608" width="25.75" style="72" customWidth="1"/>
    <col min="10609" max="10609" width="11.125" style="72" customWidth="1"/>
    <col min="10610" max="10610" width="10.75" style="72" customWidth="1"/>
    <col min="10611" max="10611" width="9" style="72" customWidth="1"/>
    <col min="10612" max="10612" width="9.75" style="72" customWidth="1"/>
    <col min="10613" max="10613" width="7.5" style="72" customWidth="1"/>
    <col min="10614" max="10614" width="13.25" style="72" customWidth="1"/>
    <col min="10615" max="10615" width="11.75" style="72" customWidth="1"/>
    <col min="10616" max="10616" width="8.875" style="72" customWidth="1"/>
    <col min="10617" max="10617" width="9.625" style="72" customWidth="1"/>
    <col min="10618" max="10619" width="11.875" style="72" customWidth="1"/>
    <col min="10620" max="10620" width="11.5" style="72" customWidth="1"/>
    <col min="10621" max="10636" width="12.25" style="72" customWidth="1"/>
    <col min="10637" max="10637" width="13" style="72" customWidth="1"/>
    <col min="10638" max="10642" width="12.375" style="72" customWidth="1"/>
    <col min="10643" max="10643" width="13" style="72" customWidth="1"/>
    <col min="10644" max="10645" width="12.375" style="72" customWidth="1"/>
    <col min="10646" max="10646" width="13" style="72" customWidth="1"/>
    <col min="10647" max="10647" width="13.125" style="72" customWidth="1"/>
    <col min="10648" max="10648" width="13" style="72" customWidth="1"/>
    <col min="10649" max="10649" width="13.125" style="72" customWidth="1"/>
    <col min="10650" max="10651" width="12.375" style="72" customWidth="1"/>
    <col min="10652" max="10652" width="13" style="72" customWidth="1"/>
    <col min="10653" max="10653" width="12.375" style="72" customWidth="1"/>
    <col min="10654" max="10654" width="12.25" style="72" customWidth="1"/>
    <col min="10655" max="10655" width="12.125" style="72" customWidth="1"/>
    <col min="10656" max="10656" width="11.625" style="72" customWidth="1"/>
    <col min="10657" max="10657" width="12" style="72" customWidth="1"/>
    <col min="10658" max="10658" width="13" style="72" customWidth="1"/>
    <col min="10659" max="10659" width="11.625" style="72" customWidth="1"/>
    <col min="10660" max="10661" width="12" style="72" customWidth="1"/>
    <col min="10662" max="10664" width="11.625" style="72" customWidth="1"/>
    <col min="10665" max="10665" width="11.125" style="72" customWidth="1"/>
    <col min="10666" max="10666" width="12" style="72" customWidth="1"/>
    <col min="10667" max="10667" width="13" style="72" customWidth="1"/>
    <col min="10668" max="10668" width="13.625" style="72" customWidth="1"/>
    <col min="10669" max="10669" width="11.875" style="72" customWidth="1"/>
    <col min="10670" max="10671" width="11.625" style="72" customWidth="1"/>
    <col min="10672" max="10672" width="12" style="72" customWidth="1"/>
    <col min="10673" max="10673" width="12.75" style="72" customWidth="1"/>
    <col min="10674" max="10674" width="11.625" style="72" customWidth="1"/>
    <col min="10675" max="10675" width="12.125" style="72" customWidth="1"/>
    <col min="10676" max="10677" width="11.625" style="72" customWidth="1"/>
    <col min="10678" max="10678" width="12.5" style="72" customWidth="1"/>
    <col min="10679" max="10853" width="11.625" style="72" customWidth="1"/>
    <col min="10854" max="10854" width="17.75" style="72" customWidth="1"/>
    <col min="10855" max="10856" width="9" style="72" customWidth="1"/>
    <col min="10857" max="10857" width="16.25" style="72" customWidth="1"/>
    <col min="10858" max="10858" width="24" style="72" customWidth="1"/>
    <col min="10859" max="10859" width="9" style="72"/>
    <col min="10860" max="10860" width="11.75" style="72" customWidth="1"/>
    <col min="10861" max="10861" width="8.875" style="72" customWidth="1"/>
    <col min="10862" max="10862" width="17.375" style="72" customWidth="1"/>
    <col min="10863" max="10863" width="13.25" style="72" customWidth="1"/>
    <col min="10864" max="10864" width="25.75" style="72" customWidth="1"/>
    <col min="10865" max="10865" width="11.125" style="72" customWidth="1"/>
    <col min="10866" max="10866" width="10.75" style="72" customWidth="1"/>
    <col min="10867" max="10867" width="9" style="72" customWidth="1"/>
    <col min="10868" max="10868" width="9.75" style="72" customWidth="1"/>
    <col min="10869" max="10869" width="7.5" style="72" customWidth="1"/>
    <col min="10870" max="10870" width="13.25" style="72" customWidth="1"/>
    <col min="10871" max="10871" width="11.75" style="72" customWidth="1"/>
    <col min="10872" max="10872" width="8.875" style="72" customWidth="1"/>
    <col min="10873" max="10873" width="9.625" style="72" customWidth="1"/>
    <col min="10874" max="10875" width="11.875" style="72" customWidth="1"/>
    <col min="10876" max="10876" width="11.5" style="72" customWidth="1"/>
    <col min="10877" max="10892" width="12.25" style="72" customWidth="1"/>
    <col min="10893" max="10893" width="13" style="72" customWidth="1"/>
    <col min="10894" max="10898" width="12.375" style="72" customWidth="1"/>
    <col min="10899" max="10899" width="13" style="72" customWidth="1"/>
    <col min="10900" max="10901" width="12.375" style="72" customWidth="1"/>
    <col min="10902" max="10902" width="13" style="72" customWidth="1"/>
    <col min="10903" max="10903" width="13.125" style="72" customWidth="1"/>
    <col min="10904" max="10904" width="13" style="72" customWidth="1"/>
    <col min="10905" max="10905" width="13.125" style="72" customWidth="1"/>
    <col min="10906" max="10907" width="12.375" style="72" customWidth="1"/>
    <col min="10908" max="10908" width="13" style="72" customWidth="1"/>
    <col min="10909" max="10909" width="12.375" style="72" customWidth="1"/>
    <col min="10910" max="10910" width="12.25" style="72" customWidth="1"/>
    <col min="10911" max="10911" width="12.125" style="72" customWidth="1"/>
    <col min="10912" max="10912" width="11.625" style="72" customWidth="1"/>
    <col min="10913" max="10913" width="12" style="72" customWidth="1"/>
    <col min="10914" max="10914" width="13" style="72" customWidth="1"/>
    <col min="10915" max="10915" width="11.625" style="72" customWidth="1"/>
    <col min="10916" max="10917" width="12" style="72" customWidth="1"/>
    <col min="10918" max="10920" width="11.625" style="72" customWidth="1"/>
    <col min="10921" max="10921" width="11.125" style="72" customWidth="1"/>
    <col min="10922" max="10922" width="12" style="72" customWidth="1"/>
    <col min="10923" max="10923" width="13" style="72" customWidth="1"/>
    <col min="10924" max="10924" width="13.625" style="72" customWidth="1"/>
    <col min="10925" max="10925" width="11.875" style="72" customWidth="1"/>
    <col min="10926" max="10927" width="11.625" style="72" customWidth="1"/>
    <col min="10928" max="10928" width="12" style="72" customWidth="1"/>
    <col min="10929" max="10929" width="12.75" style="72" customWidth="1"/>
    <col min="10930" max="10930" width="11.625" style="72" customWidth="1"/>
    <col min="10931" max="10931" width="12.125" style="72" customWidth="1"/>
    <col min="10932" max="10933" width="11.625" style="72" customWidth="1"/>
    <col min="10934" max="10934" width="12.5" style="72" customWidth="1"/>
    <col min="10935" max="11109" width="11.625" style="72" customWidth="1"/>
    <col min="11110" max="11110" width="17.75" style="72" customWidth="1"/>
    <col min="11111" max="11112" width="9" style="72" customWidth="1"/>
    <col min="11113" max="11113" width="16.25" style="72" customWidth="1"/>
    <col min="11114" max="11114" width="24" style="72" customWidth="1"/>
    <col min="11115" max="11115" width="9" style="72"/>
    <col min="11116" max="11116" width="11.75" style="72" customWidth="1"/>
    <col min="11117" max="11117" width="8.875" style="72" customWidth="1"/>
    <col min="11118" max="11118" width="17.375" style="72" customWidth="1"/>
    <col min="11119" max="11119" width="13.25" style="72" customWidth="1"/>
    <col min="11120" max="11120" width="25.75" style="72" customWidth="1"/>
    <col min="11121" max="11121" width="11.125" style="72" customWidth="1"/>
    <col min="11122" max="11122" width="10.75" style="72" customWidth="1"/>
    <col min="11123" max="11123" width="9" style="72" customWidth="1"/>
    <col min="11124" max="11124" width="9.75" style="72" customWidth="1"/>
    <col min="11125" max="11125" width="7.5" style="72" customWidth="1"/>
    <col min="11126" max="11126" width="13.25" style="72" customWidth="1"/>
    <col min="11127" max="11127" width="11.75" style="72" customWidth="1"/>
    <col min="11128" max="11128" width="8.875" style="72" customWidth="1"/>
    <col min="11129" max="11129" width="9.625" style="72" customWidth="1"/>
    <col min="11130" max="11131" width="11.875" style="72" customWidth="1"/>
    <col min="11132" max="11132" width="11.5" style="72" customWidth="1"/>
    <col min="11133" max="11148" width="12.25" style="72" customWidth="1"/>
    <col min="11149" max="11149" width="13" style="72" customWidth="1"/>
    <col min="11150" max="11154" width="12.375" style="72" customWidth="1"/>
    <col min="11155" max="11155" width="13" style="72" customWidth="1"/>
    <col min="11156" max="11157" width="12.375" style="72" customWidth="1"/>
    <col min="11158" max="11158" width="13" style="72" customWidth="1"/>
    <col min="11159" max="11159" width="13.125" style="72" customWidth="1"/>
    <col min="11160" max="11160" width="13" style="72" customWidth="1"/>
    <col min="11161" max="11161" width="13.125" style="72" customWidth="1"/>
    <col min="11162" max="11163" width="12.375" style="72" customWidth="1"/>
    <col min="11164" max="11164" width="13" style="72" customWidth="1"/>
    <col min="11165" max="11165" width="12.375" style="72" customWidth="1"/>
    <col min="11166" max="11166" width="12.25" style="72" customWidth="1"/>
    <col min="11167" max="11167" width="12.125" style="72" customWidth="1"/>
    <col min="11168" max="11168" width="11.625" style="72" customWidth="1"/>
    <col min="11169" max="11169" width="12" style="72" customWidth="1"/>
    <col min="11170" max="11170" width="13" style="72" customWidth="1"/>
    <col min="11171" max="11171" width="11.625" style="72" customWidth="1"/>
    <col min="11172" max="11173" width="12" style="72" customWidth="1"/>
    <col min="11174" max="11176" width="11.625" style="72" customWidth="1"/>
    <col min="11177" max="11177" width="11.125" style="72" customWidth="1"/>
    <col min="11178" max="11178" width="12" style="72" customWidth="1"/>
    <col min="11179" max="11179" width="13" style="72" customWidth="1"/>
    <col min="11180" max="11180" width="13.625" style="72" customWidth="1"/>
    <col min="11181" max="11181" width="11.875" style="72" customWidth="1"/>
    <col min="11182" max="11183" width="11.625" style="72" customWidth="1"/>
    <col min="11184" max="11184" width="12" style="72" customWidth="1"/>
    <col min="11185" max="11185" width="12.75" style="72" customWidth="1"/>
    <col min="11186" max="11186" width="11.625" style="72" customWidth="1"/>
    <col min="11187" max="11187" width="12.125" style="72" customWidth="1"/>
    <col min="11188" max="11189" width="11.625" style="72" customWidth="1"/>
    <col min="11190" max="11190" width="12.5" style="72" customWidth="1"/>
    <col min="11191" max="11365" width="11.625" style="72" customWidth="1"/>
    <col min="11366" max="11366" width="17.75" style="72" customWidth="1"/>
    <col min="11367" max="11368" width="9" style="72" customWidth="1"/>
    <col min="11369" max="11369" width="16.25" style="72" customWidth="1"/>
    <col min="11370" max="11370" width="24" style="72" customWidth="1"/>
    <col min="11371" max="11371" width="9" style="72"/>
    <col min="11372" max="11372" width="11.75" style="72" customWidth="1"/>
    <col min="11373" max="11373" width="8.875" style="72" customWidth="1"/>
    <col min="11374" max="11374" width="17.375" style="72" customWidth="1"/>
    <col min="11375" max="11375" width="13.25" style="72" customWidth="1"/>
    <col min="11376" max="11376" width="25.75" style="72" customWidth="1"/>
    <col min="11377" max="11377" width="11.125" style="72" customWidth="1"/>
    <col min="11378" max="11378" width="10.75" style="72" customWidth="1"/>
    <col min="11379" max="11379" width="9" style="72" customWidth="1"/>
    <col min="11380" max="11380" width="9.75" style="72" customWidth="1"/>
    <col min="11381" max="11381" width="7.5" style="72" customWidth="1"/>
    <col min="11382" max="11382" width="13.25" style="72" customWidth="1"/>
    <col min="11383" max="11383" width="11.75" style="72" customWidth="1"/>
    <col min="11384" max="11384" width="8.875" style="72" customWidth="1"/>
    <col min="11385" max="11385" width="9.625" style="72" customWidth="1"/>
    <col min="11386" max="11387" width="11.875" style="72" customWidth="1"/>
    <col min="11388" max="11388" width="11.5" style="72" customWidth="1"/>
    <col min="11389" max="11404" width="12.25" style="72" customWidth="1"/>
    <col min="11405" max="11405" width="13" style="72" customWidth="1"/>
    <col min="11406" max="11410" width="12.375" style="72" customWidth="1"/>
    <col min="11411" max="11411" width="13" style="72" customWidth="1"/>
    <col min="11412" max="11413" width="12.375" style="72" customWidth="1"/>
    <col min="11414" max="11414" width="13" style="72" customWidth="1"/>
    <col min="11415" max="11415" width="13.125" style="72" customWidth="1"/>
    <col min="11416" max="11416" width="13" style="72" customWidth="1"/>
    <col min="11417" max="11417" width="13.125" style="72" customWidth="1"/>
    <col min="11418" max="11419" width="12.375" style="72" customWidth="1"/>
    <col min="11420" max="11420" width="13" style="72" customWidth="1"/>
    <col min="11421" max="11421" width="12.375" style="72" customWidth="1"/>
    <col min="11422" max="11422" width="12.25" style="72" customWidth="1"/>
    <col min="11423" max="11423" width="12.125" style="72" customWidth="1"/>
    <col min="11424" max="11424" width="11.625" style="72" customWidth="1"/>
    <col min="11425" max="11425" width="12" style="72" customWidth="1"/>
    <col min="11426" max="11426" width="13" style="72" customWidth="1"/>
    <col min="11427" max="11427" width="11.625" style="72" customWidth="1"/>
    <col min="11428" max="11429" width="12" style="72" customWidth="1"/>
    <col min="11430" max="11432" width="11.625" style="72" customWidth="1"/>
    <col min="11433" max="11433" width="11.125" style="72" customWidth="1"/>
    <col min="11434" max="11434" width="12" style="72" customWidth="1"/>
    <col min="11435" max="11435" width="13" style="72" customWidth="1"/>
    <col min="11436" max="11436" width="13.625" style="72" customWidth="1"/>
    <col min="11437" max="11437" width="11.875" style="72" customWidth="1"/>
    <col min="11438" max="11439" width="11.625" style="72" customWidth="1"/>
    <col min="11440" max="11440" width="12" style="72" customWidth="1"/>
    <col min="11441" max="11441" width="12.75" style="72" customWidth="1"/>
    <col min="11442" max="11442" width="11.625" style="72" customWidth="1"/>
    <col min="11443" max="11443" width="12.125" style="72" customWidth="1"/>
    <col min="11444" max="11445" width="11.625" style="72" customWidth="1"/>
    <col min="11446" max="11446" width="12.5" style="72" customWidth="1"/>
    <col min="11447" max="11621" width="11.625" style="72" customWidth="1"/>
    <col min="11622" max="11622" width="17.75" style="72" customWidth="1"/>
    <col min="11623" max="11624" width="9" style="72" customWidth="1"/>
    <col min="11625" max="11625" width="16.25" style="72" customWidth="1"/>
    <col min="11626" max="11626" width="24" style="72" customWidth="1"/>
    <col min="11627" max="11627" width="9" style="72"/>
    <col min="11628" max="11628" width="11.75" style="72" customWidth="1"/>
    <col min="11629" max="11629" width="8.875" style="72" customWidth="1"/>
    <col min="11630" max="11630" width="17.375" style="72" customWidth="1"/>
    <col min="11631" max="11631" width="13.25" style="72" customWidth="1"/>
    <col min="11632" max="11632" width="25.75" style="72" customWidth="1"/>
    <col min="11633" max="11633" width="11.125" style="72" customWidth="1"/>
    <col min="11634" max="11634" width="10.75" style="72" customWidth="1"/>
    <col min="11635" max="11635" width="9" style="72" customWidth="1"/>
    <col min="11636" max="11636" width="9.75" style="72" customWidth="1"/>
    <col min="11637" max="11637" width="7.5" style="72" customWidth="1"/>
    <col min="11638" max="11638" width="13.25" style="72" customWidth="1"/>
    <col min="11639" max="11639" width="11.75" style="72" customWidth="1"/>
    <col min="11640" max="11640" width="8.875" style="72" customWidth="1"/>
    <col min="11641" max="11641" width="9.625" style="72" customWidth="1"/>
    <col min="11642" max="11643" width="11.875" style="72" customWidth="1"/>
    <col min="11644" max="11644" width="11.5" style="72" customWidth="1"/>
    <col min="11645" max="11660" width="12.25" style="72" customWidth="1"/>
    <col min="11661" max="11661" width="13" style="72" customWidth="1"/>
    <col min="11662" max="11666" width="12.375" style="72" customWidth="1"/>
    <col min="11667" max="11667" width="13" style="72" customWidth="1"/>
    <col min="11668" max="11669" width="12.375" style="72" customWidth="1"/>
    <col min="11670" max="11670" width="13" style="72" customWidth="1"/>
    <col min="11671" max="11671" width="13.125" style="72" customWidth="1"/>
    <col min="11672" max="11672" width="13" style="72" customWidth="1"/>
    <col min="11673" max="11673" width="13.125" style="72" customWidth="1"/>
    <col min="11674" max="11675" width="12.375" style="72" customWidth="1"/>
    <col min="11676" max="11676" width="13" style="72" customWidth="1"/>
    <col min="11677" max="11677" width="12.375" style="72" customWidth="1"/>
    <col min="11678" max="11678" width="12.25" style="72" customWidth="1"/>
    <col min="11679" max="11679" width="12.125" style="72" customWidth="1"/>
    <col min="11680" max="11680" width="11.625" style="72" customWidth="1"/>
    <col min="11681" max="11681" width="12" style="72" customWidth="1"/>
    <col min="11682" max="11682" width="13" style="72" customWidth="1"/>
    <col min="11683" max="11683" width="11.625" style="72" customWidth="1"/>
    <col min="11684" max="11685" width="12" style="72" customWidth="1"/>
    <col min="11686" max="11688" width="11.625" style="72" customWidth="1"/>
    <col min="11689" max="11689" width="11.125" style="72" customWidth="1"/>
    <col min="11690" max="11690" width="12" style="72" customWidth="1"/>
    <col min="11691" max="11691" width="13" style="72" customWidth="1"/>
    <col min="11692" max="11692" width="13.625" style="72" customWidth="1"/>
    <col min="11693" max="11693" width="11.875" style="72" customWidth="1"/>
    <col min="11694" max="11695" width="11.625" style="72" customWidth="1"/>
    <col min="11696" max="11696" width="12" style="72" customWidth="1"/>
    <col min="11697" max="11697" width="12.75" style="72" customWidth="1"/>
    <col min="11698" max="11698" width="11.625" style="72" customWidth="1"/>
    <col min="11699" max="11699" width="12.125" style="72" customWidth="1"/>
    <col min="11700" max="11701" width="11.625" style="72" customWidth="1"/>
    <col min="11702" max="11702" width="12.5" style="72" customWidth="1"/>
    <col min="11703" max="11877" width="11.625" style="72" customWidth="1"/>
    <col min="11878" max="11878" width="17.75" style="72" customWidth="1"/>
    <col min="11879" max="11880" width="9" style="72" customWidth="1"/>
    <col min="11881" max="11881" width="16.25" style="72" customWidth="1"/>
    <col min="11882" max="11882" width="24" style="72" customWidth="1"/>
    <col min="11883" max="11883" width="9" style="72"/>
    <col min="11884" max="11884" width="11.75" style="72" customWidth="1"/>
    <col min="11885" max="11885" width="8.875" style="72" customWidth="1"/>
    <col min="11886" max="11886" width="17.375" style="72" customWidth="1"/>
    <col min="11887" max="11887" width="13.25" style="72" customWidth="1"/>
    <col min="11888" max="11888" width="25.75" style="72" customWidth="1"/>
    <col min="11889" max="11889" width="11.125" style="72" customWidth="1"/>
    <col min="11890" max="11890" width="10.75" style="72" customWidth="1"/>
    <col min="11891" max="11891" width="9" style="72" customWidth="1"/>
    <col min="11892" max="11892" width="9.75" style="72" customWidth="1"/>
    <col min="11893" max="11893" width="7.5" style="72" customWidth="1"/>
    <col min="11894" max="11894" width="13.25" style="72" customWidth="1"/>
    <col min="11895" max="11895" width="11.75" style="72" customWidth="1"/>
    <col min="11896" max="11896" width="8.875" style="72" customWidth="1"/>
    <col min="11897" max="11897" width="9.625" style="72" customWidth="1"/>
    <col min="11898" max="11899" width="11.875" style="72" customWidth="1"/>
    <col min="11900" max="11900" width="11.5" style="72" customWidth="1"/>
    <col min="11901" max="11916" width="12.25" style="72" customWidth="1"/>
    <col min="11917" max="11917" width="13" style="72" customWidth="1"/>
    <col min="11918" max="11922" width="12.375" style="72" customWidth="1"/>
    <col min="11923" max="11923" width="13" style="72" customWidth="1"/>
    <col min="11924" max="11925" width="12.375" style="72" customWidth="1"/>
    <col min="11926" max="11926" width="13" style="72" customWidth="1"/>
    <col min="11927" max="11927" width="13.125" style="72" customWidth="1"/>
    <col min="11928" max="11928" width="13" style="72" customWidth="1"/>
    <col min="11929" max="11929" width="13.125" style="72" customWidth="1"/>
    <col min="11930" max="11931" width="12.375" style="72" customWidth="1"/>
    <col min="11932" max="11932" width="13" style="72" customWidth="1"/>
    <col min="11933" max="11933" width="12.375" style="72" customWidth="1"/>
    <col min="11934" max="11934" width="12.25" style="72" customWidth="1"/>
    <col min="11935" max="11935" width="12.125" style="72" customWidth="1"/>
    <col min="11936" max="11936" width="11.625" style="72" customWidth="1"/>
    <col min="11937" max="11937" width="12" style="72" customWidth="1"/>
    <col min="11938" max="11938" width="13" style="72" customWidth="1"/>
    <col min="11939" max="11939" width="11.625" style="72" customWidth="1"/>
    <col min="11940" max="11941" width="12" style="72" customWidth="1"/>
    <col min="11942" max="11944" width="11.625" style="72" customWidth="1"/>
    <col min="11945" max="11945" width="11.125" style="72" customWidth="1"/>
    <col min="11946" max="11946" width="12" style="72" customWidth="1"/>
    <col min="11947" max="11947" width="13" style="72" customWidth="1"/>
    <col min="11948" max="11948" width="13.625" style="72" customWidth="1"/>
    <col min="11949" max="11949" width="11.875" style="72" customWidth="1"/>
    <col min="11950" max="11951" width="11.625" style="72" customWidth="1"/>
    <col min="11952" max="11952" width="12" style="72" customWidth="1"/>
    <col min="11953" max="11953" width="12.75" style="72" customWidth="1"/>
    <col min="11954" max="11954" width="11.625" style="72" customWidth="1"/>
    <col min="11955" max="11955" width="12.125" style="72" customWidth="1"/>
    <col min="11956" max="11957" width="11.625" style="72" customWidth="1"/>
    <col min="11958" max="11958" width="12.5" style="72" customWidth="1"/>
    <col min="11959" max="12133" width="11.625" style="72" customWidth="1"/>
    <col min="12134" max="12134" width="17.75" style="72" customWidth="1"/>
    <col min="12135" max="12136" width="9" style="72" customWidth="1"/>
    <col min="12137" max="12137" width="16.25" style="72" customWidth="1"/>
    <col min="12138" max="12138" width="24" style="72" customWidth="1"/>
    <col min="12139" max="12139" width="9" style="72"/>
    <col min="12140" max="12140" width="11.75" style="72" customWidth="1"/>
    <col min="12141" max="12141" width="8.875" style="72" customWidth="1"/>
    <col min="12142" max="12142" width="17.375" style="72" customWidth="1"/>
    <col min="12143" max="12143" width="13.25" style="72" customWidth="1"/>
    <col min="12144" max="12144" width="25.75" style="72" customWidth="1"/>
    <col min="12145" max="12145" width="11.125" style="72" customWidth="1"/>
    <col min="12146" max="12146" width="10.75" style="72" customWidth="1"/>
    <col min="12147" max="12147" width="9" style="72" customWidth="1"/>
    <col min="12148" max="12148" width="9.75" style="72" customWidth="1"/>
    <col min="12149" max="12149" width="7.5" style="72" customWidth="1"/>
    <col min="12150" max="12150" width="13.25" style="72" customWidth="1"/>
    <col min="12151" max="12151" width="11.75" style="72" customWidth="1"/>
    <col min="12152" max="12152" width="8.875" style="72" customWidth="1"/>
    <col min="12153" max="12153" width="9.625" style="72" customWidth="1"/>
    <col min="12154" max="12155" width="11.875" style="72" customWidth="1"/>
    <col min="12156" max="12156" width="11.5" style="72" customWidth="1"/>
    <col min="12157" max="12172" width="12.25" style="72" customWidth="1"/>
    <col min="12173" max="12173" width="13" style="72" customWidth="1"/>
    <col min="12174" max="12178" width="12.375" style="72" customWidth="1"/>
    <col min="12179" max="12179" width="13" style="72" customWidth="1"/>
    <col min="12180" max="12181" width="12.375" style="72" customWidth="1"/>
    <col min="12182" max="12182" width="13" style="72" customWidth="1"/>
    <col min="12183" max="12183" width="13.125" style="72" customWidth="1"/>
    <col min="12184" max="12184" width="13" style="72" customWidth="1"/>
    <col min="12185" max="12185" width="13.125" style="72" customWidth="1"/>
    <col min="12186" max="12187" width="12.375" style="72" customWidth="1"/>
    <col min="12188" max="12188" width="13" style="72" customWidth="1"/>
    <col min="12189" max="12189" width="12.375" style="72" customWidth="1"/>
    <col min="12190" max="12190" width="12.25" style="72" customWidth="1"/>
    <col min="12191" max="12191" width="12.125" style="72" customWidth="1"/>
    <col min="12192" max="12192" width="11.625" style="72" customWidth="1"/>
    <col min="12193" max="12193" width="12" style="72" customWidth="1"/>
    <col min="12194" max="12194" width="13" style="72" customWidth="1"/>
    <col min="12195" max="12195" width="11.625" style="72" customWidth="1"/>
    <col min="12196" max="12197" width="12" style="72" customWidth="1"/>
    <col min="12198" max="12200" width="11.625" style="72" customWidth="1"/>
    <col min="12201" max="12201" width="11.125" style="72" customWidth="1"/>
    <col min="12202" max="12202" width="12" style="72" customWidth="1"/>
    <col min="12203" max="12203" width="13" style="72" customWidth="1"/>
    <col min="12204" max="12204" width="13.625" style="72" customWidth="1"/>
    <col min="12205" max="12205" width="11.875" style="72" customWidth="1"/>
    <col min="12206" max="12207" width="11.625" style="72" customWidth="1"/>
    <col min="12208" max="12208" width="12" style="72" customWidth="1"/>
    <col min="12209" max="12209" width="12.75" style="72" customWidth="1"/>
    <col min="12210" max="12210" width="11.625" style="72" customWidth="1"/>
    <col min="12211" max="12211" width="12.125" style="72" customWidth="1"/>
    <col min="12212" max="12213" width="11.625" style="72" customWidth="1"/>
    <col min="12214" max="12214" width="12.5" style="72" customWidth="1"/>
    <col min="12215" max="12389" width="11.625" style="72" customWidth="1"/>
    <col min="12390" max="12390" width="17.75" style="72" customWidth="1"/>
    <col min="12391" max="12392" width="9" style="72" customWidth="1"/>
    <col min="12393" max="12393" width="16.25" style="72" customWidth="1"/>
    <col min="12394" max="12394" width="24" style="72" customWidth="1"/>
    <col min="12395" max="12395" width="9" style="72"/>
    <col min="12396" max="12396" width="11.75" style="72" customWidth="1"/>
    <col min="12397" max="12397" width="8.875" style="72" customWidth="1"/>
    <col min="12398" max="12398" width="17.375" style="72" customWidth="1"/>
    <col min="12399" max="12399" width="13.25" style="72" customWidth="1"/>
    <col min="12400" max="12400" width="25.75" style="72" customWidth="1"/>
    <col min="12401" max="12401" width="11.125" style="72" customWidth="1"/>
    <col min="12402" max="12402" width="10.75" style="72" customWidth="1"/>
    <col min="12403" max="12403" width="9" style="72" customWidth="1"/>
    <col min="12404" max="12404" width="9.75" style="72" customWidth="1"/>
    <col min="12405" max="12405" width="7.5" style="72" customWidth="1"/>
    <col min="12406" max="12406" width="13.25" style="72" customWidth="1"/>
    <col min="12407" max="12407" width="11.75" style="72" customWidth="1"/>
    <col min="12408" max="12408" width="8.875" style="72" customWidth="1"/>
    <col min="12409" max="12409" width="9.625" style="72" customWidth="1"/>
    <col min="12410" max="12411" width="11.875" style="72" customWidth="1"/>
    <col min="12412" max="12412" width="11.5" style="72" customWidth="1"/>
    <col min="12413" max="12428" width="12.25" style="72" customWidth="1"/>
    <col min="12429" max="12429" width="13" style="72" customWidth="1"/>
    <col min="12430" max="12434" width="12.375" style="72" customWidth="1"/>
    <col min="12435" max="12435" width="13" style="72" customWidth="1"/>
    <col min="12436" max="12437" width="12.375" style="72" customWidth="1"/>
    <col min="12438" max="12438" width="13" style="72" customWidth="1"/>
    <col min="12439" max="12439" width="13.125" style="72" customWidth="1"/>
    <col min="12440" max="12440" width="13" style="72" customWidth="1"/>
    <col min="12441" max="12441" width="13.125" style="72" customWidth="1"/>
    <col min="12442" max="12443" width="12.375" style="72" customWidth="1"/>
    <col min="12444" max="12444" width="13" style="72" customWidth="1"/>
    <col min="12445" max="12445" width="12.375" style="72" customWidth="1"/>
    <col min="12446" max="12446" width="12.25" style="72" customWidth="1"/>
    <col min="12447" max="12447" width="12.125" style="72" customWidth="1"/>
    <col min="12448" max="12448" width="11.625" style="72" customWidth="1"/>
    <col min="12449" max="12449" width="12" style="72" customWidth="1"/>
    <col min="12450" max="12450" width="13" style="72" customWidth="1"/>
    <col min="12451" max="12451" width="11.625" style="72" customWidth="1"/>
    <col min="12452" max="12453" width="12" style="72" customWidth="1"/>
    <col min="12454" max="12456" width="11.625" style="72" customWidth="1"/>
    <col min="12457" max="12457" width="11.125" style="72" customWidth="1"/>
    <col min="12458" max="12458" width="12" style="72" customWidth="1"/>
    <col min="12459" max="12459" width="13" style="72" customWidth="1"/>
    <col min="12460" max="12460" width="13.625" style="72" customWidth="1"/>
    <col min="12461" max="12461" width="11.875" style="72" customWidth="1"/>
    <col min="12462" max="12463" width="11.625" style="72" customWidth="1"/>
    <col min="12464" max="12464" width="12" style="72" customWidth="1"/>
    <col min="12465" max="12465" width="12.75" style="72" customWidth="1"/>
    <col min="12466" max="12466" width="11.625" style="72" customWidth="1"/>
    <col min="12467" max="12467" width="12.125" style="72" customWidth="1"/>
    <col min="12468" max="12469" width="11.625" style="72" customWidth="1"/>
    <col min="12470" max="12470" width="12.5" style="72" customWidth="1"/>
    <col min="12471" max="12645" width="11.625" style="72" customWidth="1"/>
    <col min="12646" max="12646" width="17.75" style="72" customWidth="1"/>
    <col min="12647" max="12648" width="9" style="72" customWidth="1"/>
    <col min="12649" max="12649" width="16.25" style="72" customWidth="1"/>
    <col min="12650" max="12650" width="24" style="72" customWidth="1"/>
    <col min="12651" max="12651" width="9" style="72"/>
    <col min="12652" max="12652" width="11.75" style="72" customWidth="1"/>
    <col min="12653" max="12653" width="8.875" style="72" customWidth="1"/>
    <col min="12654" max="12654" width="17.375" style="72" customWidth="1"/>
    <col min="12655" max="12655" width="13.25" style="72" customWidth="1"/>
    <col min="12656" max="12656" width="25.75" style="72" customWidth="1"/>
    <col min="12657" max="12657" width="11.125" style="72" customWidth="1"/>
    <col min="12658" max="12658" width="10.75" style="72" customWidth="1"/>
    <col min="12659" max="12659" width="9" style="72" customWidth="1"/>
    <col min="12660" max="12660" width="9.75" style="72" customWidth="1"/>
    <col min="12661" max="12661" width="7.5" style="72" customWidth="1"/>
    <col min="12662" max="12662" width="13.25" style="72" customWidth="1"/>
    <col min="12663" max="12663" width="11.75" style="72" customWidth="1"/>
    <col min="12664" max="12664" width="8.875" style="72" customWidth="1"/>
    <col min="12665" max="12665" width="9.625" style="72" customWidth="1"/>
    <col min="12666" max="12667" width="11.875" style="72" customWidth="1"/>
    <col min="12668" max="12668" width="11.5" style="72" customWidth="1"/>
    <col min="12669" max="12684" width="12.25" style="72" customWidth="1"/>
    <col min="12685" max="12685" width="13" style="72" customWidth="1"/>
    <col min="12686" max="12690" width="12.375" style="72" customWidth="1"/>
    <col min="12691" max="12691" width="13" style="72" customWidth="1"/>
    <col min="12692" max="12693" width="12.375" style="72" customWidth="1"/>
    <col min="12694" max="12694" width="13" style="72" customWidth="1"/>
    <col min="12695" max="12695" width="13.125" style="72" customWidth="1"/>
    <col min="12696" max="12696" width="13" style="72" customWidth="1"/>
    <col min="12697" max="12697" width="13.125" style="72" customWidth="1"/>
    <col min="12698" max="12699" width="12.375" style="72" customWidth="1"/>
    <col min="12700" max="12700" width="13" style="72" customWidth="1"/>
    <col min="12701" max="12701" width="12.375" style="72" customWidth="1"/>
    <col min="12702" max="12702" width="12.25" style="72" customWidth="1"/>
    <col min="12703" max="12703" width="12.125" style="72" customWidth="1"/>
    <col min="12704" max="12704" width="11.625" style="72" customWidth="1"/>
    <col min="12705" max="12705" width="12" style="72" customWidth="1"/>
    <col min="12706" max="12706" width="13" style="72" customWidth="1"/>
    <col min="12707" max="12707" width="11.625" style="72" customWidth="1"/>
    <col min="12708" max="12709" width="12" style="72" customWidth="1"/>
    <col min="12710" max="12712" width="11.625" style="72" customWidth="1"/>
    <col min="12713" max="12713" width="11.125" style="72" customWidth="1"/>
    <col min="12714" max="12714" width="12" style="72" customWidth="1"/>
    <col min="12715" max="12715" width="13" style="72" customWidth="1"/>
    <col min="12716" max="12716" width="13.625" style="72" customWidth="1"/>
    <col min="12717" max="12717" width="11.875" style="72" customWidth="1"/>
    <col min="12718" max="12719" width="11.625" style="72" customWidth="1"/>
    <col min="12720" max="12720" width="12" style="72" customWidth="1"/>
    <col min="12721" max="12721" width="12.75" style="72" customWidth="1"/>
    <col min="12722" max="12722" width="11.625" style="72" customWidth="1"/>
    <col min="12723" max="12723" width="12.125" style="72" customWidth="1"/>
    <col min="12724" max="12725" width="11.625" style="72" customWidth="1"/>
    <col min="12726" max="12726" width="12.5" style="72" customWidth="1"/>
    <col min="12727" max="12901" width="11.625" style="72" customWidth="1"/>
    <col min="12902" max="12902" width="17.75" style="72" customWidth="1"/>
    <col min="12903" max="12904" width="9" style="72" customWidth="1"/>
    <col min="12905" max="12905" width="16.25" style="72" customWidth="1"/>
    <col min="12906" max="12906" width="24" style="72" customWidth="1"/>
    <col min="12907" max="12907" width="9" style="72"/>
    <col min="12908" max="12908" width="11.75" style="72" customWidth="1"/>
    <col min="12909" max="12909" width="8.875" style="72" customWidth="1"/>
    <col min="12910" max="12910" width="17.375" style="72" customWidth="1"/>
    <col min="12911" max="12911" width="13.25" style="72" customWidth="1"/>
    <col min="12912" max="12912" width="25.75" style="72" customWidth="1"/>
    <col min="12913" max="12913" width="11.125" style="72" customWidth="1"/>
    <col min="12914" max="12914" width="10.75" style="72" customWidth="1"/>
    <col min="12915" max="12915" width="9" style="72" customWidth="1"/>
    <col min="12916" max="12916" width="9.75" style="72" customWidth="1"/>
    <col min="12917" max="12917" width="7.5" style="72" customWidth="1"/>
    <col min="12918" max="12918" width="13.25" style="72" customWidth="1"/>
    <col min="12919" max="12919" width="11.75" style="72" customWidth="1"/>
    <col min="12920" max="12920" width="8.875" style="72" customWidth="1"/>
    <col min="12921" max="12921" width="9.625" style="72" customWidth="1"/>
    <col min="12922" max="12923" width="11.875" style="72" customWidth="1"/>
    <col min="12924" max="12924" width="11.5" style="72" customWidth="1"/>
    <col min="12925" max="12940" width="12.25" style="72" customWidth="1"/>
    <col min="12941" max="12941" width="13" style="72" customWidth="1"/>
    <col min="12942" max="12946" width="12.375" style="72" customWidth="1"/>
    <col min="12947" max="12947" width="13" style="72" customWidth="1"/>
    <col min="12948" max="12949" width="12.375" style="72" customWidth="1"/>
    <col min="12950" max="12950" width="13" style="72" customWidth="1"/>
    <col min="12951" max="12951" width="13.125" style="72" customWidth="1"/>
    <col min="12952" max="12952" width="13" style="72" customWidth="1"/>
    <col min="12953" max="12953" width="13.125" style="72" customWidth="1"/>
    <col min="12954" max="12955" width="12.375" style="72" customWidth="1"/>
    <col min="12956" max="12956" width="13" style="72" customWidth="1"/>
    <col min="12957" max="12957" width="12.375" style="72" customWidth="1"/>
    <col min="12958" max="12958" width="12.25" style="72" customWidth="1"/>
    <col min="12959" max="12959" width="12.125" style="72" customWidth="1"/>
    <col min="12960" max="12960" width="11.625" style="72" customWidth="1"/>
    <col min="12961" max="12961" width="12" style="72" customWidth="1"/>
    <col min="12962" max="12962" width="13" style="72" customWidth="1"/>
    <col min="12963" max="12963" width="11.625" style="72" customWidth="1"/>
    <col min="12964" max="12965" width="12" style="72" customWidth="1"/>
    <col min="12966" max="12968" width="11.625" style="72" customWidth="1"/>
    <col min="12969" max="12969" width="11.125" style="72" customWidth="1"/>
    <col min="12970" max="12970" width="12" style="72" customWidth="1"/>
    <col min="12971" max="12971" width="13" style="72" customWidth="1"/>
    <col min="12972" max="12972" width="13.625" style="72" customWidth="1"/>
    <col min="12973" max="12973" width="11.875" style="72" customWidth="1"/>
    <col min="12974" max="12975" width="11.625" style="72" customWidth="1"/>
    <col min="12976" max="12976" width="12" style="72" customWidth="1"/>
    <col min="12977" max="12977" width="12.75" style="72" customWidth="1"/>
    <col min="12978" max="12978" width="11.625" style="72" customWidth="1"/>
    <col min="12979" max="12979" width="12.125" style="72" customWidth="1"/>
    <col min="12980" max="12981" width="11.625" style="72" customWidth="1"/>
    <col min="12982" max="12982" width="12.5" style="72" customWidth="1"/>
    <col min="12983" max="13157" width="11.625" style="72" customWidth="1"/>
    <col min="13158" max="13158" width="17.75" style="72" customWidth="1"/>
    <col min="13159" max="13160" width="9" style="72" customWidth="1"/>
    <col min="13161" max="13161" width="16.25" style="72" customWidth="1"/>
    <col min="13162" max="13162" width="24" style="72" customWidth="1"/>
    <col min="13163" max="13163" width="9" style="72"/>
    <col min="13164" max="13164" width="11.75" style="72" customWidth="1"/>
    <col min="13165" max="13165" width="8.875" style="72" customWidth="1"/>
    <col min="13166" max="13166" width="17.375" style="72" customWidth="1"/>
    <col min="13167" max="13167" width="13.25" style="72" customWidth="1"/>
    <col min="13168" max="13168" width="25.75" style="72" customWidth="1"/>
    <col min="13169" max="13169" width="11.125" style="72" customWidth="1"/>
    <col min="13170" max="13170" width="10.75" style="72" customWidth="1"/>
    <col min="13171" max="13171" width="9" style="72" customWidth="1"/>
    <col min="13172" max="13172" width="9.75" style="72" customWidth="1"/>
    <col min="13173" max="13173" width="7.5" style="72" customWidth="1"/>
    <col min="13174" max="13174" width="13.25" style="72" customWidth="1"/>
    <col min="13175" max="13175" width="11.75" style="72" customWidth="1"/>
    <col min="13176" max="13176" width="8.875" style="72" customWidth="1"/>
    <col min="13177" max="13177" width="9.625" style="72" customWidth="1"/>
    <col min="13178" max="13179" width="11.875" style="72" customWidth="1"/>
    <col min="13180" max="13180" width="11.5" style="72" customWidth="1"/>
    <col min="13181" max="13196" width="12.25" style="72" customWidth="1"/>
    <col min="13197" max="13197" width="13" style="72" customWidth="1"/>
    <col min="13198" max="13202" width="12.375" style="72" customWidth="1"/>
    <col min="13203" max="13203" width="13" style="72" customWidth="1"/>
    <col min="13204" max="13205" width="12.375" style="72" customWidth="1"/>
    <col min="13206" max="13206" width="13" style="72" customWidth="1"/>
    <col min="13207" max="13207" width="13.125" style="72" customWidth="1"/>
    <col min="13208" max="13208" width="13" style="72" customWidth="1"/>
    <col min="13209" max="13209" width="13.125" style="72" customWidth="1"/>
    <col min="13210" max="13211" width="12.375" style="72" customWidth="1"/>
    <col min="13212" max="13212" width="13" style="72" customWidth="1"/>
    <col min="13213" max="13213" width="12.375" style="72" customWidth="1"/>
    <col min="13214" max="13214" width="12.25" style="72" customWidth="1"/>
    <col min="13215" max="13215" width="12.125" style="72" customWidth="1"/>
    <col min="13216" max="13216" width="11.625" style="72" customWidth="1"/>
    <col min="13217" max="13217" width="12" style="72" customWidth="1"/>
    <col min="13218" max="13218" width="13" style="72" customWidth="1"/>
    <col min="13219" max="13219" width="11.625" style="72" customWidth="1"/>
    <col min="13220" max="13221" width="12" style="72" customWidth="1"/>
    <col min="13222" max="13224" width="11.625" style="72" customWidth="1"/>
    <col min="13225" max="13225" width="11.125" style="72" customWidth="1"/>
    <col min="13226" max="13226" width="12" style="72" customWidth="1"/>
    <col min="13227" max="13227" width="13" style="72" customWidth="1"/>
    <col min="13228" max="13228" width="13.625" style="72" customWidth="1"/>
    <col min="13229" max="13229" width="11.875" style="72" customWidth="1"/>
    <col min="13230" max="13231" width="11.625" style="72" customWidth="1"/>
    <col min="13232" max="13232" width="12" style="72" customWidth="1"/>
    <col min="13233" max="13233" width="12.75" style="72" customWidth="1"/>
    <col min="13234" max="13234" width="11.625" style="72" customWidth="1"/>
    <col min="13235" max="13235" width="12.125" style="72" customWidth="1"/>
    <col min="13236" max="13237" width="11.625" style="72" customWidth="1"/>
    <col min="13238" max="13238" width="12.5" style="72" customWidth="1"/>
    <col min="13239" max="13413" width="11.625" style="72" customWidth="1"/>
    <col min="13414" max="13414" width="17.75" style="72" customWidth="1"/>
    <col min="13415" max="13416" width="9" style="72" customWidth="1"/>
    <col min="13417" max="13417" width="16.25" style="72" customWidth="1"/>
    <col min="13418" max="13418" width="24" style="72" customWidth="1"/>
    <col min="13419" max="13419" width="9" style="72"/>
    <col min="13420" max="13420" width="11.75" style="72" customWidth="1"/>
    <col min="13421" max="13421" width="8.875" style="72" customWidth="1"/>
    <col min="13422" max="13422" width="17.375" style="72" customWidth="1"/>
    <col min="13423" max="13423" width="13.25" style="72" customWidth="1"/>
    <col min="13424" max="13424" width="25.75" style="72" customWidth="1"/>
    <col min="13425" max="13425" width="11.125" style="72" customWidth="1"/>
    <col min="13426" max="13426" width="10.75" style="72" customWidth="1"/>
    <col min="13427" max="13427" width="9" style="72" customWidth="1"/>
    <col min="13428" max="13428" width="9.75" style="72" customWidth="1"/>
    <col min="13429" max="13429" width="7.5" style="72" customWidth="1"/>
    <col min="13430" max="13430" width="13.25" style="72" customWidth="1"/>
    <col min="13431" max="13431" width="11.75" style="72" customWidth="1"/>
    <col min="13432" max="13432" width="8.875" style="72" customWidth="1"/>
    <col min="13433" max="13433" width="9.625" style="72" customWidth="1"/>
    <col min="13434" max="13435" width="11.875" style="72" customWidth="1"/>
    <col min="13436" max="13436" width="11.5" style="72" customWidth="1"/>
    <col min="13437" max="13452" width="12.25" style="72" customWidth="1"/>
    <col min="13453" max="13453" width="13" style="72" customWidth="1"/>
    <col min="13454" max="13458" width="12.375" style="72" customWidth="1"/>
    <col min="13459" max="13459" width="13" style="72" customWidth="1"/>
    <col min="13460" max="13461" width="12.375" style="72" customWidth="1"/>
    <col min="13462" max="13462" width="13" style="72" customWidth="1"/>
    <col min="13463" max="13463" width="13.125" style="72" customWidth="1"/>
    <col min="13464" max="13464" width="13" style="72" customWidth="1"/>
    <col min="13465" max="13465" width="13.125" style="72" customWidth="1"/>
    <col min="13466" max="13467" width="12.375" style="72" customWidth="1"/>
    <col min="13468" max="13468" width="13" style="72" customWidth="1"/>
    <col min="13469" max="13469" width="12.375" style="72" customWidth="1"/>
    <col min="13470" max="13470" width="12.25" style="72" customWidth="1"/>
    <col min="13471" max="13471" width="12.125" style="72" customWidth="1"/>
    <col min="13472" max="13472" width="11.625" style="72" customWidth="1"/>
    <col min="13473" max="13473" width="12" style="72" customWidth="1"/>
    <col min="13474" max="13474" width="13" style="72" customWidth="1"/>
    <col min="13475" max="13475" width="11.625" style="72" customWidth="1"/>
    <col min="13476" max="13477" width="12" style="72" customWidth="1"/>
    <col min="13478" max="13480" width="11.625" style="72" customWidth="1"/>
    <col min="13481" max="13481" width="11.125" style="72" customWidth="1"/>
    <col min="13482" max="13482" width="12" style="72" customWidth="1"/>
    <col min="13483" max="13483" width="13" style="72" customWidth="1"/>
    <col min="13484" max="13484" width="13.625" style="72" customWidth="1"/>
    <col min="13485" max="13485" width="11.875" style="72" customWidth="1"/>
    <col min="13486" max="13487" width="11.625" style="72" customWidth="1"/>
    <col min="13488" max="13488" width="12" style="72" customWidth="1"/>
    <col min="13489" max="13489" width="12.75" style="72" customWidth="1"/>
    <col min="13490" max="13490" width="11.625" style="72" customWidth="1"/>
    <col min="13491" max="13491" width="12.125" style="72" customWidth="1"/>
    <col min="13492" max="13493" width="11.625" style="72" customWidth="1"/>
    <col min="13494" max="13494" width="12.5" style="72" customWidth="1"/>
    <col min="13495" max="13669" width="11.625" style="72" customWidth="1"/>
    <col min="13670" max="13670" width="17.75" style="72" customWidth="1"/>
    <col min="13671" max="13672" width="9" style="72" customWidth="1"/>
    <col min="13673" max="13673" width="16.25" style="72" customWidth="1"/>
    <col min="13674" max="13674" width="24" style="72" customWidth="1"/>
    <col min="13675" max="13675" width="9" style="72"/>
    <col min="13676" max="13676" width="11.75" style="72" customWidth="1"/>
    <col min="13677" max="13677" width="8.875" style="72" customWidth="1"/>
    <col min="13678" max="13678" width="17.375" style="72" customWidth="1"/>
    <col min="13679" max="13679" width="13.25" style="72" customWidth="1"/>
    <col min="13680" max="13680" width="25.75" style="72" customWidth="1"/>
    <col min="13681" max="13681" width="11.125" style="72" customWidth="1"/>
    <col min="13682" max="13682" width="10.75" style="72" customWidth="1"/>
    <col min="13683" max="13683" width="9" style="72" customWidth="1"/>
    <col min="13684" max="13684" width="9.75" style="72" customWidth="1"/>
    <col min="13685" max="13685" width="7.5" style="72" customWidth="1"/>
    <col min="13686" max="13686" width="13.25" style="72" customWidth="1"/>
    <col min="13687" max="13687" width="11.75" style="72" customWidth="1"/>
    <col min="13688" max="13688" width="8.875" style="72" customWidth="1"/>
    <col min="13689" max="13689" width="9.625" style="72" customWidth="1"/>
    <col min="13690" max="13691" width="11.875" style="72" customWidth="1"/>
    <col min="13692" max="13692" width="11.5" style="72" customWidth="1"/>
    <col min="13693" max="13708" width="12.25" style="72" customWidth="1"/>
    <col min="13709" max="13709" width="13" style="72" customWidth="1"/>
    <col min="13710" max="13714" width="12.375" style="72" customWidth="1"/>
    <col min="13715" max="13715" width="13" style="72" customWidth="1"/>
    <col min="13716" max="13717" width="12.375" style="72" customWidth="1"/>
    <col min="13718" max="13718" width="13" style="72" customWidth="1"/>
    <col min="13719" max="13719" width="13.125" style="72" customWidth="1"/>
    <col min="13720" max="13720" width="13" style="72" customWidth="1"/>
    <col min="13721" max="13721" width="13.125" style="72" customWidth="1"/>
    <col min="13722" max="13723" width="12.375" style="72" customWidth="1"/>
    <col min="13724" max="13724" width="13" style="72" customWidth="1"/>
    <col min="13725" max="13725" width="12.375" style="72" customWidth="1"/>
    <col min="13726" max="13726" width="12.25" style="72" customWidth="1"/>
    <col min="13727" max="13727" width="12.125" style="72" customWidth="1"/>
    <col min="13728" max="13728" width="11.625" style="72" customWidth="1"/>
    <col min="13729" max="13729" width="12" style="72" customWidth="1"/>
    <col min="13730" max="13730" width="13" style="72" customWidth="1"/>
    <col min="13731" max="13731" width="11.625" style="72" customWidth="1"/>
    <col min="13732" max="13733" width="12" style="72" customWidth="1"/>
    <col min="13734" max="13736" width="11.625" style="72" customWidth="1"/>
    <col min="13737" max="13737" width="11.125" style="72" customWidth="1"/>
    <col min="13738" max="13738" width="12" style="72" customWidth="1"/>
    <col min="13739" max="13739" width="13" style="72" customWidth="1"/>
    <col min="13740" max="13740" width="13.625" style="72" customWidth="1"/>
    <col min="13741" max="13741" width="11.875" style="72" customWidth="1"/>
    <col min="13742" max="13743" width="11.625" style="72" customWidth="1"/>
    <col min="13744" max="13744" width="12" style="72" customWidth="1"/>
    <col min="13745" max="13745" width="12.75" style="72" customWidth="1"/>
    <col min="13746" max="13746" width="11.625" style="72" customWidth="1"/>
    <col min="13747" max="13747" width="12.125" style="72" customWidth="1"/>
    <col min="13748" max="13749" width="11.625" style="72" customWidth="1"/>
    <col min="13750" max="13750" width="12.5" style="72" customWidth="1"/>
    <col min="13751" max="13925" width="11.625" style="72" customWidth="1"/>
    <col min="13926" max="13926" width="17.75" style="72" customWidth="1"/>
    <col min="13927" max="13928" width="9" style="72" customWidth="1"/>
    <col min="13929" max="13929" width="16.25" style="72" customWidth="1"/>
    <col min="13930" max="13930" width="24" style="72" customWidth="1"/>
    <col min="13931" max="13931" width="9" style="72"/>
    <col min="13932" max="13932" width="11.75" style="72" customWidth="1"/>
    <col min="13933" max="13933" width="8.875" style="72" customWidth="1"/>
    <col min="13934" max="13934" width="17.375" style="72" customWidth="1"/>
    <col min="13935" max="13935" width="13.25" style="72" customWidth="1"/>
    <col min="13936" max="13936" width="25.75" style="72" customWidth="1"/>
    <col min="13937" max="13937" width="11.125" style="72" customWidth="1"/>
    <col min="13938" max="13938" width="10.75" style="72" customWidth="1"/>
    <col min="13939" max="13939" width="9" style="72" customWidth="1"/>
    <col min="13940" max="13940" width="9.75" style="72" customWidth="1"/>
    <col min="13941" max="13941" width="7.5" style="72" customWidth="1"/>
    <col min="13942" max="13942" width="13.25" style="72" customWidth="1"/>
    <col min="13943" max="13943" width="11.75" style="72" customWidth="1"/>
    <col min="13944" max="13944" width="8.875" style="72" customWidth="1"/>
    <col min="13945" max="13945" width="9.625" style="72" customWidth="1"/>
    <col min="13946" max="13947" width="11.875" style="72" customWidth="1"/>
    <col min="13948" max="13948" width="11.5" style="72" customWidth="1"/>
    <col min="13949" max="13964" width="12.25" style="72" customWidth="1"/>
    <col min="13965" max="13965" width="13" style="72" customWidth="1"/>
    <col min="13966" max="13970" width="12.375" style="72" customWidth="1"/>
    <col min="13971" max="13971" width="13" style="72" customWidth="1"/>
    <col min="13972" max="13973" width="12.375" style="72" customWidth="1"/>
    <col min="13974" max="13974" width="13" style="72" customWidth="1"/>
    <col min="13975" max="13975" width="13.125" style="72" customWidth="1"/>
    <col min="13976" max="13976" width="13" style="72" customWidth="1"/>
    <col min="13977" max="13977" width="13.125" style="72" customWidth="1"/>
    <col min="13978" max="13979" width="12.375" style="72" customWidth="1"/>
    <col min="13980" max="13980" width="13" style="72" customWidth="1"/>
    <col min="13981" max="13981" width="12.375" style="72" customWidth="1"/>
    <col min="13982" max="13982" width="12.25" style="72" customWidth="1"/>
    <col min="13983" max="13983" width="12.125" style="72" customWidth="1"/>
    <col min="13984" max="13984" width="11.625" style="72" customWidth="1"/>
    <col min="13985" max="13985" width="12" style="72" customWidth="1"/>
    <col min="13986" max="13986" width="13" style="72" customWidth="1"/>
    <col min="13987" max="13987" width="11.625" style="72" customWidth="1"/>
    <col min="13988" max="13989" width="12" style="72" customWidth="1"/>
    <col min="13990" max="13992" width="11.625" style="72" customWidth="1"/>
    <col min="13993" max="13993" width="11.125" style="72" customWidth="1"/>
    <col min="13994" max="13994" width="12" style="72" customWidth="1"/>
    <col min="13995" max="13995" width="13" style="72" customWidth="1"/>
    <col min="13996" max="13996" width="13.625" style="72" customWidth="1"/>
    <col min="13997" max="13997" width="11.875" style="72" customWidth="1"/>
    <col min="13998" max="13999" width="11.625" style="72" customWidth="1"/>
    <col min="14000" max="14000" width="12" style="72" customWidth="1"/>
    <col min="14001" max="14001" width="12.75" style="72" customWidth="1"/>
    <col min="14002" max="14002" width="11.625" style="72" customWidth="1"/>
    <col min="14003" max="14003" width="12.125" style="72" customWidth="1"/>
    <col min="14004" max="14005" width="11.625" style="72" customWidth="1"/>
    <col min="14006" max="14006" width="12.5" style="72" customWidth="1"/>
    <col min="14007" max="14181" width="11.625" style="72" customWidth="1"/>
    <col min="14182" max="14182" width="17.75" style="72" customWidth="1"/>
    <col min="14183" max="14184" width="9" style="72" customWidth="1"/>
    <col min="14185" max="14185" width="16.25" style="72" customWidth="1"/>
    <col min="14186" max="14186" width="24" style="72" customWidth="1"/>
    <col min="14187" max="14187" width="9" style="72"/>
    <col min="14188" max="14188" width="11.75" style="72" customWidth="1"/>
    <col min="14189" max="14189" width="8.875" style="72" customWidth="1"/>
    <col min="14190" max="14190" width="17.375" style="72" customWidth="1"/>
    <col min="14191" max="14191" width="13.25" style="72" customWidth="1"/>
    <col min="14192" max="14192" width="25.75" style="72" customWidth="1"/>
    <col min="14193" max="14193" width="11.125" style="72" customWidth="1"/>
    <col min="14194" max="14194" width="10.75" style="72" customWidth="1"/>
    <col min="14195" max="14195" width="9" style="72" customWidth="1"/>
    <col min="14196" max="14196" width="9.75" style="72" customWidth="1"/>
    <col min="14197" max="14197" width="7.5" style="72" customWidth="1"/>
    <col min="14198" max="14198" width="13.25" style="72" customWidth="1"/>
    <col min="14199" max="14199" width="11.75" style="72" customWidth="1"/>
    <col min="14200" max="14200" width="8.875" style="72" customWidth="1"/>
    <col min="14201" max="14201" width="9.625" style="72" customWidth="1"/>
    <col min="14202" max="14203" width="11.875" style="72" customWidth="1"/>
    <col min="14204" max="14204" width="11.5" style="72" customWidth="1"/>
    <col min="14205" max="14220" width="12.25" style="72" customWidth="1"/>
    <col min="14221" max="14221" width="13" style="72" customWidth="1"/>
    <col min="14222" max="14226" width="12.375" style="72" customWidth="1"/>
    <col min="14227" max="14227" width="13" style="72" customWidth="1"/>
    <col min="14228" max="14229" width="12.375" style="72" customWidth="1"/>
    <col min="14230" max="14230" width="13" style="72" customWidth="1"/>
    <col min="14231" max="14231" width="13.125" style="72" customWidth="1"/>
    <col min="14232" max="14232" width="13" style="72" customWidth="1"/>
    <col min="14233" max="14233" width="13.125" style="72" customWidth="1"/>
    <col min="14234" max="14235" width="12.375" style="72" customWidth="1"/>
    <col min="14236" max="14236" width="13" style="72" customWidth="1"/>
    <col min="14237" max="14237" width="12.375" style="72" customWidth="1"/>
    <col min="14238" max="14238" width="12.25" style="72" customWidth="1"/>
    <col min="14239" max="14239" width="12.125" style="72" customWidth="1"/>
    <col min="14240" max="14240" width="11.625" style="72" customWidth="1"/>
    <col min="14241" max="14241" width="12" style="72" customWidth="1"/>
    <col min="14242" max="14242" width="13" style="72" customWidth="1"/>
    <col min="14243" max="14243" width="11.625" style="72" customWidth="1"/>
    <col min="14244" max="14245" width="12" style="72" customWidth="1"/>
    <col min="14246" max="14248" width="11.625" style="72" customWidth="1"/>
    <col min="14249" max="14249" width="11.125" style="72" customWidth="1"/>
    <col min="14250" max="14250" width="12" style="72" customWidth="1"/>
    <col min="14251" max="14251" width="13" style="72" customWidth="1"/>
    <col min="14252" max="14252" width="13.625" style="72" customWidth="1"/>
    <col min="14253" max="14253" width="11.875" style="72" customWidth="1"/>
    <col min="14254" max="14255" width="11.625" style="72" customWidth="1"/>
    <col min="14256" max="14256" width="12" style="72" customWidth="1"/>
    <col min="14257" max="14257" width="12.75" style="72" customWidth="1"/>
    <col min="14258" max="14258" width="11.625" style="72" customWidth="1"/>
    <col min="14259" max="14259" width="12.125" style="72" customWidth="1"/>
    <col min="14260" max="14261" width="11.625" style="72" customWidth="1"/>
    <col min="14262" max="14262" width="12.5" style="72" customWidth="1"/>
    <col min="14263" max="14437" width="11.625" style="72" customWidth="1"/>
    <col min="14438" max="14438" width="17.75" style="72" customWidth="1"/>
    <col min="14439" max="14440" width="9" style="72" customWidth="1"/>
    <col min="14441" max="14441" width="16.25" style="72" customWidth="1"/>
    <col min="14442" max="14442" width="24" style="72" customWidth="1"/>
    <col min="14443" max="14443" width="9" style="72"/>
    <col min="14444" max="14444" width="11.75" style="72" customWidth="1"/>
    <col min="14445" max="14445" width="8.875" style="72" customWidth="1"/>
    <col min="14446" max="14446" width="17.375" style="72" customWidth="1"/>
    <col min="14447" max="14447" width="13.25" style="72" customWidth="1"/>
    <col min="14448" max="14448" width="25.75" style="72" customWidth="1"/>
    <col min="14449" max="14449" width="11.125" style="72" customWidth="1"/>
    <col min="14450" max="14450" width="10.75" style="72" customWidth="1"/>
    <col min="14451" max="14451" width="9" style="72" customWidth="1"/>
    <col min="14452" max="14452" width="9.75" style="72" customWidth="1"/>
    <col min="14453" max="14453" width="7.5" style="72" customWidth="1"/>
    <col min="14454" max="14454" width="13.25" style="72" customWidth="1"/>
    <col min="14455" max="14455" width="11.75" style="72" customWidth="1"/>
    <col min="14456" max="14456" width="8.875" style="72" customWidth="1"/>
    <col min="14457" max="14457" width="9.625" style="72" customWidth="1"/>
    <col min="14458" max="14459" width="11.875" style="72" customWidth="1"/>
    <col min="14460" max="14460" width="11.5" style="72" customWidth="1"/>
    <col min="14461" max="14476" width="12.25" style="72" customWidth="1"/>
    <col min="14477" max="14477" width="13" style="72" customWidth="1"/>
    <col min="14478" max="14482" width="12.375" style="72" customWidth="1"/>
    <col min="14483" max="14483" width="13" style="72" customWidth="1"/>
    <col min="14484" max="14485" width="12.375" style="72" customWidth="1"/>
    <col min="14486" max="14486" width="13" style="72" customWidth="1"/>
    <col min="14487" max="14487" width="13.125" style="72" customWidth="1"/>
    <col min="14488" max="14488" width="13" style="72" customWidth="1"/>
    <col min="14489" max="14489" width="13.125" style="72" customWidth="1"/>
    <col min="14490" max="14491" width="12.375" style="72" customWidth="1"/>
    <col min="14492" max="14492" width="13" style="72" customWidth="1"/>
    <col min="14493" max="14493" width="12.375" style="72" customWidth="1"/>
    <col min="14494" max="14494" width="12.25" style="72" customWidth="1"/>
    <col min="14495" max="14495" width="12.125" style="72" customWidth="1"/>
    <col min="14496" max="14496" width="11.625" style="72" customWidth="1"/>
    <col min="14497" max="14497" width="12" style="72" customWidth="1"/>
    <col min="14498" max="14498" width="13" style="72" customWidth="1"/>
    <col min="14499" max="14499" width="11.625" style="72" customWidth="1"/>
    <col min="14500" max="14501" width="12" style="72" customWidth="1"/>
    <col min="14502" max="14504" width="11.625" style="72" customWidth="1"/>
    <col min="14505" max="14505" width="11.125" style="72" customWidth="1"/>
    <col min="14506" max="14506" width="12" style="72" customWidth="1"/>
    <col min="14507" max="14507" width="13" style="72" customWidth="1"/>
    <col min="14508" max="14508" width="13.625" style="72" customWidth="1"/>
    <col min="14509" max="14509" width="11.875" style="72" customWidth="1"/>
    <col min="14510" max="14511" width="11.625" style="72" customWidth="1"/>
    <col min="14512" max="14512" width="12" style="72" customWidth="1"/>
    <col min="14513" max="14513" width="12.75" style="72" customWidth="1"/>
    <col min="14514" max="14514" width="11.625" style="72" customWidth="1"/>
    <col min="14515" max="14515" width="12.125" style="72" customWidth="1"/>
    <col min="14516" max="14517" width="11.625" style="72" customWidth="1"/>
    <col min="14518" max="14518" width="12.5" style="72" customWidth="1"/>
    <col min="14519" max="14693" width="11.625" style="72" customWidth="1"/>
    <col min="14694" max="14694" width="17.75" style="72" customWidth="1"/>
    <col min="14695" max="14696" width="9" style="72" customWidth="1"/>
    <col min="14697" max="14697" width="16.25" style="72" customWidth="1"/>
    <col min="14698" max="14698" width="24" style="72" customWidth="1"/>
    <col min="14699" max="14699" width="9" style="72"/>
    <col min="14700" max="14700" width="11.75" style="72" customWidth="1"/>
    <col min="14701" max="14701" width="8.875" style="72" customWidth="1"/>
    <col min="14702" max="14702" width="17.375" style="72" customWidth="1"/>
    <col min="14703" max="14703" width="13.25" style="72" customWidth="1"/>
    <col min="14704" max="14704" width="25.75" style="72" customWidth="1"/>
    <col min="14705" max="14705" width="11.125" style="72" customWidth="1"/>
    <col min="14706" max="14706" width="10.75" style="72" customWidth="1"/>
    <col min="14707" max="14707" width="9" style="72" customWidth="1"/>
    <col min="14708" max="14708" width="9.75" style="72" customWidth="1"/>
    <col min="14709" max="14709" width="7.5" style="72" customWidth="1"/>
    <col min="14710" max="14710" width="13.25" style="72" customWidth="1"/>
    <col min="14711" max="14711" width="11.75" style="72" customWidth="1"/>
    <col min="14712" max="14712" width="8.875" style="72" customWidth="1"/>
    <col min="14713" max="14713" width="9.625" style="72" customWidth="1"/>
    <col min="14714" max="14715" width="11.875" style="72" customWidth="1"/>
    <col min="14716" max="14716" width="11.5" style="72" customWidth="1"/>
    <col min="14717" max="14732" width="12.25" style="72" customWidth="1"/>
    <col min="14733" max="14733" width="13" style="72" customWidth="1"/>
    <col min="14734" max="14738" width="12.375" style="72" customWidth="1"/>
    <col min="14739" max="14739" width="13" style="72" customWidth="1"/>
    <col min="14740" max="14741" width="12.375" style="72" customWidth="1"/>
    <col min="14742" max="14742" width="13" style="72" customWidth="1"/>
    <col min="14743" max="14743" width="13.125" style="72" customWidth="1"/>
    <col min="14744" max="14744" width="13" style="72" customWidth="1"/>
    <col min="14745" max="14745" width="13.125" style="72" customWidth="1"/>
    <col min="14746" max="14747" width="12.375" style="72" customWidth="1"/>
    <col min="14748" max="14748" width="13" style="72" customWidth="1"/>
    <col min="14749" max="14749" width="12.375" style="72" customWidth="1"/>
    <col min="14750" max="14750" width="12.25" style="72" customWidth="1"/>
    <col min="14751" max="14751" width="12.125" style="72" customWidth="1"/>
    <col min="14752" max="14752" width="11.625" style="72" customWidth="1"/>
    <col min="14753" max="14753" width="12" style="72" customWidth="1"/>
    <col min="14754" max="14754" width="13" style="72" customWidth="1"/>
    <col min="14755" max="14755" width="11.625" style="72" customWidth="1"/>
    <col min="14756" max="14757" width="12" style="72" customWidth="1"/>
    <col min="14758" max="14760" width="11.625" style="72" customWidth="1"/>
    <col min="14761" max="14761" width="11.125" style="72" customWidth="1"/>
    <col min="14762" max="14762" width="12" style="72" customWidth="1"/>
    <col min="14763" max="14763" width="13" style="72" customWidth="1"/>
    <col min="14764" max="14764" width="13.625" style="72" customWidth="1"/>
    <col min="14765" max="14765" width="11.875" style="72" customWidth="1"/>
    <col min="14766" max="14767" width="11.625" style="72" customWidth="1"/>
    <col min="14768" max="14768" width="12" style="72" customWidth="1"/>
    <col min="14769" max="14769" width="12.75" style="72" customWidth="1"/>
    <col min="14770" max="14770" width="11.625" style="72" customWidth="1"/>
    <col min="14771" max="14771" width="12.125" style="72" customWidth="1"/>
    <col min="14772" max="14773" width="11.625" style="72" customWidth="1"/>
    <col min="14774" max="14774" width="12.5" style="72" customWidth="1"/>
    <col min="14775" max="14949" width="11.625" style="72" customWidth="1"/>
    <col min="14950" max="14950" width="17.75" style="72" customWidth="1"/>
    <col min="14951" max="14952" width="9" style="72" customWidth="1"/>
    <col min="14953" max="14953" width="16.25" style="72" customWidth="1"/>
    <col min="14954" max="14954" width="24" style="72" customWidth="1"/>
    <col min="14955" max="14955" width="9" style="72"/>
    <col min="14956" max="14956" width="11.75" style="72" customWidth="1"/>
    <col min="14957" max="14957" width="8.875" style="72" customWidth="1"/>
    <col min="14958" max="14958" width="17.375" style="72" customWidth="1"/>
    <col min="14959" max="14959" width="13.25" style="72" customWidth="1"/>
    <col min="14960" max="14960" width="25.75" style="72" customWidth="1"/>
    <col min="14961" max="14961" width="11.125" style="72" customWidth="1"/>
    <col min="14962" max="14962" width="10.75" style="72" customWidth="1"/>
    <col min="14963" max="14963" width="9" style="72" customWidth="1"/>
    <col min="14964" max="14964" width="9.75" style="72" customWidth="1"/>
    <col min="14965" max="14965" width="7.5" style="72" customWidth="1"/>
    <col min="14966" max="14966" width="13.25" style="72" customWidth="1"/>
    <col min="14967" max="14967" width="11.75" style="72" customWidth="1"/>
    <col min="14968" max="14968" width="8.875" style="72" customWidth="1"/>
    <col min="14969" max="14969" width="9.625" style="72" customWidth="1"/>
    <col min="14970" max="14971" width="11.875" style="72" customWidth="1"/>
    <col min="14972" max="14972" width="11.5" style="72" customWidth="1"/>
    <col min="14973" max="14988" width="12.25" style="72" customWidth="1"/>
    <col min="14989" max="14989" width="13" style="72" customWidth="1"/>
    <col min="14990" max="14994" width="12.375" style="72" customWidth="1"/>
    <col min="14995" max="14995" width="13" style="72" customWidth="1"/>
    <col min="14996" max="14997" width="12.375" style="72" customWidth="1"/>
    <col min="14998" max="14998" width="13" style="72" customWidth="1"/>
    <col min="14999" max="14999" width="13.125" style="72" customWidth="1"/>
    <col min="15000" max="15000" width="13" style="72" customWidth="1"/>
    <col min="15001" max="15001" width="13.125" style="72" customWidth="1"/>
    <col min="15002" max="15003" width="12.375" style="72" customWidth="1"/>
    <col min="15004" max="15004" width="13" style="72" customWidth="1"/>
    <col min="15005" max="15005" width="12.375" style="72" customWidth="1"/>
    <col min="15006" max="15006" width="12.25" style="72" customWidth="1"/>
    <col min="15007" max="15007" width="12.125" style="72" customWidth="1"/>
    <col min="15008" max="15008" width="11.625" style="72" customWidth="1"/>
    <col min="15009" max="15009" width="12" style="72" customWidth="1"/>
    <col min="15010" max="15010" width="13" style="72" customWidth="1"/>
    <col min="15011" max="15011" width="11.625" style="72" customWidth="1"/>
    <col min="15012" max="15013" width="12" style="72" customWidth="1"/>
    <col min="15014" max="15016" width="11.625" style="72" customWidth="1"/>
    <col min="15017" max="15017" width="11.125" style="72" customWidth="1"/>
    <col min="15018" max="15018" width="12" style="72" customWidth="1"/>
    <col min="15019" max="15019" width="13" style="72" customWidth="1"/>
    <col min="15020" max="15020" width="13.625" style="72" customWidth="1"/>
    <col min="15021" max="15021" width="11.875" style="72" customWidth="1"/>
    <col min="15022" max="15023" width="11.625" style="72" customWidth="1"/>
    <col min="15024" max="15024" width="12" style="72" customWidth="1"/>
    <col min="15025" max="15025" width="12.75" style="72" customWidth="1"/>
    <col min="15026" max="15026" width="11.625" style="72" customWidth="1"/>
    <col min="15027" max="15027" width="12.125" style="72" customWidth="1"/>
    <col min="15028" max="15029" width="11.625" style="72" customWidth="1"/>
    <col min="15030" max="15030" width="12.5" style="72" customWidth="1"/>
    <col min="15031" max="15205" width="11.625" style="72" customWidth="1"/>
    <col min="15206" max="15206" width="17.75" style="72" customWidth="1"/>
    <col min="15207" max="15208" width="9" style="72" customWidth="1"/>
    <col min="15209" max="15209" width="16.25" style="72" customWidth="1"/>
    <col min="15210" max="15210" width="24" style="72" customWidth="1"/>
    <col min="15211" max="15211" width="9" style="72"/>
    <col min="15212" max="15212" width="11.75" style="72" customWidth="1"/>
    <col min="15213" max="15213" width="8.875" style="72" customWidth="1"/>
    <col min="15214" max="15214" width="17.375" style="72" customWidth="1"/>
    <col min="15215" max="15215" width="13.25" style="72" customWidth="1"/>
    <col min="15216" max="15216" width="25.75" style="72" customWidth="1"/>
    <col min="15217" max="15217" width="11.125" style="72" customWidth="1"/>
    <col min="15218" max="15218" width="10.75" style="72" customWidth="1"/>
    <col min="15219" max="15219" width="9" style="72" customWidth="1"/>
    <col min="15220" max="15220" width="9.75" style="72" customWidth="1"/>
    <col min="15221" max="15221" width="7.5" style="72" customWidth="1"/>
    <col min="15222" max="15222" width="13.25" style="72" customWidth="1"/>
    <col min="15223" max="15223" width="11.75" style="72" customWidth="1"/>
    <col min="15224" max="15224" width="8.875" style="72" customWidth="1"/>
    <col min="15225" max="15225" width="9.625" style="72" customWidth="1"/>
    <col min="15226" max="15227" width="11.875" style="72" customWidth="1"/>
    <col min="15228" max="15228" width="11.5" style="72" customWidth="1"/>
    <col min="15229" max="15244" width="12.25" style="72" customWidth="1"/>
    <col min="15245" max="15245" width="13" style="72" customWidth="1"/>
    <col min="15246" max="15250" width="12.375" style="72" customWidth="1"/>
    <col min="15251" max="15251" width="13" style="72" customWidth="1"/>
    <col min="15252" max="15253" width="12.375" style="72" customWidth="1"/>
    <col min="15254" max="15254" width="13" style="72" customWidth="1"/>
    <col min="15255" max="15255" width="13.125" style="72" customWidth="1"/>
    <col min="15256" max="15256" width="13" style="72" customWidth="1"/>
    <col min="15257" max="15257" width="13.125" style="72" customWidth="1"/>
    <col min="15258" max="15259" width="12.375" style="72" customWidth="1"/>
    <col min="15260" max="15260" width="13" style="72" customWidth="1"/>
    <col min="15261" max="15261" width="12.375" style="72" customWidth="1"/>
    <col min="15262" max="15262" width="12.25" style="72" customWidth="1"/>
    <col min="15263" max="15263" width="12.125" style="72" customWidth="1"/>
    <col min="15264" max="15264" width="11.625" style="72" customWidth="1"/>
    <col min="15265" max="15265" width="12" style="72" customWidth="1"/>
    <col min="15266" max="15266" width="13" style="72" customWidth="1"/>
    <col min="15267" max="15267" width="11.625" style="72" customWidth="1"/>
    <col min="15268" max="15269" width="12" style="72" customWidth="1"/>
    <col min="15270" max="15272" width="11.625" style="72" customWidth="1"/>
    <col min="15273" max="15273" width="11.125" style="72" customWidth="1"/>
    <col min="15274" max="15274" width="12" style="72" customWidth="1"/>
    <col min="15275" max="15275" width="13" style="72" customWidth="1"/>
    <col min="15276" max="15276" width="13.625" style="72" customWidth="1"/>
    <col min="15277" max="15277" width="11.875" style="72" customWidth="1"/>
    <col min="15278" max="15279" width="11.625" style="72" customWidth="1"/>
    <col min="15280" max="15280" width="12" style="72" customWidth="1"/>
    <col min="15281" max="15281" width="12.75" style="72" customWidth="1"/>
    <col min="15282" max="15282" width="11.625" style="72" customWidth="1"/>
    <col min="15283" max="15283" width="12.125" style="72" customWidth="1"/>
    <col min="15284" max="15285" width="11.625" style="72" customWidth="1"/>
    <col min="15286" max="15286" width="12.5" style="72" customWidth="1"/>
    <col min="15287" max="15461" width="11.625" style="72" customWidth="1"/>
    <col min="15462" max="15462" width="17.75" style="72" customWidth="1"/>
    <col min="15463" max="15464" width="9" style="72" customWidth="1"/>
    <col min="15465" max="15465" width="16.25" style="72" customWidth="1"/>
    <col min="15466" max="15466" width="24" style="72" customWidth="1"/>
    <col min="15467" max="15467" width="9" style="72"/>
    <col min="15468" max="15468" width="11.75" style="72" customWidth="1"/>
    <col min="15469" max="15469" width="8.875" style="72" customWidth="1"/>
    <col min="15470" max="15470" width="17.375" style="72" customWidth="1"/>
    <col min="15471" max="15471" width="13.25" style="72" customWidth="1"/>
    <col min="15472" max="15472" width="25.75" style="72" customWidth="1"/>
    <col min="15473" max="15473" width="11.125" style="72" customWidth="1"/>
    <col min="15474" max="15474" width="10.75" style="72" customWidth="1"/>
    <col min="15475" max="15475" width="9" style="72" customWidth="1"/>
    <col min="15476" max="15476" width="9.75" style="72" customWidth="1"/>
    <col min="15477" max="15477" width="7.5" style="72" customWidth="1"/>
    <col min="15478" max="15478" width="13.25" style="72" customWidth="1"/>
    <col min="15479" max="15479" width="11.75" style="72" customWidth="1"/>
    <col min="15480" max="15480" width="8.875" style="72" customWidth="1"/>
    <col min="15481" max="15481" width="9.625" style="72" customWidth="1"/>
    <col min="15482" max="15483" width="11.875" style="72" customWidth="1"/>
    <col min="15484" max="15484" width="11.5" style="72" customWidth="1"/>
    <col min="15485" max="15500" width="12.25" style="72" customWidth="1"/>
    <col min="15501" max="15501" width="13" style="72" customWidth="1"/>
    <col min="15502" max="15506" width="12.375" style="72" customWidth="1"/>
    <col min="15507" max="15507" width="13" style="72" customWidth="1"/>
    <col min="15508" max="15509" width="12.375" style="72" customWidth="1"/>
    <col min="15510" max="15510" width="13" style="72" customWidth="1"/>
    <col min="15511" max="15511" width="13.125" style="72" customWidth="1"/>
    <col min="15512" max="15512" width="13" style="72" customWidth="1"/>
    <col min="15513" max="15513" width="13.125" style="72" customWidth="1"/>
    <col min="15514" max="15515" width="12.375" style="72" customWidth="1"/>
    <col min="15516" max="15516" width="13" style="72" customWidth="1"/>
    <col min="15517" max="15517" width="12.375" style="72" customWidth="1"/>
    <col min="15518" max="15518" width="12.25" style="72" customWidth="1"/>
    <col min="15519" max="15519" width="12.125" style="72" customWidth="1"/>
    <col min="15520" max="15520" width="11.625" style="72" customWidth="1"/>
    <col min="15521" max="15521" width="12" style="72" customWidth="1"/>
    <col min="15522" max="15522" width="13" style="72" customWidth="1"/>
    <col min="15523" max="15523" width="11.625" style="72" customWidth="1"/>
    <col min="15524" max="15525" width="12" style="72" customWidth="1"/>
    <col min="15526" max="15528" width="11.625" style="72" customWidth="1"/>
    <col min="15529" max="15529" width="11.125" style="72" customWidth="1"/>
    <col min="15530" max="15530" width="12" style="72" customWidth="1"/>
    <col min="15531" max="15531" width="13" style="72" customWidth="1"/>
    <col min="15532" max="15532" width="13.625" style="72" customWidth="1"/>
    <col min="15533" max="15533" width="11.875" style="72" customWidth="1"/>
    <col min="15534" max="15535" width="11.625" style="72" customWidth="1"/>
    <col min="15536" max="15536" width="12" style="72" customWidth="1"/>
    <col min="15537" max="15537" width="12.75" style="72" customWidth="1"/>
    <col min="15538" max="15538" width="11.625" style="72" customWidth="1"/>
    <col min="15539" max="15539" width="12.125" style="72" customWidth="1"/>
    <col min="15540" max="15541" width="11.625" style="72" customWidth="1"/>
    <col min="15542" max="15542" width="12.5" style="72" customWidth="1"/>
    <col min="15543" max="15717" width="11.625" style="72" customWidth="1"/>
    <col min="15718" max="15718" width="17.75" style="72" customWidth="1"/>
    <col min="15719" max="15720" width="9" style="72" customWidth="1"/>
    <col min="15721" max="15721" width="16.25" style="72" customWidth="1"/>
    <col min="15722" max="15722" width="24" style="72" customWidth="1"/>
    <col min="15723" max="15723" width="9" style="72"/>
    <col min="15724" max="15724" width="11.75" style="72" customWidth="1"/>
    <col min="15725" max="15725" width="8.875" style="72" customWidth="1"/>
    <col min="15726" max="15726" width="17.375" style="72" customWidth="1"/>
    <col min="15727" max="15727" width="13.25" style="72" customWidth="1"/>
    <col min="15728" max="15728" width="25.75" style="72" customWidth="1"/>
    <col min="15729" max="15729" width="11.125" style="72" customWidth="1"/>
    <col min="15730" max="15730" width="10.75" style="72" customWidth="1"/>
    <col min="15731" max="15731" width="9" style="72" customWidth="1"/>
    <col min="15732" max="15732" width="9.75" style="72" customWidth="1"/>
    <col min="15733" max="15733" width="7.5" style="72" customWidth="1"/>
    <col min="15734" max="15734" width="13.25" style="72" customWidth="1"/>
    <col min="15735" max="15735" width="11.75" style="72" customWidth="1"/>
    <col min="15736" max="15736" width="8.875" style="72" customWidth="1"/>
    <col min="15737" max="15737" width="9.625" style="72" customWidth="1"/>
    <col min="15738" max="15739" width="11.875" style="72" customWidth="1"/>
    <col min="15740" max="15740" width="11.5" style="72" customWidth="1"/>
    <col min="15741" max="15756" width="12.25" style="72" customWidth="1"/>
    <col min="15757" max="15757" width="13" style="72" customWidth="1"/>
    <col min="15758" max="15762" width="12.375" style="72" customWidth="1"/>
    <col min="15763" max="15763" width="13" style="72" customWidth="1"/>
    <col min="15764" max="15765" width="12.375" style="72" customWidth="1"/>
    <col min="15766" max="15766" width="13" style="72" customWidth="1"/>
    <col min="15767" max="15767" width="13.125" style="72" customWidth="1"/>
    <col min="15768" max="15768" width="13" style="72" customWidth="1"/>
    <col min="15769" max="15769" width="13.125" style="72" customWidth="1"/>
    <col min="15770" max="15771" width="12.375" style="72" customWidth="1"/>
    <col min="15772" max="15772" width="13" style="72" customWidth="1"/>
    <col min="15773" max="15773" width="12.375" style="72" customWidth="1"/>
    <col min="15774" max="15774" width="12.25" style="72" customWidth="1"/>
    <col min="15775" max="15775" width="12.125" style="72" customWidth="1"/>
    <col min="15776" max="15776" width="11.625" style="72" customWidth="1"/>
    <col min="15777" max="15777" width="12" style="72" customWidth="1"/>
    <col min="15778" max="15778" width="13" style="72" customWidth="1"/>
    <col min="15779" max="15779" width="11.625" style="72" customWidth="1"/>
    <col min="15780" max="15781" width="12" style="72" customWidth="1"/>
    <col min="15782" max="15784" width="11.625" style="72" customWidth="1"/>
    <col min="15785" max="15785" width="11.125" style="72" customWidth="1"/>
    <col min="15786" max="15786" width="12" style="72" customWidth="1"/>
    <col min="15787" max="15787" width="13" style="72" customWidth="1"/>
    <col min="15788" max="15788" width="13.625" style="72" customWidth="1"/>
    <col min="15789" max="15789" width="11.875" style="72" customWidth="1"/>
    <col min="15790" max="15791" width="11.625" style="72" customWidth="1"/>
    <col min="15792" max="15792" width="12" style="72" customWidth="1"/>
    <col min="15793" max="15793" width="12.75" style="72" customWidth="1"/>
    <col min="15794" max="15794" width="11.625" style="72" customWidth="1"/>
    <col min="15795" max="15795" width="12.125" style="72" customWidth="1"/>
    <col min="15796" max="15797" width="11.625" style="72" customWidth="1"/>
    <col min="15798" max="15798" width="12.5" style="72" customWidth="1"/>
    <col min="15799" max="15973" width="11.625" style="72" customWidth="1"/>
    <col min="15974" max="15974" width="17.75" style="72" customWidth="1"/>
    <col min="15975" max="15976" width="9" style="72" customWidth="1"/>
    <col min="15977" max="15977" width="16.25" style="72" customWidth="1"/>
    <col min="15978" max="15978" width="24" style="72" customWidth="1"/>
    <col min="15979" max="15979" width="9" style="72"/>
    <col min="15980" max="15980" width="11.75" style="72" customWidth="1"/>
    <col min="15981" max="15981" width="8.875" style="72" customWidth="1"/>
    <col min="15982" max="15982" width="17.375" style="72" customWidth="1"/>
    <col min="15983" max="15983" width="13.25" style="72" customWidth="1"/>
    <col min="15984" max="15984" width="25.75" style="72" customWidth="1"/>
    <col min="15985" max="15985" width="11.125" style="72" customWidth="1"/>
    <col min="15986" max="15986" width="10.75" style="72" customWidth="1"/>
    <col min="15987" max="15987" width="9" style="72" customWidth="1"/>
    <col min="15988" max="15988" width="9.75" style="72" customWidth="1"/>
    <col min="15989" max="15989" width="7.5" style="72" customWidth="1"/>
    <col min="15990" max="15990" width="13.25" style="72" customWidth="1"/>
    <col min="15991" max="15991" width="11.75" style="72" customWidth="1"/>
    <col min="15992" max="15992" width="8.875" style="72" customWidth="1"/>
    <col min="15993" max="15993" width="9.625" style="72" customWidth="1"/>
    <col min="15994" max="15995" width="11.875" style="72" customWidth="1"/>
    <col min="15996" max="15996" width="11.5" style="72" customWidth="1"/>
    <col min="15997" max="16012" width="12.25" style="72" customWidth="1"/>
    <col min="16013" max="16013" width="13" style="72" customWidth="1"/>
    <col min="16014" max="16018" width="12.375" style="72" customWidth="1"/>
    <col min="16019" max="16019" width="13" style="72" customWidth="1"/>
    <col min="16020" max="16021" width="12.375" style="72" customWidth="1"/>
    <col min="16022" max="16022" width="13" style="72" customWidth="1"/>
    <col min="16023" max="16023" width="13.125" style="72" customWidth="1"/>
    <col min="16024" max="16024" width="13" style="72" customWidth="1"/>
    <col min="16025" max="16025" width="13.125" style="72" customWidth="1"/>
    <col min="16026" max="16027" width="12.375" style="72" customWidth="1"/>
    <col min="16028" max="16028" width="13" style="72" customWidth="1"/>
    <col min="16029" max="16029" width="12.375" style="72" customWidth="1"/>
    <col min="16030" max="16030" width="12.25" style="72" customWidth="1"/>
    <col min="16031" max="16031" width="12.125" style="72" customWidth="1"/>
    <col min="16032" max="16032" width="11.625" style="72" customWidth="1"/>
    <col min="16033" max="16033" width="12" style="72" customWidth="1"/>
    <col min="16034" max="16034" width="13" style="72" customWidth="1"/>
    <col min="16035" max="16035" width="11.625" style="72" customWidth="1"/>
    <col min="16036" max="16037" width="12" style="72" customWidth="1"/>
    <col min="16038" max="16040" width="11.625" style="72" customWidth="1"/>
    <col min="16041" max="16041" width="11.125" style="72" customWidth="1"/>
    <col min="16042" max="16042" width="12" style="72" customWidth="1"/>
    <col min="16043" max="16043" width="13" style="72" customWidth="1"/>
    <col min="16044" max="16044" width="13.625" style="72" customWidth="1"/>
    <col min="16045" max="16045" width="11.875" style="72" customWidth="1"/>
    <col min="16046" max="16047" width="11.625" style="72" customWidth="1"/>
    <col min="16048" max="16048" width="12" style="72" customWidth="1"/>
    <col min="16049" max="16049" width="12.75" style="72" customWidth="1"/>
    <col min="16050" max="16050" width="11.625" style="72" customWidth="1"/>
    <col min="16051" max="16051" width="12.125" style="72" customWidth="1"/>
    <col min="16052" max="16053" width="11.625" style="72" customWidth="1"/>
    <col min="16054" max="16054" width="12.5" style="72" customWidth="1"/>
    <col min="16055" max="16228" width="11.625" style="72" customWidth="1"/>
    <col min="16229" max="16384" width="17.75" style="72" customWidth="1"/>
  </cols>
  <sheetData>
    <row r="1" spans="1:150" s="366" customFormat="1" ht="12.75" customHeight="1">
      <c r="A1" s="488" t="s">
        <v>798</v>
      </c>
      <c r="B1" s="489" t="s">
        <v>997</v>
      </c>
      <c r="C1" s="490" t="s">
        <v>1181</v>
      </c>
      <c r="D1" s="492" t="s">
        <v>801</v>
      </c>
      <c r="E1" s="493" t="s">
        <v>802</v>
      </c>
      <c r="F1" s="364" t="s">
        <v>803</v>
      </c>
      <c r="G1" s="365" t="s">
        <v>804</v>
      </c>
      <c r="H1" s="494" t="s">
        <v>805</v>
      </c>
      <c r="I1" s="492" t="s">
        <v>998</v>
      </c>
      <c r="J1" s="410" t="s">
        <v>999</v>
      </c>
      <c r="K1" s="410" t="s">
        <v>1000</v>
      </c>
      <c r="L1" s="410" t="s">
        <v>1001</v>
      </c>
      <c r="M1" s="410" t="s">
        <v>810</v>
      </c>
      <c r="N1" s="410" t="s">
        <v>1002</v>
      </c>
      <c r="O1" s="410" t="s">
        <v>1003</v>
      </c>
      <c r="P1" s="410" t="s">
        <v>1004</v>
      </c>
      <c r="Q1" s="410" t="s">
        <v>1005</v>
      </c>
      <c r="R1" s="410" t="s">
        <v>1006</v>
      </c>
      <c r="S1" s="410" t="s">
        <v>1007</v>
      </c>
      <c r="T1" s="410" t="s">
        <v>817</v>
      </c>
      <c r="U1" s="410" t="s">
        <v>818</v>
      </c>
      <c r="V1" s="410" t="s">
        <v>1008</v>
      </c>
      <c r="W1" s="410" t="s">
        <v>1009</v>
      </c>
      <c r="X1" s="410" t="s">
        <v>821</v>
      </c>
      <c r="Y1" s="410" t="s">
        <v>1010</v>
      </c>
      <c r="Z1" s="410" t="s">
        <v>823</v>
      </c>
      <c r="AA1" s="410" t="s">
        <v>824</v>
      </c>
      <c r="AB1" s="410" t="s">
        <v>1011</v>
      </c>
      <c r="AC1" s="410" t="s">
        <v>1012</v>
      </c>
      <c r="AD1" s="410" t="s">
        <v>1013</v>
      </c>
      <c r="AE1" s="410" t="s">
        <v>1014</v>
      </c>
      <c r="AF1" s="410" t="s">
        <v>1015</v>
      </c>
      <c r="AG1" s="410" t="s">
        <v>1016</v>
      </c>
      <c r="AH1" s="410" t="s">
        <v>831</v>
      </c>
      <c r="AI1" s="410" t="s">
        <v>1017</v>
      </c>
      <c r="AJ1" s="410" t="s">
        <v>833</v>
      </c>
      <c r="AK1" s="410" t="s">
        <v>1018</v>
      </c>
      <c r="AL1" s="410" t="s">
        <v>835</v>
      </c>
      <c r="AM1" s="410" t="s">
        <v>1019</v>
      </c>
      <c r="AN1" s="410" t="s">
        <v>1020</v>
      </c>
      <c r="AO1" s="410" t="s">
        <v>1021</v>
      </c>
      <c r="AP1" s="410" t="s">
        <v>1022</v>
      </c>
      <c r="AQ1" s="410" t="s">
        <v>840</v>
      </c>
      <c r="AR1" s="410" t="s">
        <v>1023</v>
      </c>
      <c r="AS1" s="410" t="s">
        <v>1024</v>
      </c>
      <c r="AT1" s="410" t="s">
        <v>843</v>
      </c>
      <c r="AU1" s="410" t="s">
        <v>1025</v>
      </c>
      <c r="AV1" s="410" t="s">
        <v>1026</v>
      </c>
      <c r="AW1" s="410" t="s">
        <v>1027</v>
      </c>
      <c r="AX1" s="410" t="s">
        <v>847</v>
      </c>
      <c r="AY1" s="410" t="s">
        <v>1028</v>
      </c>
      <c r="AZ1" s="410" t="s">
        <v>849</v>
      </c>
      <c r="BA1" s="410" t="s">
        <v>1029</v>
      </c>
      <c r="BB1" s="410" t="s">
        <v>1030</v>
      </c>
      <c r="BC1" s="410" t="s">
        <v>852</v>
      </c>
      <c r="BD1" s="410" t="s">
        <v>1031</v>
      </c>
      <c r="BE1" s="410" t="s">
        <v>854</v>
      </c>
      <c r="BF1" s="410" t="s">
        <v>1032</v>
      </c>
      <c r="BG1" s="410" t="s">
        <v>856</v>
      </c>
      <c r="BH1" s="410" t="s">
        <v>1033</v>
      </c>
      <c r="BI1" s="410" t="s">
        <v>1034</v>
      </c>
      <c r="BJ1" s="410" t="s">
        <v>1035</v>
      </c>
      <c r="BK1" s="410" t="s">
        <v>1036</v>
      </c>
      <c r="BL1" s="410" t="s">
        <v>861</v>
      </c>
      <c r="BM1" s="410" t="s">
        <v>862</v>
      </c>
      <c r="BN1" s="410" t="s">
        <v>1037</v>
      </c>
      <c r="BO1" s="410" t="s">
        <v>864</v>
      </c>
      <c r="BP1" s="410" t="s">
        <v>1038</v>
      </c>
      <c r="BQ1" s="410" t="s">
        <v>1039</v>
      </c>
      <c r="BR1" s="410" t="s">
        <v>1040</v>
      </c>
      <c r="BS1" s="410" t="s">
        <v>1041</v>
      </c>
      <c r="BT1" s="410" t="s">
        <v>1042</v>
      </c>
      <c r="BU1" s="410" t="s">
        <v>1043</v>
      </c>
      <c r="BV1" s="410" t="s">
        <v>1044</v>
      </c>
      <c r="BW1" s="410" t="s">
        <v>872</v>
      </c>
      <c r="BX1" s="410" t="s">
        <v>873</v>
      </c>
      <c r="BY1" s="410" t="s">
        <v>1045</v>
      </c>
      <c r="BZ1" s="410" t="s">
        <v>875</v>
      </c>
      <c r="CA1" s="410" t="s">
        <v>1046</v>
      </c>
      <c r="CB1" s="410" t="s">
        <v>1047</v>
      </c>
      <c r="CC1" s="410" t="s">
        <v>1048</v>
      </c>
      <c r="CD1" s="410" t="s">
        <v>879</v>
      </c>
      <c r="CE1" s="410" t="s">
        <v>1049</v>
      </c>
      <c r="CF1" s="410" t="s">
        <v>1050</v>
      </c>
      <c r="CG1" s="410" t="s">
        <v>1051</v>
      </c>
      <c r="CH1" s="410" t="s">
        <v>883</v>
      </c>
      <c r="CI1" s="410" t="s">
        <v>1052</v>
      </c>
      <c r="CJ1" s="410" t="s">
        <v>1053</v>
      </c>
      <c r="CK1" s="410" t="s">
        <v>886</v>
      </c>
      <c r="CL1" s="410" t="s">
        <v>1054</v>
      </c>
      <c r="CM1" s="410" t="s">
        <v>888</v>
      </c>
      <c r="CN1" s="410" t="s">
        <v>1055</v>
      </c>
      <c r="CO1" s="410" t="s">
        <v>890</v>
      </c>
      <c r="CP1" s="410" t="s">
        <v>1298</v>
      </c>
      <c r="CQ1" s="410" t="s">
        <v>1299</v>
      </c>
      <c r="CR1" s="410" t="s">
        <v>1300</v>
      </c>
      <c r="CS1" s="410" t="s">
        <v>1301</v>
      </c>
      <c r="CT1" s="410" t="s">
        <v>1302</v>
      </c>
      <c r="CU1" s="410" t="s">
        <v>1303</v>
      </c>
      <c r="CV1" s="410" t="s">
        <v>1304</v>
      </c>
      <c r="CW1" s="410" t="s">
        <v>1305</v>
      </c>
      <c r="CX1" s="410" t="s">
        <v>1307</v>
      </c>
      <c r="CY1" s="410" t="s">
        <v>1308</v>
      </c>
      <c r="CZ1" s="410" t="s">
        <v>1309</v>
      </c>
      <c r="DA1" s="410" t="s">
        <v>1306</v>
      </c>
      <c r="DB1" s="410" t="s">
        <v>1310</v>
      </c>
      <c r="DC1" s="410" t="s">
        <v>1311</v>
      </c>
      <c r="DD1" s="410" t="s">
        <v>1312</v>
      </c>
      <c r="DE1" s="476" t="s">
        <v>1313</v>
      </c>
      <c r="DF1" s="410" t="s">
        <v>1315</v>
      </c>
      <c r="DG1" s="476" t="s">
        <v>1314</v>
      </c>
      <c r="DH1" s="410" t="s">
        <v>1316</v>
      </c>
      <c r="DI1" s="476" t="s">
        <v>1317</v>
      </c>
      <c r="DJ1" s="476" t="s">
        <v>1318</v>
      </c>
      <c r="DK1" s="476" t="s">
        <v>1319</v>
      </c>
      <c r="DL1" s="476" t="s">
        <v>1320</v>
      </c>
      <c r="DM1" s="410" t="s">
        <v>1321</v>
      </c>
      <c r="DN1" s="410" t="s">
        <v>1322</v>
      </c>
      <c r="DO1" s="410" t="s">
        <v>1323</v>
      </c>
      <c r="DP1" s="410" t="s">
        <v>1324</v>
      </c>
      <c r="DQ1" s="476" t="s">
        <v>1325</v>
      </c>
      <c r="DR1" s="476" t="s">
        <v>1326</v>
      </c>
      <c r="DS1" s="476" t="s">
        <v>1327</v>
      </c>
      <c r="DT1" s="476" t="s">
        <v>1328</v>
      </c>
      <c r="DU1" s="476" t="s">
        <v>1329</v>
      </c>
      <c r="DV1" s="476" t="s">
        <v>1330</v>
      </c>
      <c r="DW1" s="476" t="s">
        <v>1331</v>
      </c>
      <c r="DX1" s="476" t="s">
        <v>1332</v>
      </c>
      <c r="DY1" s="476" t="s">
        <v>1333</v>
      </c>
      <c r="DZ1" s="476" t="s">
        <v>1334</v>
      </c>
      <c r="EA1" s="476" t="s">
        <v>1335</v>
      </c>
      <c r="EB1" s="476" t="s">
        <v>1336</v>
      </c>
      <c r="EC1" s="476" t="s">
        <v>1337</v>
      </c>
      <c r="ED1" s="476" t="s">
        <v>1338</v>
      </c>
      <c r="EE1" s="476" t="s">
        <v>1339</v>
      </c>
      <c r="EF1" s="476" t="s">
        <v>1340</v>
      </c>
      <c r="EG1" s="476" t="s">
        <v>1341</v>
      </c>
      <c r="EH1" s="476" t="s">
        <v>1342</v>
      </c>
      <c r="EI1" s="476" t="s">
        <v>1343</v>
      </c>
      <c r="EJ1" s="476" t="s">
        <v>1344</v>
      </c>
      <c r="EK1" s="476" t="s">
        <v>1345</v>
      </c>
      <c r="EL1" s="476" t="s">
        <v>1346</v>
      </c>
      <c r="EM1" s="476" t="s">
        <v>1347</v>
      </c>
      <c r="EN1" s="476" t="s">
        <v>1348</v>
      </c>
      <c r="EO1" s="476" t="s">
        <v>1349</v>
      </c>
      <c r="EP1" s="476" t="s">
        <v>1350</v>
      </c>
      <c r="EQ1" s="476" t="s">
        <v>1351</v>
      </c>
      <c r="ER1" s="476" t="s">
        <v>1352</v>
      </c>
      <c r="ES1" s="476" t="s">
        <v>1410</v>
      </c>
      <c r="ET1" s="410" t="s">
        <v>1056</v>
      </c>
    </row>
    <row r="2" spans="1:150" s="86" customFormat="1">
      <c r="A2" s="488"/>
      <c r="B2" s="489"/>
      <c r="C2" s="491"/>
      <c r="D2" s="492"/>
      <c r="E2" s="493"/>
      <c r="F2" s="343" t="s">
        <v>892</v>
      </c>
      <c r="G2" s="190" t="s">
        <v>893</v>
      </c>
      <c r="H2" s="494"/>
      <c r="I2" s="492"/>
      <c r="J2" s="410"/>
      <c r="K2" s="410"/>
      <c r="L2" s="410"/>
      <c r="M2" s="410"/>
      <c r="N2" s="410"/>
      <c r="O2" s="410"/>
      <c r="P2" s="410"/>
      <c r="Q2" s="410"/>
      <c r="R2" s="410"/>
      <c r="S2" s="410"/>
      <c r="T2" s="410"/>
      <c r="U2" s="410"/>
      <c r="V2" s="410"/>
      <c r="W2" s="410"/>
      <c r="X2" s="410"/>
      <c r="Y2" s="410"/>
      <c r="Z2" s="410"/>
      <c r="AA2" s="410"/>
      <c r="AB2" s="410"/>
      <c r="AC2" s="410"/>
      <c r="AD2" s="410"/>
      <c r="AE2" s="410"/>
      <c r="AF2" s="410"/>
      <c r="AG2" s="410"/>
      <c r="AH2" s="410"/>
      <c r="AI2" s="410"/>
      <c r="AJ2" s="410"/>
      <c r="AK2" s="410"/>
      <c r="AL2" s="410"/>
      <c r="AM2" s="410"/>
      <c r="AN2" s="410"/>
      <c r="AO2" s="410"/>
      <c r="AP2" s="410"/>
      <c r="AQ2" s="410"/>
      <c r="AR2" s="410"/>
      <c r="AS2" s="410"/>
      <c r="AT2" s="410"/>
      <c r="AU2" s="410"/>
      <c r="AV2" s="410"/>
      <c r="AW2" s="410"/>
      <c r="AX2" s="410"/>
      <c r="AY2" s="410"/>
      <c r="AZ2" s="410"/>
      <c r="BA2" s="410"/>
      <c r="BB2" s="410"/>
      <c r="BC2" s="410"/>
      <c r="BD2" s="410"/>
      <c r="BE2" s="410"/>
      <c r="BF2" s="410"/>
      <c r="BG2" s="410"/>
      <c r="BH2" s="410"/>
      <c r="BI2" s="410"/>
      <c r="BJ2" s="410"/>
      <c r="BK2" s="410"/>
      <c r="BL2" s="410"/>
      <c r="BM2" s="410"/>
      <c r="BN2" s="410"/>
      <c r="BO2" s="410"/>
      <c r="BP2" s="410"/>
      <c r="BQ2" s="410"/>
      <c r="BR2" s="410"/>
      <c r="BS2" s="410"/>
      <c r="BT2" s="410"/>
      <c r="BU2" s="410"/>
      <c r="BV2" s="410"/>
      <c r="BW2" s="410"/>
      <c r="BX2" s="410"/>
      <c r="BY2" s="410"/>
      <c r="BZ2" s="410"/>
      <c r="CA2" s="410"/>
      <c r="CB2" s="410"/>
      <c r="CC2" s="410"/>
      <c r="CD2" s="410"/>
      <c r="CE2" s="410"/>
      <c r="CF2" s="410"/>
      <c r="CG2" s="410"/>
      <c r="CH2" s="410"/>
      <c r="CI2" s="410"/>
      <c r="CJ2" s="410"/>
      <c r="CK2" s="410"/>
      <c r="CL2" s="410"/>
      <c r="CM2" s="410"/>
      <c r="CN2" s="410"/>
      <c r="CO2" s="410"/>
      <c r="CP2" s="410"/>
      <c r="CQ2" s="410"/>
      <c r="CR2" s="410"/>
      <c r="CS2" s="410"/>
      <c r="CT2" s="410"/>
      <c r="CU2" s="410"/>
      <c r="CV2" s="410"/>
      <c r="CW2" s="410"/>
      <c r="CX2" s="410"/>
      <c r="CY2" s="410"/>
      <c r="CZ2" s="410"/>
      <c r="DA2" s="410"/>
      <c r="DB2" s="410"/>
      <c r="DC2" s="410"/>
      <c r="DD2" s="410"/>
      <c r="DE2" s="477"/>
      <c r="DF2" s="410"/>
      <c r="DG2" s="477"/>
      <c r="DH2" s="410"/>
      <c r="DI2" s="477"/>
      <c r="DJ2" s="477"/>
      <c r="DK2" s="477"/>
      <c r="DL2" s="477"/>
      <c r="DM2" s="410"/>
      <c r="DN2" s="410"/>
      <c r="DO2" s="410"/>
      <c r="DP2" s="410"/>
      <c r="DQ2" s="477"/>
      <c r="DR2" s="477"/>
      <c r="DS2" s="477"/>
      <c r="DT2" s="477"/>
      <c r="DU2" s="477"/>
      <c r="DV2" s="477"/>
      <c r="DW2" s="477"/>
      <c r="DX2" s="477"/>
      <c r="DY2" s="477"/>
      <c r="DZ2" s="477"/>
      <c r="EA2" s="477"/>
      <c r="EB2" s="477"/>
      <c r="EC2" s="477"/>
      <c r="ED2" s="477"/>
      <c r="EE2" s="477"/>
      <c r="EF2" s="477"/>
      <c r="EG2" s="477"/>
      <c r="EH2" s="477"/>
      <c r="EI2" s="477"/>
      <c r="EJ2" s="477"/>
      <c r="EK2" s="477"/>
      <c r="EL2" s="477"/>
      <c r="EM2" s="477"/>
      <c r="EN2" s="477"/>
      <c r="EO2" s="477"/>
      <c r="EP2" s="477"/>
      <c r="EQ2" s="477"/>
      <c r="ER2" s="477"/>
      <c r="ES2" s="477"/>
      <c r="ET2" s="410"/>
    </row>
    <row r="3" spans="1:150" ht="10.5" customHeight="1">
      <c r="A3" s="402">
        <v>1</v>
      </c>
      <c r="B3" s="414" t="s">
        <v>1057</v>
      </c>
      <c r="C3" s="427" t="s">
        <v>1058</v>
      </c>
      <c r="D3" s="428" t="s">
        <v>21</v>
      </c>
      <c r="E3" s="429" t="s">
        <v>422</v>
      </c>
      <c r="F3" s="430">
        <v>1251.8699999999999</v>
      </c>
      <c r="G3" s="430">
        <f>AVERAGE(25,35,45)/30</f>
        <v>1.1666666666666667</v>
      </c>
      <c r="H3" s="481">
        <f>G3*F3*365</f>
        <v>533087.97499999998</v>
      </c>
      <c r="I3" s="129">
        <v>300000</v>
      </c>
      <c r="J3" s="131">
        <f>ROUND(35*F3*3,0)</f>
        <v>131446</v>
      </c>
      <c r="K3" s="133">
        <f>J3</f>
        <v>131446</v>
      </c>
      <c r="L3" s="133">
        <f>K3</f>
        <v>131446</v>
      </c>
      <c r="M3" s="133">
        <f>L3</f>
        <v>131446</v>
      </c>
      <c r="N3" s="133">
        <f>M3</f>
        <v>131446</v>
      </c>
      <c r="O3" s="133">
        <f>N3</f>
        <v>131446</v>
      </c>
      <c r="P3" s="133">
        <f>ROUND(45*F3*3,0)</f>
        <v>169002</v>
      </c>
      <c r="Q3" s="133">
        <f t="shared" ref="Q3:W3" si="0">P3</f>
        <v>169002</v>
      </c>
      <c r="R3" s="133">
        <f t="shared" si="0"/>
        <v>169002</v>
      </c>
      <c r="S3" s="133">
        <f t="shared" si="0"/>
        <v>169002</v>
      </c>
      <c r="T3" s="133">
        <f t="shared" si="0"/>
        <v>169002</v>
      </c>
      <c r="U3" s="133">
        <f t="shared" si="0"/>
        <v>169002</v>
      </c>
      <c r="V3" s="133">
        <f t="shared" si="0"/>
        <v>169002</v>
      </c>
      <c r="W3" s="132">
        <f t="shared" si="0"/>
        <v>169002</v>
      </c>
      <c r="X3" s="133">
        <f>W3</f>
        <v>169002</v>
      </c>
      <c r="Y3" s="133">
        <f>X3</f>
        <v>169002</v>
      </c>
      <c r="Z3" s="133">
        <f>ROUND(Y3*(1+取值表!$D$6)*取值表!$H$6,0)</f>
        <v>167621</v>
      </c>
      <c r="AA3" s="133">
        <f>Z3</f>
        <v>167621</v>
      </c>
      <c r="AB3" s="133">
        <f>AA3</f>
        <v>167621</v>
      </c>
      <c r="AC3" s="133">
        <f>AB3</f>
        <v>167621</v>
      </c>
      <c r="AD3" s="133">
        <f>ROUND(AC3*(1+取值表!$D$6)*取值表!$H$6,0)</f>
        <v>166251</v>
      </c>
      <c r="AE3" s="133">
        <f t="shared" ref="AE3:AG3" si="1">AD3</f>
        <v>166251</v>
      </c>
      <c r="AF3" s="133">
        <f t="shared" si="1"/>
        <v>166251</v>
      </c>
      <c r="AG3" s="133">
        <f t="shared" si="1"/>
        <v>166251</v>
      </c>
      <c r="AH3" s="133">
        <f>ROUND(AG3*(1+取值表!$D$6)*取值表!$H$6,0)</f>
        <v>164893</v>
      </c>
      <c r="AI3" s="133">
        <f t="shared" ref="AI3:AK3" si="2">AH3</f>
        <v>164893</v>
      </c>
      <c r="AJ3" s="133">
        <f t="shared" si="2"/>
        <v>164893</v>
      </c>
      <c r="AK3" s="133">
        <f t="shared" si="2"/>
        <v>164893</v>
      </c>
      <c r="AL3" s="133">
        <f>ROUND(AK3*(1+取值表!$D$6)*取值表!$H$6,0)</f>
        <v>163546</v>
      </c>
      <c r="AM3" s="133">
        <f t="shared" ref="AM3:AO3" si="3">AL3</f>
        <v>163546</v>
      </c>
      <c r="AN3" s="133">
        <f t="shared" si="3"/>
        <v>163546</v>
      </c>
      <c r="AO3" s="133">
        <f t="shared" si="3"/>
        <v>163546</v>
      </c>
      <c r="AP3" s="133">
        <f>ROUND(AO3*(1+取值表!$D$6)*取值表!$H$6,0)</f>
        <v>162210</v>
      </c>
      <c r="AQ3" s="133">
        <f t="shared" ref="AQ3:AS3" si="4">AP3</f>
        <v>162210</v>
      </c>
      <c r="AR3" s="133">
        <f t="shared" si="4"/>
        <v>162210</v>
      </c>
      <c r="AS3" s="133">
        <f t="shared" si="4"/>
        <v>162210</v>
      </c>
      <c r="AT3" s="133">
        <f>ROUND(AS3*(1+取值表!$D$6)*取值表!$H$6,0)</f>
        <v>160885</v>
      </c>
      <c r="AU3" s="133">
        <f t="shared" ref="AU3:AW3" si="5">AT3</f>
        <v>160885</v>
      </c>
      <c r="AV3" s="133">
        <f t="shared" si="5"/>
        <v>160885</v>
      </c>
      <c r="AW3" s="133">
        <f t="shared" si="5"/>
        <v>160885</v>
      </c>
      <c r="AX3" s="133">
        <f>ROUND(AW3*(1+取值表!$D$6)*取值表!$H$6,0)</f>
        <v>159570</v>
      </c>
      <c r="AY3" s="133">
        <f t="shared" ref="AY3:BA3" si="6">AX3</f>
        <v>159570</v>
      </c>
      <c r="AZ3" s="133">
        <f t="shared" si="6"/>
        <v>159570</v>
      </c>
      <c r="BA3" s="133">
        <f t="shared" si="6"/>
        <v>159570</v>
      </c>
      <c r="BB3" s="133">
        <f>ROUND(BA3*(1+取值表!$D$6)*取值表!$H$6,0)</f>
        <v>158266</v>
      </c>
      <c r="BC3" s="133">
        <f t="shared" ref="BC3:BE3" si="7">BB3</f>
        <v>158266</v>
      </c>
      <c r="BD3" s="133">
        <f t="shared" si="7"/>
        <v>158266</v>
      </c>
      <c r="BE3" s="133">
        <f t="shared" si="7"/>
        <v>158266</v>
      </c>
      <c r="BF3" s="133">
        <f>ROUND(BE3*(1+取值表!$D$6)*取值表!$H$6,0)</f>
        <v>156973</v>
      </c>
      <c r="BG3" s="133">
        <f t="shared" ref="BG3:BI3" si="8">BF3</f>
        <v>156973</v>
      </c>
      <c r="BH3" s="133">
        <f t="shared" si="8"/>
        <v>156973</v>
      </c>
      <c r="BI3" s="133">
        <f t="shared" si="8"/>
        <v>156973</v>
      </c>
      <c r="BJ3" s="133">
        <f>ROUND(BI3*(1+取值表!$D$6)*取值表!$H$6,0)</f>
        <v>155690</v>
      </c>
      <c r="BK3" s="133">
        <f t="shared" ref="BK3:BM3" si="9">BJ3</f>
        <v>155690</v>
      </c>
      <c r="BL3" s="133">
        <f t="shared" si="9"/>
        <v>155690</v>
      </c>
      <c r="BM3" s="133">
        <f t="shared" si="9"/>
        <v>155690</v>
      </c>
      <c r="BN3" s="133">
        <f>ROUND(BM3*(1+取值表!$D$6)*取值表!$H$6,0)</f>
        <v>154418</v>
      </c>
      <c r="BO3" s="133">
        <f t="shared" ref="BO3:CN3" si="10">BN3</f>
        <v>154418</v>
      </c>
      <c r="BP3" s="133">
        <f t="shared" si="10"/>
        <v>154418</v>
      </c>
      <c r="BQ3" s="133">
        <f t="shared" si="10"/>
        <v>154418</v>
      </c>
      <c r="BR3" s="133">
        <f>ROUND(BQ3*(1+取值表!$D$6)*取值表!$H$6,0)</f>
        <v>153156</v>
      </c>
      <c r="BS3" s="133">
        <f t="shared" si="10"/>
        <v>153156</v>
      </c>
      <c r="BT3" s="133">
        <f t="shared" si="10"/>
        <v>153156</v>
      </c>
      <c r="BU3" s="133">
        <f t="shared" si="10"/>
        <v>153156</v>
      </c>
      <c r="BV3" s="133">
        <f>ROUND(BU3*(1+取值表!$D$6)*取值表!$H$6,0)</f>
        <v>151905</v>
      </c>
      <c r="BW3" s="133">
        <f t="shared" si="10"/>
        <v>151905</v>
      </c>
      <c r="BX3" s="133">
        <f t="shared" si="10"/>
        <v>151905</v>
      </c>
      <c r="BY3" s="133">
        <f t="shared" si="10"/>
        <v>151905</v>
      </c>
      <c r="BZ3" s="133">
        <f>ROUND(BY3*(1+取值表!$D$6)*取值表!$H$6,0)</f>
        <v>150664</v>
      </c>
      <c r="CA3" s="133">
        <f t="shared" si="10"/>
        <v>150664</v>
      </c>
      <c r="CB3" s="133">
        <f t="shared" si="10"/>
        <v>150664</v>
      </c>
      <c r="CC3" s="133">
        <f t="shared" si="10"/>
        <v>150664</v>
      </c>
      <c r="CD3" s="133">
        <f>ROUND(CC3*(1+取值表!$D$6)*取值表!$H$6,0)</f>
        <v>149433</v>
      </c>
      <c r="CE3" s="133">
        <f t="shared" si="10"/>
        <v>149433</v>
      </c>
      <c r="CF3" s="133">
        <f t="shared" si="10"/>
        <v>149433</v>
      </c>
      <c r="CG3" s="133">
        <f t="shared" si="10"/>
        <v>149433</v>
      </c>
      <c r="CH3" s="133">
        <f>ROUND(CG3*(1+取值表!$D$6)*取值表!$H$6,0)</f>
        <v>148212</v>
      </c>
      <c r="CI3" s="133">
        <f t="shared" si="10"/>
        <v>148212</v>
      </c>
      <c r="CJ3" s="133">
        <f t="shared" si="10"/>
        <v>148212</v>
      </c>
      <c r="CK3" s="133">
        <f t="shared" si="10"/>
        <v>148212</v>
      </c>
      <c r="CL3" s="133">
        <f>ROUND(CK3*(1+取值表!$D$6)*取值表!$H$6,0)</f>
        <v>147001</v>
      </c>
      <c r="CM3" s="133">
        <f t="shared" si="10"/>
        <v>147001</v>
      </c>
      <c r="CN3" s="133">
        <f t="shared" si="10"/>
        <v>147001</v>
      </c>
      <c r="CO3" s="133">
        <f>CN3</f>
        <v>147001</v>
      </c>
      <c r="CP3" s="133">
        <f>ROUND(CO3*(1+取值表!$D$6)*取值表!$H$6,0)</f>
        <v>145800</v>
      </c>
      <c r="CQ3" s="133">
        <f t="shared" ref="CQ3" si="11">CP3</f>
        <v>145800</v>
      </c>
      <c r="CR3" s="133">
        <f t="shared" ref="CR3:CS3" si="12">CQ3</f>
        <v>145800</v>
      </c>
      <c r="CS3" s="133">
        <f t="shared" si="12"/>
        <v>145800</v>
      </c>
      <c r="CT3" s="133">
        <f>ROUND(CS3*(1+取值表!$D$6)*取值表!$H$6,0)</f>
        <v>144609</v>
      </c>
      <c r="CU3" s="133">
        <f t="shared" ref="CU3" si="13">CT3</f>
        <v>144609</v>
      </c>
      <c r="CV3" s="133">
        <f t="shared" ref="CV3:CW3" si="14">CU3</f>
        <v>144609</v>
      </c>
      <c r="CW3" s="133">
        <f t="shared" si="14"/>
        <v>144609</v>
      </c>
      <c r="CX3" s="133">
        <f>ROUND(CW3*(1+取值表!$D$6)*取值表!$H$6,0)</f>
        <v>143427</v>
      </c>
      <c r="CY3" s="133">
        <f t="shared" ref="CY3" si="15">CX3</f>
        <v>143427</v>
      </c>
      <c r="CZ3" s="133">
        <f t="shared" ref="CZ3" si="16">CY3</f>
        <v>143427</v>
      </c>
      <c r="DA3" s="133">
        <f>CZ3</f>
        <v>143427</v>
      </c>
      <c r="DB3" s="133">
        <f>ROUND(DA3*(1+取值表!$D$6)*取值表!$H$6,0)</f>
        <v>142255</v>
      </c>
      <c r="DC3" s="133">
        <f t="shared" ref="DC3" si="17">DB3</f>
        <v>142255</v>
      </c>
      <c r="DD3" s="133">
        <f t="shared" ref="DD3:DE3" si="18">DC3</f>
        <v>142255</v>
      </c>
      <c r="DE3" s="133">
        <f t="shared" si="18"/>
        <v>142255</v>
      </c>
      <c r="DF3" s="133">
        <f>ROUND(DE3*(1+取值表!$D$6)*取值表!$H$6,0)</f>
        <v>141093</v>
      </c>
      <c r="DG3" s="133">
        <f t="shared" ref="DG3" si="19">DF3</f>
        <v>141093</v>
      </c>
      <c r="DH3" s="133">
        <f t="shared" ref="DH3:DI3" si="20">DG3</f>
        <v>141093</v>
      </c>
      <c r="DI3" s="133">
        <f t="shared" si="20"/>
        <v>141093</v>
      </c>
      <c r="DJ3" s="133">
        <f>ROUND(DI3*(1+取值表!$D$6)*取值表!$H$6,0)</f>
        <v>139940</v>
      </c>
      <c r="DK3" s="133">
        <f t="shared" ref="DK3" si="21">DJ3</f>
        <v>139940</v>
      </c>
      <c r="DL3" s="133">
        <f t="shared" ref="DL3:DM3" si="22">DK3</f>
        <v>139940</v>
      </c>
      <c r="DM3" s="133">
        <f t="shared" si="22"/>
        <v>139940</v>
      </c>
      <c r="DN3" s="133">
        <f>ROUND(DM3*(1+取值表!$D$6)*取值表!$H$6,0)</f>
        <v>138797</v>
      </c>
      <c r="DO3" s="133">
        <f t="shared" ref="DO3" si="23">DN3</f>
        <v>138797</v>
      </c>
      <c r="DP3" s="133">
        <f t="shared" ref="DP3:DQ3" si="24">DO3</f>
        <v>138797</v>
      </c>
      <c r="DQ3" s="133">
        <f t="shared" si="24"/>
        <v>138797</v>
      </c>
      <c r="DR3" s="133">
        <f>ROUND(DQ3*(1+取值表!$D$6)*取值表!$H$6,0)</f>
        <v>137663</v>
      </c>
      <c r="DS3" s="133">
        <f t="shared" ref="DS3" si="25">DR3</f>
        <v>137663</v>
      </c>
      <c r="DT3" s="133">
        <f t="shared" ref="DT3:DU3" si="26">DS3</f>
        <v>137663</v>
      </c>
      <c r="DU3" s="133">
        <f t="shared" si="26"/>
        <v>137663</v>
      </c>
      <c r="DV3" s="133">
        <f>ROUND(DU3*(1+取值表!$D$6)*取值表!$H$6,0)</f>
        <v>136538</v>
      </c>
      <c r="DW3" s="133">
        <f t="shared" ref="DW3" si="27">DV3</f>
        <v>136538</v>
      </c>
      <c r="DX3" s="133">
        <f t="shared" ref="DX3:DY3" si="28">DW3</f>
        <v>136538</v>
      </c>
      <c r="DY3" s="133">
        <f t="shared" si="28"/>
        <v>136538</v>
      </c>
      <c r="DZ3" s="133">
        <f>ROUND(DY3*(1+取值表!$D$6)*取值表!$H$6,0)</f>
        <v>135422</v>
      </c>
      <c r="EA3" s="133">
        <f t="shared" ref="EA3" si="29">DZ3</f>
        <v>135422</v>
      </c>
      <c r="EB3" s="133">
        <f t="shared" ref="EB3:EC3" si="30">EA3</f>
        <v>135422</v>
      </c>
      <c r="EC3" s="133">
        <f t="shared" si="30"/>
        <v>135422</v>
      </c>
      <c r="ED3" s="133">
        <f>ROUND(EC3*(1+取值表!$D$6)*取值表!$H$6,0)</f>
        <v>134315</v>
      </c>
      <c r="EE3" s="133">
        <f t="shared" ref="EE3" si="31">ED3</f>
        <v>134315</v>
      </c>
      <c r="EF3" s="133">
        <f t="shared" ref="EF3:EG3" si="32">EE3</f>
        <v>134315</v>
      </c>
      <c r="EG3" s="133">
        <f t="shared" si="32"/>
        <v>134315</v>
      </c>
      <c r="EH3" s="133">
        <f>ROUND(EG3*(1+取值表!$D$6)*取值表!$H$6,0)</f>
        <v>133218</v>
      </c>
      <c r="EI3" s="133">
        <f t="shared" ref="EI3" si="33">EH3</f>
        <v>133218</v>
      </c>
      <c r="EJ3" s="133">
        <f t="shared" ref="EJ3:EK3" si="34">EI3</f>
        <v>133218</v>
      </c>
      <c r="EK3" s="133">
        <f t="shared" si="34"/>
        <v>133218</v>
      </c>
      <c r="EL3" s="133">
        <f>ROUND(EK3*(1+取值表!$D$6)*取值表!$H$6,0)</f>
        <v>132129</v>
      </c>
      <c r="EM3" s="133">
        <f t="shared" ref="EM3" si="35">EL3</f>
        <v>132129</v>
      </c>
      <c r="EN3" s="133">
        <f t="shared" ref="EN3:EO3" si="36">EM3</f>
        <v>132129</v>
      </c>
      <c r="EO3" s="133">
        <f t="shared" si="36"/>
        <v>132129</v>
      </c>
      <c r="EP3" s="133">
        <f>ROUND(EO3*(1+取值表!$D$6)*取值表!$H$6,0)</f>
        <v>131049</v>
      </c>
      <c r="EQ3" s="133">
        <f t="shared" ref="EQ3" si="37">EP3</f>
        <v>131049</v>
      </c>
      <c r="ER3" s="133">
        <f t="shared" ref="ER3" si="38">EQ3</f>
        <v>131049</v>
      </c>
      <c r="ES3" s="133">
        <f>ER3</f>
        <v>131049</v>
      </c>
      <c r="ET3" s="133">
        <f>SUM(J3:ES3)</f>
        <v>20906492</v>
      </c>
    </row>
    <row r="4" spans="1:150" ht="12" customHeight="1">
      <c r="A4" s="402"/>
      <c r="B4" s="485"/>
      <c r="C4" s="400"/>
      <c r="D4" s="401"/>
      <c r="E4" s="398"/>
      <c r="F4" s="486"/>
      <c r="G4" s="486"/>
      <c r="H4" s="487"/>
      <c r="I4" s="129"/>
      <c r="J4" s="131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>
        <f t="shared" ref="ET4:ET67" si="39">SUM(J4:ES4)</f>
        <v>0</v>
      </c>
    </row>
    <row r="5" spans="1:150" ht="12" customHeight="1">
      <c r="A5" s="402">
        <v>2</v>
      </c>
      <c r="B5" s="406" t="s">
        <v>1059</v>
      </c>
      <c r="C5" s="400" t="s">
        <v>1060</v>
      </c>
      <c r="D5" s="401" t="s">
        <v>423</v>
      </c>
      <c r="E5" s="398" t="s">
        <v>1061</v>
      </c>
      <c r="F5" s="399">
        <v>7.8</v>
      </c>
      <c r="G5" s="399">
        <f>H5/365/F5</f>
        <v>42.149631190727078</v>
      </c>
      <c r="H5" s="482">
        <f>10000*12</f>
        <v>120000</v>
      </c>
      <c r="I5" s="129">
        <v>5000</v>
      </c>
      <c r="J5" s="132">
        <f>30000</f>
        <v>30000</v>
      </c>
      <c r="K5" s="133">
        <f>J5</f>
        <v>30000</v>
      </c>
      <c r="L5" s="133">
        <f>K5</f>
        <v>30000</v>
      </c>
      <c r="M5" s="133">
        <f>L5</f>
        <v>30000</v>
      </c>
      <c r="N5" s="133">
        <f>ROUND(M5*(1+取值表!$D$6)*取值表!$H$6,0)</f>
        <v>29755</v>
      </c>
      <c r="O5" s="133">
        <f>N5</f>
        <v>29755</v>
      </c>
      <c r="P5" s="133">
        <f>O5</f>
        <v>29755</v>
      </c>
      <c r="Q5" s="133">
        <f>P5</f>
        <v>29755</v>
      </c>
      <c r="R5" s="133">
        <f>ROUND(Q5*(1+取值表!$D$6)*取值表!$H$6,0)</f>
        <v>29512</v>
      </c>
      <c r="S5" s="133">
        <f t="shared" ref="S5:U5" si="40">R5</f>
        <v>29512</v>
      </c>
      <c r="T5" s="133">
        <f t="shared" si="40"/>
        <v>29512</v>
      </c>
      <c r="U5" s="133">
        <f t="shared" si="40"/>
        <v>29512</v>
      </c>
      <c r="V5" s="133">
        <f>ROUND(U5*(1+取值表!$D$6)*取值表!$H$6,0)</f>
        <v>29271</v>
      </c>
      <c r="W5" s="133">
        <f t="shared" ref="W5:Y5" si="41">V5</f>
        <v>29271</v>
      </c>
      <c r="X5" s="133">
        <f t="shared" si="41"/>
        <v>29271</v>
      </c>
      <c r="Y5" s="133">
        <f t="shared" si="41"/>
        <v>29271</v>
      </c>
      <c r="Z5" s="133">
        <f>ROUND(Y5*(1+取值表!$D$6)*取值表!$H$6,0)</f>
        <v>29032</v>
      </c>
      <c r="AA5" s="133">
        <f t="shared" ref="AA5:AC5" si="42">Z5</f>
        <v>29032</v>
      </c>
      <c r="AB5" s="133">
        <f t="shared" si="42"/>
        <v>29032</v>
      </c>
      <c r="AC5" s="133">
        <f t="shared" si="42"/>
        <v>29032</v>
      </c>
      <c r="AD5" s="133">
        <f>ROUND(AC5*(1+取值表!$D$6)*取值表!$H$6,0)</f>
        <v>28795</v>
      </c>
      <c r="AE5" s="133">
        <f t="shared" ref="AE5:AG5" si="43">AD5</f>
        <v>28795</v>
      </c>
      <c r="AF5" s="133">
        <f t="shared" si="43"/>
        <v>28795</v>
      </c>
      <c r="AG5" s="133">
        <f t="shared" si="43"/>
        <v>28795</v>
      </c>
      <c r="AH5" s="133">
        <f>ROUND(AG5*(1+取值表!$D$6)*取值表!$H$6,0)</f>
        <v>28560</v>
      </c>
      <c r="AI5" s="133">
        <f t="shared" ref="AI5:AK5" si="44">AH5</f>
        <v>28560</v>
      </c>
      <c r="AJ5" s="133">
        <f t="shared" si="44"/>
        <v>28560</v>
      </c>
      <c r="AK5" s="133">
        <f t="shared" si="44"/>
        <v>28560</v>
      </c>
      <c r="AL5" s="133">
        <f>ROUND(AK5*(1+取值表!$D$6)*取值表!$H$6,0)</f>
        <v>28327</v>
      </c>
      <c r="AM5" s="133">
        <f t="shared" ref="AM5:AO5" si="45">AL5</f>
        <v>28327</v>
      </c>
      <c r="AN5" s="133">
        <f t="shared" si="45"/>
        <v>28327</v>
      </c>
      <c r="AO5" s="133">
        <f t="shared" si="45"/>
        <v>28327</v>
      </c>
      <c r="AP5" s="133">
        <f>ROUND(AO5*(1+取值表!$D$6)*取值表!$H$6,0)</f>
        <v>28096</v>
      </c>
      <c r="AQ5" s="133">
        <f t="shared" ref="AQ5:AS5" si="46">AP5</f>
        <v>28096</v>
      </c>
      <c r="AR5" s="133">
        <f t="shared" si="46"/>
        <v>28096</v>
      </c>
      <c r="AS5" s="133">
        <f t="shared" si="46"/>
        <v>28096</v>
      </c>
      <c r="AT5" s="133">
        <f>ROUND(AS5*(1+取值表!$D$6)*取值表!$H$6,0)</f>
        <v>27866</v>
      </c>
      <c r="AU5" s="133">
        <f t="shared" ref="AU5:AW5" si="47">AT5</f>
        <v>27866</v>
      </c>
      <c r="AV5" s="133">
        <f t="shared" si="47"/>
        <v>27866</v>
      </c>
      <c r="AW5" s="133">
        <f t="shared" si="47"/>
        <v>27866</v>
      </c>
      <c r="AX5" s="133">
        <f>ROUND(AW5*(1+取值表!$D$6)*取值表!$H$6,0)</f>
        <v>27638</v>
      </c>
      <c r="AY5" s="133">
        <f t="shared" ref="AY5:BA5" si="48">AX5</f>
        <v>27638</v>
      </c>
      <c r="AZ5" s="133">
        <f t="shared" si="48"/>
        <v>27638</v>
      </c>
      <c r="BA5" s="133">
        <f t="shared" si="48"/>
        <v>27638</v>
      </c>
      <c r="BB5" s="133">
        <f>ROUND(BA5*(1+取值表!$D$6)*取值表!$H$6,0)</f>
        <v>27412</v>
      </c>
      <c r="BC5" s="133">
        <f t="shared" ref="BC5:BE5" si="49">BB5</f>
        <v>27412</v>
      </c>
      <c r="BD5" s="133">
        <f t="shared" si="49"/>
        <v>27412</v>
      </c>
      <c r="BE5" s="133">
        <f t="shared" si="49"/>
        <v>27412</v>
      </c>
      <c r="BF5" s="133">
        <f>ROUND(BE5*(1+取值表!$D$6)*取值表!$H$6,0)</f>
        <v>27188</v>
      </c>
      <c r="BG5" s="133">
        <f t="shared" ref="BG5:BI5" si="50">BF5</f>
        <v>27188</v>
      </c>
      <c r="BH5" s="133">
        <f t="shared" si="50"/>
        <v>27188</v>
      </c>
      <c r="BI5" s="133">
        <f t="shared" si="50"/>
        <v>27188</v>
      </c>
      <c r="BJ5" s="133">
        <f>ROUND(BI5*(1+取值表!$D$6)*取值表!$H$6,0)</f>
        <v>26966</v>
      </c>
      <c r="BK5" s="133">
        <f t="shared" ref="BK5:BM5" si="51">BJ5</f>
        <v>26966</v>
      </c>
      <c r="BL5" s="133">
        <f t="shared" si="51"/>
        <v>26966</v>
      </c>
      <c r="BM5" s="133">
        <f t="shared" si="51"/>
        <v>26966</v>
      </c>
      <c r="BN5" s="133">
        <f>ROUND(BM5*(1+取值表!$D$6)*取值表!$H$6,0)</f>
        <v>26746</v>
      </c>
      <c r="BO5" s="133">
        <f t="shared" ref="BO5:BQ5" si="52">BN5</f>
        <v>26746</v>
      </c>
      <c r="BP5" s="133">
        <f t="shared" si="52"/>
        <v>26746</v>
      </c>
      <c r="BQ5" s="133">
        <f t="shared" si="52"/>
        <v>26746</v>
      </c>
      <c r="BR5" s="133">
        <f>ROUND(BQ5*(1+取值表!$D$6)*取值表!$H$6,0)</f>
        <v>26527</v>
      </c>
      <c r="BS5" s="133">
        <f t="shared" ref="BS5:BU5" si="53">BR5</f>
        <v>26527</v>
      </c>
      <c r="BT5" s="133">
        <f t="shared" si="53"/>
        <v>26527</v>
      </c>
      <c r="BU5" s="133">
        <f t="shared" si="53"/>
        <v>26527</v>
      </c>
      <c r="BV5" s="133">
        <f>ROUND(BU5*(1+取值表!$D$6)*取值表!$H$6,0)</f>
        <v>26310</v>
      </c>
      <c r="BW5" s="133">
        <f t="shared" ref="BW5:BY5" si="54">BV5</f>
        <v>26310</v>
      </c>
      <c r="BX5" s="133">
        <f t="shared" si="54"/>
        <v>26310</v>
      </c>
      <c r="BY5" s="133">
        <f t="shared" si="54"/>
        <v>26310</v>
      </c>
      <c r="BZ5" s="133">
        <f>ROUND(BY5*(1+取值表!$D$6)*取值表!$H$6,0)</f>
        <v>26095</v>
      </c>
      <c r="CA5" s="133">
        <f t="shared" ref="CA5:CC5" si="55">BZ5</f>
        <v>26095</v>
      </c>
      <c r="CB5" s="133">
        <f t="shared" si="55"/>
        <v>26095</v>
      </c>
      <c r="CC5" s="133">
        <f t="shared" si="55"/>
        <v>26095</v>
      </c>
      <c r="CD5" s="133">
        <f>ROUND(CC5*(1+取值表!$D$6)*取值表!$H$6,0)</f>
        <v>25882</v>
      </c>
      <c r="CE5" s="133">
        <f t="shared" ref="CE5:CG5" si="56">CD5</f>
        <v>25882</v>
      </c>
      <c r="CF5" s="133">
        <f t="shared" si="56"/>
        <v>25882</v>
      </c>
      <c r="CG5" s="133">
        <f t="shared" si="56"/>
        <v>25882</v>
      </c>
      <c r="CH5" s="133">
        <f>ROUND(CG5*(1+取值表!$D$6)*取值表!$H$6,0)</f>
        <v>25671</v>
      </c>
      <c r="CI5" s="133">
        <f t="shared" ref="CI5:CK5" si="57">CH5</f>
        <v>25671</v>
      </c>
      <c r="CJ5" s="133">
        <f t="shared" si="57"/>
        <v>25671</v>
      </c>
      <c r="CK5" s="133">
        <f t="shared" si="57"/>
        <v>25671</v>
      </c>
      <c r="CL5" s="133">
        <f>ROUND(CK5*(1+取值表!$D$6)*取值表!$H$6,0)</f>
        <v>25461</v>
      </c>
      <c r="CM5" s="133">
        <f t="shared" ref="CM5:CO5" si="58">CL5</f>
        <v>25461</v>
      </c>
      <c r="CN5" s="133">
        <f t="shared" si="58"/>
        <v>25461</v>
      </c>
      <c r="CO5" s="133">
        <f t="shared" si="58"/>
        <v>25461</v>
      </c>
      <c r="CP5" s="133">
        <f>ROUND(CO5*(1+取值表!$D$6)*取值表!$H$6,0)</f>
        <v>25253</v>
      </c>
      <c r="CQ5" s="133">
        <f t="shared" ref="CQ5" si="59">CP5</f>
        <v>25253</v>
      </c>
      <c r="CR5" s="133">
        <f t="shared" ref="CR5" si="60">CQ5</f>
        <v>25253</v>
      </c>
      <c r="CS5" s="133">
        <f t="shared" ref="CS5" si="61">CR5</f>
        <v>25253</v>
      </c>
      <c r="CT5" s="133">
        <f>ROUND(CS5*(1+取值表!$D$6)*取值表!$H$6,0)</f>
        <v>25047</v>
      </c>
      <c r="CU5" s="133">
        <f t="shared" ref="CU5" si="62">CT5</f>
        <v>25047</v>
      </c>
      <c r="CV5" s="133">
        <f t="shared" ref="CV5" si="63">CU5</f>
        <v>25047</v>
      </c>
      <c r="CW5" s="133">
        <f t="shared" ref="CW5" si="64">CV5</f>
        <v>25047</v>
      </c>
      <c r="CX5" s="133">
        <f>ROUND(CW5*(1+取值表!$D$6)*取值表!$H$6,0)</f>
        <v>24842</v>
      </c>
      <c r="CY5" s="133">
        <f t="shared" ref="CY5" si="65">CX5</f>
        <v>24842</v>
      </c>
      <c r="CZ5" s="133">
        <f t="shared" ref="CZ5" si="66">CY5</f>
        <v>24842</v>
      </c>
      <c r="DA5" s="133">
        <f t="shared" ref="DA5" si="67">CZ5</f>
        <v>24842</v>
      </c>
      <c r="DB5" s="133">
        <f>ROUND(DA5*(1+取值表!$D$6)*取值表!$H$6,0)</f>
        <v>24639</v>
      </c>
      <c r="DC5" s="133">
        <f t="shared" ref="DC5" si="68">DB5</f>
        <v>24639</v>
      </c>
      <c r="DD5" s="133">
        <f t="shared" ref="DD5" si="69">DC5</f>
        <v>24639</v>
      </c>
      <c r="DE5" s="133">
        <f t="shared" ref="DE5" si="70">DD5</f>
        <v>24639</v>
      </c>
      <c r="DF5" s="133">
        <f>ROUND(DE5*(1+取值表!$D$6)*取值表!$H$6,0)</f>
        <v>24438</v>
      </c>
      <c r="DG5" s="133">
        <f t="shared" ref="DG5" si="71">DF5</f>
        <v>24438</v>
      </c>
      <c r="DH5" s="133">
        <f t="shared" ref="DH5" si="72">DG5</f>
        <v>24438</v>
      </c>
      <c r="DI5" s="133">
        <f t="shared" ref="DI5" si="73">DH5</f>
        <v>24438</v>
      </c>
      <c r="DJ5" s="133">
        <f>ROUND(DI5*(1+取值表!$D$6)*取值表!$H$6,0)</f>
        <v>24238</v>
      </c>
      <c r="DK5" s="133">
        <f t="shared" ref="DK5" si="74">DJ5</f>
        <v>24238</v>
      </c>
      <c r="DL5" s="133">
        <f t="shared" ref="DL5" si="75">DK5</f>
        <v>24238</v>
      </c>
      <c r="DM5" s="133">
        <f t="shared" ref="DM5" si="76">DL5</f>
        <v>24238</v>
      </c>
      <c r="DN5" s="133">
        <f>ROUND(DM5*(1+取值表!$D$6)*取值表!$H$6,0)</f>
        <v>24040</v>
      </c>
      <c r="DO5" s="133">
        <f t="shared" ref="DO5" si="77">DN5</f>
        <v>24040</v>
      </c>
      <c r="DP5" s="133">
        <f t="shared" ref="DP5" si="78">DO5</f>
        <v>24040</v>
      </c>
      <c r="DQ5" s="133">
        <f t="shared" ref="DQ5" si="79">DP5</f>
        <v>24040</v>
      </c>
      <c r="DR5" s="133">
        <f>ROUND(DQ5*(1+取值表!$D$6)*取值表!$H$6,0)</f>
        <v>23844</v>
      </c>
      <c r="DS5" s="133">
        <f t="shared" ref="DS5" si="80">DR5</f>
        <v>23844</v>
      </c>
      <c r="DT5" s="133">
        <f t="shared" ref="DT5" si="81">DS5</f>
        <v>23844</v>
      </c>
      <c r="DU5" s="133">
        <f t="shared" ref="DU5" si="82">DT5</f>
        <v>23844</v>
      </c>
      <c r="DV5" s="133">
        <f>ROUND(DU5*(1+取值表!$D$6)*取值表!$H$6,0)</f>
        <v>23649</v>
      </c>
      <c r="DW5" s="133">
        <f t="shared" ref="DW5" si="83">DV5</f>
        <v>23649</v>
      </c>
      <c r="DX5" s="133">
        <f t="shared" ref="DX5" si="84">DW5</f>
        <v>23649</v>
      </c>
      <c r="DY5" s="133">
        <f t="shared" ref="DY5" si="85">DX5</f>
        <v>23649</v>
      </c>
      <c r="DZ5" s="133">
        <f>ROUND(DY5*(1+取值表!$D$6)*取值表!$H$6,0)</f>
        <v>23456</v>
      </c>
      <c r="EA5" s="133">
        <f t="shared" ref="EA5" si="86">DZ5</f>
        <v>23456</v>
      </c>
      <c r="EB5" s="133">
        <f t="shared" ref="EB5" si="87">EA5</f>
        <v>23456</v>
      </c>
      <c r="EC5" s="133">
        <f t="shared" ref="EC5" si="88">EB5</f>
        <v>23456</v>
      </c>
      <c r="ED5" s="133">
        <f>ROUND(EC5*(1+取值表!$D$6)*取值表!$H$6,0)</f>
        <v>23264</v>
      </c>
      <c r="EE5" s="133">
        <f t="shared" ref="EE5" si="89">ED5</f>
        <v>23264</v>
      </c>
      <c r="EF5" s="133">
        <f t="shared" ref="EF5" si="90">EE5</f>
        <v>23264</v>
      </c>
      <c r="EG5" s="133">
        <f t="shared" ref="EG5" si="91">EF5</f>
        <v>23264</v>
      </c>
      <c r="EH5" s="133">
        <f>ROUND(EG5*(1+取值表!$D$6)*取值表!$H$6,0)</f>
        <v>23074</v>
      </c>
      <c r="EI5" s="133">
        <f t="shared" ref="EI5" si="92">EH5</f>
        <v>23074</v>
      </c>
      <c r="EJ5" s="133">
        <f t="shared" ref="EJ5" si="93">EI5</f>
        <v>23074</v>
      </c>
      <c r="EK5" s="133">
        <f t="shared" ref="EK5" si="94">EJ5</f>
        <v>23074</v>
      </c>
      <c r="EL5" s="133">
        <f>ROUND(EK5*(1+取值表!$D$6)*取值表!$H$6,0)</f>
        <v>22885</v>
      </c>
      <c r="EM5" s="133">
        <f t="shared" ref="EM5" si="95">EL5</f>
        <v>22885</v>
      </c>
      <c r="EN5" s="133">
        <f t="shared" ref="EN5" si="96">EM5</f>
        <v>22885</v>
      </c>
      <c r="EO5" s="133">
        <f t="shared" ref="EO5" si="97">EN5</f>
        <v>22885</v>
      </c>
      <c r="EP5" s="133">
        <f>ROUND(EO5*(1+取值表!$D$6)*取值表!$H$6,0)</f>
        <v>22698</v>
      </c>
      <c r="EQ5" s="133">
        <f t="shared" ref="EQ5" si="98">EP5</f>
        <v>22698</v>
      </c>
      <c r="ER5" s="133">
        <f t="shared" ref="ER5" si="99">EQ5</f>
        <v>22698</v>
      </c>
      <c r="ES5" s="133">
        <f t="shared" ref="ES5" si="100">ER5</f>
        <v>22698</v>
      </c>
      <c r="ET5" s="133">
        <f t="shared" si="39"/>
        <v>3665908</v>
      </c>
    </row>
    <row r="6" spans="1:150">
      <c r="A6" s="402"/>
      <c r="B6" s="406"/>
      <c r="C6" s="400"/>
      <c r="D6" s="401"/>
      <c r="E6" s="398"/>
      <c r="F6" s="399"/>
      <c r="G6" s="399"/>
      <c r="H6" s="482"/>
      <c r="I6" s="129"/>
      <c r="J6" s="131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>
        <f t="shared" si="39"/>
        <v>0</v>
      </c>
    </row>
    <row r="7" spans="1:150" s="86" customFormat="1" ht="12" customHeight="1">
      <c r="A7" s="402">
        <v>3</v>
      </c>
      <c r="B7" s="414" t="s">
        <v>1062</v>
      </c>
      <c r="C7" s="427" t="s">
        <v>1063</v>
      </c>
      <c r="D7" s="428" t="s">
        <v>22</v>
      </c>
      <c r="E7" s="429" t="s">
        <v>1064</v>
      </c>
      <c r="F7" s="430">
        <v>386.7</v>
      </c>
      <c r="G7" s="430">
        <f>H7/365/F7</f>
        <v>12.500037195659798</v>
      </c>
      <c r="H7" s="481">
        <f>147027*12</f>
        <v>1764324</v>
      </c>
      <c r="I7" s="157">
        <v>188194</v>
      </c>
      <c r="J7" s="132">
        <f>147027*3</f>
        <v>441081</v>
      </c>
      <c r="K7" s="131">
        <f>J7</f>
        <v>441081</v>
      </c>
      <c r="L7" s="131">
        <f>K7</f>
        <v>441081</v>
      </c>
      <c r="M7" s="131">
        <f>L7</f>
        <v>441081</v>
      </c>
      <c r="N7" s="133">
        <f>ROUND(M7*(1+取值表!$D$6)*取值表!$H$6,0)</f>
        <v>437477</v>
      </c>
      <c r="O7" s="131">
        <f>N7</f>
        <v>437477</v>
      </c>
      <c r="P7" s="131">
        <f>O7</f>
        <v>437477</v>
      </c>
      <c r="Q7" s="131">
        <f>P7</f>
        <v>437477</v>
      </c>
      <c r="R7" s="133">
        <f>ROUND(Q7*(1+取值表!$D$6)*取值表!$H$6,0)</f>
        <v>433902</v>
      </c>
      <c r="S7" s="131">
        <f t="shared" ref="S7:U7" si="101">R7</f>
        <v>433902</v>
      </c>
      <c r="T7" s="131">
        <f t="shared" si="101"/>
        <v>433902</v>
      </c>
      <c r="U7" s="131">
        <f t="shared" si="101"/>
        <v>433902</v>
      </c>
      <c r="V7" s="133">
        <f>ROUND(U7*(1+取值表!$D$6)*取值表!$H$6,0)</f>
        <v>430357</v>
      </c>
      <c r="W7" s="131">
        <f t="shared" ref="W7:Y7" si="102">V7</f>
        <v>430357</v>
      </c>
      <c r="X7" s="131">
        <f t="shared" si="102"/>
        <v>430357</v>
      </c>
      <c r="Y7" s="131">
        <f t="shared" si="102"/>
        <v>430357</v>
      </c>
      <c r="Z7" s="133">
        <f>ROUND(Y7*(1+取值表!$D$6)*取值表!$H$6,0)</f>
        <v>426841</v>
      </c>
      <c r="AA7" s="131">
        <f t="shared" ref="AA7:AC7" si="103">Z7</f>
        <v>426841</v>
      </c>
      <c r="AB7" s="131">
        <f t="shared" si="103"/>
        <v>426841</v>
      </c>
      <c r="AC7" s="131">
        <f t="shared" si="103"/>
        <v>426841</v>
      </c>
      <c r="AD7" s="133">
        <f>ROUND(AC7*(1+取值表!$D$6)*取值表!$H$6,0)</f>
        <v>423353</v>
      </c>
      <c r="AE7" s="131">
        <f t="shared" ref="AE7:AG7" si="104">AD7</f>
        <v>423353</v>
      </c>
      <c r="AF7" s="131">
        <f t="shared" si="104"/>
        <v>423353</v>
      </c>
      <c r="AG7" s="131">
        <f t="shared" si="104"/>
        <v>423353</v>
      </c>
      <c r="AH7" s="133">
        <f>ROUND(AG7*(1+取值表!$D$6)*取值表!$H$6,0)</f>
        <v>419894</v>
      </c>
      <c r="AI7" s="131">
        <f t="shared" ref="AI7:AK7" si="105">AH7</f>
        <v>419894</v>
      </c>
      <c r="AJ7" s="131">
        <f t="shared" si="105"/>
        <v>419894</v>
      </c>
      <c r="AK7" s="131">
        <f t="shared" si="105"/>
        <v>419894</v>
      </c>
      <c r="AL7" s="133">
        <f>ROUND(AK7*(1+取值表!$D$6)*取值表!$H$6,0)</f>
        <v>416463</v>
      </c>
      <c r="AM7" s="131">
        <f t="shared" ref="AM7:AO7" si="106">AL7</f>
        <v>416463</v>
      </c>
      <c r="AN7" s="131">
        <f t="shared" si="106"/>
        <v>416463</v>
      </c>
      <c r="AO7" s="131">
        <f t="shared" si="106"/>
        <v>416463</v>
      </c>
      <c r="AP7" s="133">
        <f>ROUND(AO7*(1+取值表!$D$6)*取值表!$H$6,0)</f>
        <v>413060</v>
      </c>
      <c r="AQ7" s="131">
        <f t="shared" ref="AQ7:AS7" si="107">AP7</f>
        <v>413060</v>
      </c>
      <c r="AR7" s="131">
        <f t="shared" si="107"/>
        <v>413060</v>
      </c>
      <c r="AS7" s="131">
        <f t="shared" si="107"/>
        <v>413060</v>
      </c>
      <c r="AT7" s="133">
        <f>ROUND(AS7*(1+取值表!$D$6)*取值表!$H$6,0)</f>
        <v>409685</v>
      </c>
      <c r="AU7" s="131">
        <f t="shared" ref="AU7:AW7" si="108">AT7</f>
        <v>409685</v>
      </c>
      <c r="AV7" s="131">
        <f t="shared" si="108"/>
        <v>409685</v>
      </c>
      <c r="AW7" s="131">
        <f t="shared" si="108"/>
        <v>409685</v>
      </c>
      <c r="AX7" s="133">
        <f>ROUND(AW7*(1+取值表!$D$6)*取值表!$H$6,0)</f>
        <v>406337</v>
      </c>
      <c r="AY7" s="131">
        <f t="shared" ref="AY7:BA7" si="109">AX7</f>
        <v>406337</v>
      </c>
      <c r="AZ7" s="131">
        <f t="shared" si="109"/>
        <v>406337</v>
      </c>
      <c r="BA7" s="131">
        <f t="shared" si="109"/>
        <v>406337</v>
      </c>
      <c r="BB7" s="133">
        <f>ROUND(BA7*(1+取值表!$D$6)*取值表!$H$6,0)</f>
        <v>403017</v>
      </c>
      <c r="BC7" s="131">
        <f t="shared" ref="BC7:BE7" si="110">BB7</f>
        <v>403017</v>
      </c>
      <c r="BD7" s="131">
        <f t="shared" si="110"/>
        <v>403017</v>
      </c>
      <c r="BE7" s="131">
        <f t="shared" si="110"/>
        <v>403017</v>
      </c>
      <c r="BF7" s="133">
        <f>ROUND(BE7*(1+取值表!$D$6)*取值表!$H$6,0)</f>
        <v>399724</v>
      </c>
      <c r="BG7" s="131">
        <f t="shared" ref="BG7:BI7" si="111">BF7</f>
        <v>399724</v>
      </c>
      <c r="BH7" s="131">
        <f t="shared" si="111"/>
        <v>399724</v>
      </c>
      <c r="BI7" s="131">
        <f t="shared" si="111"/>
        <v>399724</v>
      </c>
      <c r="BJ7" s="133">
        <f>ROUND(BI7*(1+取值表!$D$6)*取值表!$H$6,0)</f>
        <v>396458</v>
      </c>
      <c r="BK7" s="131">
        <f t="shared" ref="BK7:BM7" si="112">BJ7</f>
        <v>396458</v>
      </c>
      <c r="BL7" s="131">
        <f t="shared" si="112"/>
        <v>396458</v>
      </c>
      <c r="BM7" s="131">
        <f t="shared" si="112"/>
        <v>396458</v>
      </c>
      <c r="BN7" s="133">
        <f>ROUND(BM7*(1+取值表!$D$6)*取值表!$H$6,0)</f>
        <v>393219</v>
      </c>
      <c r="BO7" s="131">
        <f t="shared" ref="BO7:BQ7" si="113">BN7</f>
        <v>393219</v>
      </c>
      <c r="BP7" s="131">
        <f t="shared" si="113"/>
        <v>393219</v>
      </c>
      <c r="BQ7" s="131">
        <f t="shared" si="113"/>
        <v>393219</v>
      </c>
      <c r="BR7" s="133">
        <f>ROUND(BQ7*(1+取值表!$D$6)*取值表!$H$6,0)</f>
        <v>390006</v>
      </c>
      <c r="BS7" s="131">
        <f t="shared" ref="BS7:BU7" si="114">BR7</f>
        <v>390006</v>
      </c>
      <c r="BT7" s="131">
        <f t="shared" si="114"/>
        <v>390006</v>
      </c>
      <c r="BU7" s="131">
        <f t="shared" si="114"/>
        <v>390006</v>
      </c>
      <c r="BV7" s="133">
        <f>ROUND(BU7*(1+取值表!$D$6)*取值表!$H$6,0)</f>
        <v>386819</v>
      </c>
      <c r="BW7" s="131">
        <f t="shared" ref="BW7:BY7" si="115">BV7</f>
        <v>386819</v>
      </c>
      <c r="BX7" s="131">
        <f t="shared" si="115"/>
        <v>386819</v>
      </c>
      <c r="BY7" s="131">
        <f t="shared" si="115"/>
        <v>386819</v>
      </c>
      <c r="BZ7" s="133">
        <f>ROUND(BY7*(1+取值表!$D$6)*取值表!$H$6,0)</f>
        <v>383658</v>
      </c>
      <c r="CA7" s="131">
        <f t="shared" ref="CA7:CC7" si="116">BZ7</f>
        <v>383658</v>
      </c>
      <c r="CB7" s="131">
        <f t="shared" si="116"/>
        <v>383658</v>
      </c>
      <c r="CC7" s="131">
        <f t="shared" si="116"/>
        <v>383658</v>
      </c>
      <c r="CD7" s="133">
        <f>ROUND(CC7*(1+取值表!$D$6)*取值表!$H$6,0)</f>
        <v>380523</v>
      </c>
      <c r="CE7" s="131">
        <f t="shared" ref="CE7:CG7" si="117">CD7</f>
        <v>380523</v>
      </c>
      <c r="CF7" s="131">
        <f t="shared" si="117"/>
        <v>380523</v>
      </c>
      <c r="CG7" s="131">
        <f t="shared" si="117"/>
        <v>380523</v>
      </c>
      <c r="CH7" s="133">
        <f>ROUND(CG7*(1+取值表!$D$6)*取值表!$H$6,0)</f>
        <v>377414</v>
      </c>
      <c r="CI7" s="131">
        <f t="shared" ref="CI7:CK7" si="118">CH7</f>
        <v>377414</v>
      </c>
      <c r="CJ7" s="131">
        <f t="shared" si="118"/>
        <v>377414</v>
      </c>
      <c r="CK7" s="131">
        <f t="shared" si="118"/>
        <v>377414</v>
      </c>
      <c r="CL7" s="133">
        <f>ROUND(CK7*(1+取值表!$D$6)*取值表!$H$6,0)</f>
        <v>374330</v>
      </c>
      <c r="CM7" s="131">
        <f t="shared" ref="CM7:CO7" si="119">CL7</f>
        <v>374330</v>
      </c>
      <c r="CN7" s="131">
        <f t="shared" si="119"/>
        <v>374330</v>
      </c>
      <c r="CO7" s="131">
        <f t="shared" si="119"/>
        <v>374330</v>
      </c>
      <c r="CP7" s="133">
        <f>ROUND(CO7*(1+取值表!$D$6)*取值表!$H$6,0)</f>
        <v>371271</v>
      </c>
      <c r="CQ7" s="131">
        <f t="shared" ref="CQ7" si="120">CP7</f>
        <v>371271</v>
      </c>
      <c r="CR7" s="131">
        <f t="shared" ref="CR7" si="121">CQ7</f>
        <v>371271</v>
      </c>
      <c r="CS7" s="131">
        <f t="shared" ref="CS7" si="122">CR7</f>
        <v>371271</v>
      </c>
      <c r="CT7" s="133">
        <f>ROUND(CS7*(1+取值表!$D$6)*取值表!$H$6,0)</f>
        <v>368237</v>
      </c>
      <c r="CU7" s="131">
        <f t="shared" ref="CU7" si="123">CT7</f>
        <v>368237</v>
      </c>
      <c r="CV7" s="131">
        <f t="shared" ref="CV7" si="124">CU7</f>
        <v>368237</v>
      </c>
      <c r="CW7" s="131">
        <f t="shared" ref="CW7" si="125">CV7</f>
        <v>368237</v>
      </c>
      <c r="CX7" s="133">
        <f>ROUND(CW7*(1+取值表!$D$6)*取值表!$H$6,0)</f>
        <v>365228</v>
      </c>
      <c r="CY7" s="131">
        <f t="shared" ref="CY7" si="126">CX7</f>
        <v>365228</v>
      </c>
      <c r="CZ7" s="131">
        <f t="shared" ref="CZ7" si="127">CY7</f>
        <v>365228</v>
      </c>
      <c r="DA7" s="131">
        <f t="shared" ref="DA7" si="128">CZ7</f>
        <v>365228</v>
      </c>
      <c r="DB7" s="133">
        <f>ROUND(DA7*(1+取值表!$D$6)*取值表!$H$6,0)</f>
        <v>362244</v>
      </c>
      <c r="DC7" s="131">
        <f t="shared" ref="DC7" si="129">DB7</f>
        <v>362244</v>
      </c>
      <c r="DD7" s="131">
        <f t="shared" ref="DD7" si="130">DC7</f>
        <v>362244</v>
      </c>
      <c r="DE7" s="131">
        <f t="shared" ref="DE7" si="131">DD7</f>
        <v>362244</v>
      </c>
      <c r="DF7" s="133">
        <f>ROUND(DE7*(1+取值表!$D$6)*取值表!$H$6,0)</f>
        <v>359284</v>
      </c>
      <c r="DG7" s="131">
        <f t="shared" ref="DG7" si="132">DF7</f>
        <v>359284</v>
      </c>
      <c r="DH7" s="131">
        <f t="shared" ref="DH7" si="133">DG7</f>
        <v>359284</v>
      </c>
      <c r="DI7" s="131">
        <f t="shared" ref="DI7" si="134">DH7</f>
        <v>359284</v>
      </c>
      <c r="DJ7" s="133">
        <f>ROUND(DI7*(1+取值表!$D$6)*取值表!$H$6,0)</f>
        <v>356348</v>
      </c>
      <c r="DK7" s="131">
        <f t="shared" ref="DK7" si="135">DJ7</f>
        <v>356348</v>
      </c>
      <c r="DL7" s="131">
        <f t="shared" ref="DL7" si="136">DK7</f>
        <v>356348</v>
      </c>
      <c r="DM7" s="131">
        <f t="shared" ref="DM7" si="137">DL7</f>
        <v>356348</v>
      </c>
      <c r="DN7" s="133">
        <f>ROUND(DM7*(1+取值表!$D$6)*取值表!$H$6,0)</f>
        <v>353436</v>
      </c>
      <c r="DO7" s="131">
        <f t="shared" ref="DO7" si="138">DN7</f>
        <v>353436</v>
      </c>
      <c r="DP7" s="131">
        <f t="shared" ref="DP7" si="139">DO7</f>
        <v>353436</v>
      </c>
      <c r="DQ7" s="131">
        <f t="shared" ref="DQ7" si="140">DP7</f>
        <v>353436</v>
      </c>
      <c r="DR7" s="133">
        <f>ROUND(DQ7*(1+取值表!$D$6)*取值表!$H$6,0)</f>
        <v>350548</v>
      </c>
      <c r="DS7" s="131">
        <f t="shared" ref="DS7" si="141">DR7</f>
        <v>350548</v>
      </c>
      <c r="DT7" s="131">
        <f t="shared" ref="DT7" si="142">DS7</f>
        <v>350548</v>
      </c>
      <c r="DU7" s="131">
        <f t="shared" ref="DU7" si="143">DT7</f>
        <v>350548</v>
      </c>
      <c r="DV7" s="133">
        <f>ROUND(DU7*(1+取值表!$D$6)*取值表!$H$6,0)</f>
        <v>347684</v>
      </c>
      <c r="DW7" s="131">
        <f t="shared" ref="DW7" si="144">DV7</f>
        <v>347684</v>
      </c>
      <c r="DX7" s="131">
        <f t="shared" ref="DX7" si="145">DW7</f>
        <v>347684</v>
      </c>
      <c r="DY7" s="131">
        <f t="shared" ref="DY7" si="146">DX7</f>
        <v>347684</v>
      </c>
      <c r="DZ7" s="133">
        <f>ROUND(DY7*(1+取值表!$D$6)*取值表!$H$6,0)</f>
        <v>344843</v>
      </c>
      <c r="EA7" s="131">
        <f t="shared" ref="EA7" si="147">DZ7</f>
        <v>344843</v>
      </c>
      <c r="EB7" s="131">
        <f t="shared" ref="EB7" si="148">EA7</f>
        <v>344843</v>
      </c>
      <c r="EC7" s="131">
        <f t="shared" ref="EC7" si="149">EB7</f>
        <v>344843</v>
      </c>
      <c r="ED7" s="133">
        <f>ROUND(EC7*(1+取值表!$D$6)*取值表!$H$6,0)</f>
        <v>342025</v>
      </c>
      <c r="EE7" s="131">
        <f t="shared" ref="EE7" si="150">ED7</f>
        <v>342025</v>
      </c>
      <c r="EF7" s="131">
        <f t="shared" ref="EF7" si="151">EE7</f>
        <v>342025</v>
      </c>
      <c r="EG7" s="131">
        <f t="shared" ref="EG7" si="152">EF7</f>
        <v>342025</v>
      </c>
      <c r="EH7" s="133">
        <f>ROUND(EG7*(1+取值表!$D$6)*取值表!$H$6,0)</f>
        <v>339230</v>
      </c>
      <c r="EI7" s="131">
        <f t="shared" ref="EI7" si="153">EH7</f>
        <v>339230</v>
      </c>
      <c r="EJ7" s="131">
        <f t="shared" ref="EJ7" si="154">EI7</f>
        <v>339230</v>
      </c>
      <c r="EK7" s="131">
        <f t="shared" ref="EK7" si="155">EJ7</f>
        <v>339230</v>
      </c>
      <c r="EL7" s="133">
        <f>ROUND(EK7*(1+取值表!$D$6)*取值表!$H$6,0)</f>
        <v>336458</v>
      </c>
      <c r="EM7" s="131">
        <f t="shared" ref="EM7" si="156">EL7</f>
        <v>336458</v>
      </c>
      <c r="EN7" s="131">
        <f t="shared" ref="EN7" si="157">EM7</f>
        <v>336458</v>
      </c>
      <c r="EO7" s="131">
        <f t="shared" ref="EO7" si="158">EN7</f>
        <v>336458</v>
      </c>
      <c r="EP7" s="133">
        <f>ROUND(EO7*(1+取值表!$D$6)*取值表!$H$6,0)</f>
        <v>333709</v>
      </c>
      <c r="EQ7" s="131">
        <f t="shared" ref="EQ7" si="159">EP7</f>
        <v>333709</v>
      </c>
      <c r="ER7" s="131">
        <f t="shared" ref="ER7" si="160">EQ7</f>
        <v>333709</v>
      </c>
      <c r="ES7" s="131">
        <f t="shared" ref="ES7" si="161">ER7</f>
        <v>333709</v>
      </c>
      <c r="ET7" s="133">
        <f t="shared" si="39"/>
        <v>53896652</v>
      </c>
    </row>
    <row r="8" spans="1:150" s="86" customFormat="1">
      <c r="A8" s="402"/>
      <c r="B8" s="414"/>
      <c r="C8" s="427"/>
      <c r="D8" s="428"/>
      <c r="E8" s="429"/>
      <c r="F8" s="430"/>
      <c r="G8" s="430"/>
      <c r="H8" s="481"/>
      <c r="I8" s="157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3">
        <f t="shared" si="39"/>
        <v>0</v>
      </c>
    </row>
    <row r="9" spans="1:150" ht="12" customHeight="1">
      <c r="A9" s="402">
        <v>4</v>
      </c>
      <c r="B9" s="406" t="s">
        <v>1065</v>
      </c>
      <c r="C9" s="400" t="s">
        <v>912</v>
      </c>
      <c r="D9" s="401" t="s">
        <v>23</v>
      </c>
      <c r="E9" s="398" t="s">
        <v>422</v>
      </c>
      <c r="F9" s="399">
        <v>218.34</v>
      </c>
      <c r="G9" s="399">
        <f>AVERAGE(12,13)</f>
        <v>12.5</v>
      </c>
      <c r="H9" s="482">
        <f>F9*G9*365</f>
        <v>996176.25</v>
      </c>
      <c r="I9" s="129">
        <v>225135.83</v>
      </c>
      <c r="J9" s="131">
        <f>ROUND(12*F9*365/4,0)</f>
        <v>239082</v>
      </c>
      <c r="K9" s="133">
        <f>J9</f>
        <v>239082</v>
      </c>
      <c r="L9" s="133">
        <f>K9</f>
        <v>239082</v>
      </c>
      <c r="M9" s="133">
        <f>ROUND(13*365*F9/4,0)</f>
        <v>259006</v>
      </c>
      <c r="N9" s="133">
        <f>M9</f>
        <v>259006</v>
      </c>
      <c r="O9" s="133">
        <f>N9</f>
        <v>259006</v>
      </c>
      <c r="P9" s="132">
        <f>O9</f>
        <v>259006</v>
      </c>
      <c r="Q9" s="133">
        <f>P9</f>
        <v>259006</v>
      </c>
      <c r="R9" s="133">
        <f>ROUND(Q9*(1+取值表!$D$6)*取值表!$H$6,0)</f>
        <v>256890</v>
      </c>
      <c r="S9" s="133">
        <f>R9</f>
        <v>256890</v>
      </c>
      <c r="T9" s="133">
        <f>S9</f>
        <v>256890</v>
      </c>
      <c r="U9" s="133">
        <f>T9</f>
        <v>256890</v>
      </c>
      <c r="V9" s="133">
        <f>ROUND(U9*(1+取值表!$D$6)*取值表!$H$6,0)</f>
        <v>254791</v>
      </c>
      <c r="W9" s="133">
        <f t="shared" ref="W9:Y9" si="162">V9</f>
        <v>254791</v>
      </c>
      <c r="X9" s="133">
        <f t="shared" si="162"/>
        <v>254791</v>
      </c>
      <c r="Y9" s="133">
        <f t="shared" si="162"/>
        <v>254791</v>
      </c>
      <c r="Z9" s="133">
        <f>ROUND(Y9*(1+取值表!$D$6)*取值表!$H$6,0)</f>
        <v>252709</v>
      </c>
      <c r="AA9" s="133">
        <f t="shared" ref="AA9:AC9" si="163">Z9</f>
        <v>252709</v>
      </c>
      <c r="AB9" s="133">
        <f t="shared" si="163"/>
        <v>252709</v>
      </c>
      <c r="AC9" s="133">
        <f t="shared" si="163"/>
        <v>252709</v>
      </c>
      <c r="AD9" s="133">
        <f>ROUND(AC9*(1+取值表!$D$6)*取值表!$H$6,0)</f>
        <v>250644</v>
      </c>
      <c r="AE9" s="133">
        <f t="shared" ref="AE9:AG9" si="164">AD9</f>
        <v>250644</v>
      </c>
      <c r="AF9" s="133">
        <f t="shared" si="164"/>
        <v>250644</v>
      </c>
      <c r="AG9" s="133">
        <f t="shared" si="164"/>
        <v>250644</v>
      </c>
      <c r="AH9" s="133">
        <f>ROUND(AG9*(1+取值表!$D$6)*取值表!$H$6,0)</f>
        <v>248596</v>
      </c>
      <c r="AI9" s="133">
        <f t="shared" ref="AI9:AK9" si="165">AH9</f>
        <v>248596</v>
      </c>
      <c r="AJ9" s="133">
        <f t="shared" si="165"/>
        <v>248596</v>
      </c>
      <c r="AK9" s="133">
        <f t="shared" si="165"/>
        <v>248596</v>
      </c>
      <c r="AL9" s="133">
        <f>ROUND(AK9*(1+取值表!$D$6)*取值表!$H$6,0)</f>
        <v>246565</v>
      </c>
      <c r="AM9" s="133">
        <f t="shared" ref="AM9:AO9" si="166">AL9</f>
        <v>246565</v>
      </c>
      <c r="AN9" s="133">
        <f t="shared" si="166"/>
        <v>246565</v>
      </c>
      <c r="AO9" s="133">
        <f t="shared" si="166"/>
        <v>246565</v>
      </c>
      <c r="AP9" s="133">
        <f>ROUND(AO9*(1+取值表!$D$6)*取值表!$H$6,0)</f>
        <v>244550</v>
      </c>
      <c r="AQ9" s="133">
        <f t="shared" ref="AQ9:AS9" si="167">AP9</f>
        <v>244550</v>
      </c>
      <c r="AR9" s="133">
        <f t="shared" si="167"/>
        <v>244550</v>
      </c>
      <c r="AS9" s="133">
        <f t="shared" si="167"/>
        <v>244550</v>
      </c>
      <c r="AT9" s="133">
        <f>ROUND(AS9*(1+取值表!$D$6)*取值表!$H$6,0)</f>
        <v>242552</v>
      </c>
      <c r="AU9" s="133">
        <f t="shared" ref="AU9:AW9" si="168">AT9</f>
        <v>242552</v>
      </c>
      <c r="AV9" s="133">
        <f t="shared" si="168"/>
        <v>242552</v>
      </c>
      <c r="AW9" s="133">
        <f t="shared" si="168"/>
        <v>242552</v>
      </c>
      <c r="AX9" s="133">
        <f>ROUND(AW9*(1+取值表!$D$6)*取值表!$H$6,0)</f>
        <v>240570</v>
      </c>
      <c r="AY9" s="133">
        <f t="shared" ref="AY9:BA9" si="169">AX9</f>
        <v>240570</v>
      </c>
      <c r="AZ9" s="133">
        <f t="shared" si="169"/>
        <v>240570</v>
      </c>
      <c r="BA9" s="133">
        <f t="shared" si="169"/>
        <v>240570</v>
      </c>
      <c r="BB9" s="133">
        <f>ROUND(BA9*(1+取值表!$D$6)*取值表!$H$6,0)</f>
        <v>238604</v>
      </c>
      <c r="BC9" s="133">
        <f t="shared" ref="BC9:BE9" si="170">BB9</f>
        <v>238604</v>
      </c>
      <c r="BD9" s="133">
        <f t="shared" si="170"/>
        <v>238604</v>
      </c>
      <c r="BE9" s="133">
        <f t="shared" si="170"/>
        <v>238604</v>
      </c>
      <c r="BF9" s="133">
        <f>ROUND(BE9*(1+取值表!$D$6)*取值表!$H$6,0)</f>
        <v>236654</v>
      </c>
      <c r="BG9" s="133">
        <f t="shared" ref="BG9:BI9" si="171">BF9</f>
        <v>236654</v>
      </c>
      <c r="BH9" s="133">
        <f t="shared" si="171"/>
        <v>236654</v>
      </c>
      <c r="BI9" s="133">
        <f t="shared" si="171"/>
        <v>236654</v>
      </c>
      <c r="BJ9" s="133">
        <f>ROUND(BI9*(1+取值表!$D$6)*取值表!$H$6,0)</f>
        <v>234720</v>
      </c>
      <c r="BK9" s="133">
        <f t="shared" ref="BK9:BM9" si="172">BJ9</f>
        <v>234720</v>
      </c>
      <c r="BL9" s="133">
        <f t="shared" si="172"/>
        <v>234720</v>
      </c>
      <c r="BM9" s="133">
        <f t="shared" si="172"/>
        <v>234720</v>
      </c>
      <c r="BN9" s="133">
        <f>ROUND(BM9*(1+取值表!$D$6)*取值表!$H$6,0)</f>
        <v>232802</v>
      </c>
      <c r="BO9" s="133">
        <f t="shared" ref="BO9:BQ9" si="173">BN9</f>
        <v>232802</v>
      </c>
      <c r="BP9" s="133">
        <f t="shared" si="173"/>
        <v>232802</v>
      </c>
      <c r="BQ9" s="133">
        <f t="shared" si="173"/>
        <v>232802</v>
      </c>
      <c r="BR9" s="133">
        <f>ROUND(BQ9*(1+取值表!$D$6)*取值表!$H$6,0)</f>
        <v>230900</v>
      </c>
      <c r="BS9" s="133">
        <f t="shared" ref="BS9:BU9" si="174">BR9</f>
        <v>230900</v>
      </c>
      <c r="BT9" s="133">
        <f t="shared" si="174"/>
        <v>230900</v>
      </c>
      <c r="BU9" s="133">
        <f t="shared" si="174"/>
        <v>230900</v>
      </c>
      <c r="BV9" s="133">
        <f>ROUND(BU9*(1+取值表!$D$6)*取值表!$H$6,0)</f>
        <v>229013</v>
      </c>
      <c r="BW9" s="133">
        <f t="shared" ref="BW9:BY9" si="175">BV9</f>
        <v>229013</v>
      </c>
      <c r="BX9" s="133">
        <f t="shared" si="175"/>
        <v>229013</v>
      </c>
      <c r="BY9" s="133">
        <f t="shared" si="175"/>
        <v>229013</v>
      </c>
      <c r="BZ9" s="133">
        <f>ROUND(BY9*(1+取值表!$D$6)*取值表!$H$6,0)</f>
        <v>227142</v>
      </c>
      <c r="CA9" s="133">
        <f t="shared" ref="CA9:CC9" si="176">BZ9</f>
        <v>227142</v>
      </c>
      <c r="CB9" s="133">
        <f t="shared" si="176"/>
        <v>227142</v>
      </c>
      <c r="CC9" s="133">
        <f t="shared" si="176"/>
        <v>227142</v>
      </c>
      <c r="CD9" s="133">
        <f>ROUND(CC9*(1+取值表!$D$6)*取值表!$H$6,0)</f>
        <v>225286</v>
      </c>
      <c r="CE9" s="133">
        <f t="shared" ref="CE9:CG9" si="177">CD9</f>
        <v>225286</v>
      </c>
      <c r="CF9" s="133">
        <f t="shared" si="177"/>
        <v>225286</v>
      </c>
      <c r="CG9" s="133">
        <f t="shared" si="177"/>
        <v>225286</v>
      </c>
      <c r="CH9" s="133">
        <f>ROUND(CG9*(1+取值表!$D$6)*取值表!$H$6,0)</f>
        <v>223445</v>
      </c>
      <c r="CI9" s="133">
        <f t="shared" ref="CI9:CK9" si="178">CH9</f>
        <v>223445</v>
      </c>
      <c r="CJ9" s="133">
        <f t="shared" si="178"/>
        <v>223445</v>
      </c>
      <c r="CK9" s="133">
        <f t="shared" si="178"/>
        <v>223445</v>
      </c>
      <c r="CL9" s="133">
        <f>ROUND(CK9*(1+取值表!$D$6)*取值表!$H$6,0)</f>
        <v>221619</v>
      </c>
      <c r="CM9" s="133">
        <f t="shared" ref="CM9:CO9" si="179">CL9</f>
        <v>221619</v>
      </c>
      <c r="CN9" s="133">
        <f t="shared" si="179"/>
        <v>221619</v>
      </c>
      <c r="CO9" s="133">
        <f t="shared" si="179"/>
        <v>221619</v>
      </c>
      <c r="CP9" s="133">
        <f>ROUND(CO9*(1+取值表!$D$6)*取值表!$H$6,0)</f>
        <v>219808</v>
      </c>
      <c r="CQ9" s="133">
        <f t="shared" ref="CQ9" si="180">CP9</f>
        <v>219808</v>
      </c>
      <c r="CR9" s="133">
        <f t="shared" ref="CR9" si="181">CQ9</f>
        <v>219808</v>
      </c>
      <c r="CS9" s="133">
        <f t="shared" ref="CS9" si="182">CR9</f>
        <v>219808</v>
      </c>
      <c r="CT9" s="133">
        <f>ROUND(CS9*(1+取值表!$D$6)*取值表!$H$6,0)</f>
        <v>218012</v>
      </c>
      <c r="CU9" s="133">
        <f t="shared" ref="CU9" si="183">CT9</f>
        <v>218012</v>
      </c>
      <c r="CV9" s="133">
        <f t="shared" ref="CV9" si="184">CU9</f>
        <v>218012</v>
      </c>
      <c r="CW9" s="133">
        <f t="shared" ref="CW9" si="185">CV9</f>
        <v>218012</v>
      </c>
      <c r="CX9" s="133">
        <f>ROUND(CW9*(1+取值表!$D$6)*取值表!$H$6,0)</f>
        <v>216231</v>
      </c>
      <c r="CY9" s="133">
        <f t="shared" ref="CY9" si="186">CX9</f>
        <v>216231</v>
      </c>
      <c r="CZ9" s="133">
        <f t="shared" ref="CZ9" si="187">CY9</f>
        <v>216231</v>
      </c>
      <c r="DA9" s="133">
        <f t="shared" ref="DA9" si="188">CZ9</f>
        <v>216231</v>
      </c>
      <c r="DB9" s="133">
        <f>ROUND(DA9*(1+取值表!$D$6)*取值表!$H$6,0)</f>
        <v>214464</v>
      </c>
      <c r="DC9" s="133">
        <f t="shared" ref="DC9" si="189">DB9</f>
        <v>214464</v>
      </c>
      <c r="DD9" s="133">
        <f t="shared" ref="DD9" si="190">DC9</f>
        <v>214464</v>
      </c>
      <c r="DE9" s="133">
        <f t="shared" ref="DE9" si="191">DD9</f>
        <v>214464</v>
      </c>
      <c r="DF9" s="133">
        <f>ROUND(DE9*(1+取值表!$D$6)*取值表!$H$6,0)</f>
        <v>212712</v>
      </c>
      <c r="DG9" s="133">
        <f t="shared" ref="DG9" si="192">DF9</f>
        <v>212712</v>
      </c>
      <c r="DH9" s="133">
        <f t="shared" ref="DH9" si="193">DG9</f>
        <v>212712</v>
      </c>
      <c r="DI9" s="133">
        <f t="shared" ref="DI9" si="194">DH9</f>
        <v>212712</v>
      </c>
      <c r="DJ9" s="133">
        <f>ROUND(DI9*(1+取值表!$D$6)*取值表!$H$6,0)</f>
        <v>210974</v>
      </c>
      <c r="DK9" s="133">
        <f t="shared" ref="DK9" si="195">DJ9</f>
        <v>210974</v>
      </c>
      <c r="DL9" s="133">
        <f t="shared" ref="DL9" si="196">DK9</f>
        <v>210974</v>
      </c>
      <c r="DM9" s="133">
        <f t="shared" ref="DM9" si="197">DL9</f>
        <v>210974</v>
      </c>
      <c r="DN9" s="133">
        <f>ROUND(DM9*(1+取值表!$D$6)*取值表!$H$6,0)</f>
        <v>209250</v>
      </c>
      <c r="DO9" s="133">
        <f t="shared" ref="DO9" si="198">DN9</f>
        <v>209250</v>
      </c>
      <c r="DP9" s="133">
        <f t="shared" ref="DP9" si="199">DO9</f>
        <v>209250</v>
      </c>
      <c r="DQ9" s="133">
        <f t="shared" ref="DQ9" si="200">DP9</f>
        <v>209250</v>
      </c>
      <c r="DR9" s="133">
        <f>ROUND(DQ9*(1+取值表!$D$6)*取值表!$H$6,0)</f>
        <v>207540</v>
      </c>
      <c r="DS9" s="133">
        <f t="shared" ref="DS9" si="201">DR9</f>
        <v>207540</v>
      </c>
      <c r="DT9" s="133">
        <f t="shared" ref="DT9" si="202">DS9</f>
        <v>207540</v>
      </c>
      <c r="DU9" s="133">
        <f t="shared" ref="DU9" si="203">DT9</f>
        <v>207540</v>
      </c>
      <c r="DV9" s="133">
        <f>ROUND(DU9*(1+取值表!$D$6)*取值表!$H$6,0)</f>
        <v>205844</v>
      </c>
      <c r="DW9" s="133">
        <f t="shared" ref="DW9" si="204">DV9</f>
        <v>205844</v>
      </c>
      <c r="DX9" s="133">
        <f t="shared" ref="DX9" si="205">DW9</f>
        <v>205844</v>
      </c>
      <c r="DY9" s="133">
        <f t="shared" ref="DY9" si="206">DX9</f>
        <v>205844</v>
      </c>
      <c r="DZ9" s="133">
        <f>ROUND(DY9*(1+取值表!$D$6)*取值表!$H$6,0)</f>
        <v>204162</v>
      </c>
      <c r="EA9" s="133">
        <f t="shared" ref="EA9" si="207">DZ9</f>
        <v>204162</v>
      </c>
      <c r="EB9" s="133">
        <f t="shared" ref="EB9" si="208">EA9</f>
        <v>204162</v>
      </c>
      <c r="EC9" s="133">
        <f t="shared" ref="EC9" si="209">EB9</f>
        <v>204162</v>
      </c>
      <c r="ED9" s="133">
        <f>ROUND(EC9*(1+取值表!$D$6)*取值表!$H$6,0)</f>
        <v>202494</v>
      </c>
      <c r="EE9" s="133">
        <f t="shared" ref="EE9" si="210">ED9</f>
        <v>202494</v>
      </c>
      <c r="EF9" s="133">
        <f t="shared" ref="EF9" si="211">EE9</f>
        <v>202494</v>
      </c>
      <c r="EG9" s="133">
        <f t="shared" ref="EG9" si="212">EF9</f>
        <v>202494</v>
      </c>
      <c r="EH9" s="133">
        <f>ROUND(EG9*(1+取值表!$D$6)*取值表!$H$6,0)</f>
        <v>200839</v>
      </c>
      <c r="EI9" s="133">
        <f t="shared" ref="EI9" si="213">EH9</f>
        <v>200839</v>
      </c>
      <c r="EJ9" s="133">
        <f t="shared" ref="EJ9" si="214">EI9</f>
        <v>200839</v>
      </c>
      <c r="EK9" s="133">
        <f t="shared" ref="EK9" si="215">EJ9</f>
        <v>200839</v>
      </c>
      <c r="EL9" s="133">
        <f>ROUND(EK9*(1+取值表!$D$6)*取值表!$H$6,0)</f>
        <v>199198</v>
      </c>
      <c r="EM9" s="133">
        <f t="shared" ref="EM9" si="216">EL9</f>
        <v>199198</v>
      </c>
      <c r="EN9" s="133">
        <f t="shared" ref="EN9" si="217">EM9</f>
        <v>199198</v>
      </c>
      <c r="EO9" s="133">
        <f t="shared" ref="EO9" si="218">EN9</f>
        <v>199198</v>
      </c>
      <c r="EP9" s="133">
        <f>ROUND(EO9*(1+取值表!$D$6)*取值表!$H$6,0)</f>
        <v>197570</v>
      </c>
      <c r="EQ9" s="133">
        <f t="shared" ref="EQ9" si="219">EP9</f>
        <v>197570</v>
      </c>
      <c r="ER9" s="133">
        <f t="shared" ref="ER9" si="220">EQ9</f>
        <v>197570</v>
      </c>
      <c r="ES9" s="133">
        <f t="shared" ref="ES9" si="221">ER9</f>
        <v>197570</v>
      </c>
      <c r="ET9" s="133">
        <f t="shared" si="39"/>
        <v>31840876</v>
      </c>
    </row>
    <row r="10" spans="1:150">
      <c r="A10" s="402"/>
      <c r="B10" s="406"/>
      <c r="C10" s="400"/>
      <c r="D10" s="401"/>
      <c r="E10" s="398"/>
      <c r="F10" s="399"/>
      <c r="G10" s="399"/>
      <c r="H10" s="482"/>
      <c r="I10" s="129"/>
      <c r="J10" s="131"/>
      <c r="K10" s="133"/>
      <c r="L10" s="133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  <c r="BV10" s="133"/>
      <c r="BW10" s="133"/>
      <c r="BX10" s="133"/>
      <c r="BY10" s="133"/>
      <c r="BZ10" s="133"/>
      <c r="CA10" s="133"/>
      <c r="CB10" s="133"/>
      <c r="CC10" s="133"/>
      <c r="CD10" s="133"/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3"/>
      <c r="CT10" s="133"/>
      <c r="CU10" s="133"/>
      <c r="CV10" s="133"/>
      <c r="CW10" s="133"/>
      <c r="CX10" s="133"/>
      <c r="CY10" s="133"/>
      <c r="CZ10" s="133"/>
      <c r="DA10" s="133"/>
      <c r="DB10" s="133"/>
      <c r="DC10" s="133"/>
      <c r="DD10" s="133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33"/>
      <c r="DP10" s="133"/>
      <c r="DQ10" s="133"/>
      <c r="DR10" s="133"/>
      <c r="DS10" s="133"/>
      <c r="DT10" s="133"/>
      <c r="DU10" s="133"/>
      <c r="DV10" s="133"/>
      <c r="DW10" s="133"/>
      <c r="DX10" s="133"/>
      <c r="DY10" s="133"/>
      <c r="DZ10" s="133"/>
      <c r="EA10" s="133"/>
      <c r="EB10" s="133"/>
      <c r="EC10" s="133"/>
      <c r="ED10" s="133"/>
      <c r="EE10" s="133"/>
      <c r="EF10" s="133"/>
      <c r="EG10" s="133"/>
      <c r="EH10" s="133"/>
      <c r="EI10" s="133"/>
      <c r="EJ10" s="133"/>
      <c r="EK10" s="133"/>
      <c r="EL10" s="133"/>
      <c r="EM10" s="133"/>
      <c r="EN10" s="133"/>
      <c r="EO10" s="133"/>
      <c r="EP10" s="133"/>
      <c r="EQ10" s="133"/>
      <c r="ER10" s="133"/>
      <c r="ES10" s="133"/>
      <c r="ET10" s="133">
        <f t="shared" si="39"/>
        <v>0</v>
      </c>
    </row>
    <row r="11" spans="1:150" ht="12" customHeight="1">
      <c r="A11" s="402">
        <v>5</v>
      </c>
      <c r="B11" s="406" t="s">
        <v>1066</v>
      </c>
      <c r="C11" s="400" t="s">
        <v>1067</v>
      </c>
      <c r="D11" s="401" t="s">
        <v>24</v>
      </c>
      <c r="E11" s="398" t="s">
        <v>422</v>
      </c>
      <c r="F11" s="399">
        <v>109.18</v>
      </c>
      <c r="G11" s="399">
        <f>AVERAGE(16.5,17,17.5)</f>
        <v>17</v>
      </c>
      <c r="H11" s="482">
        <f>F11*G11*365</f>
        <v>677461.9</v>
      </c>
      <c r="I11" s="129">
        <v>166874.81</v>
      </c>
      <c r="J11" s="131">
        <f>ROUND(16.5*F11*365/4,0)</f>
        <v>164384</v>
      </c>
      <c r="K11" s="133">
        <f>J11</f>
        <v>164384</v>
      </c>
      <c r="L11" s="133">
        <f>ROUND(17*365*F11/4,0)</f>
        <v>169365</v>
      </c>
      <c r="M11" s="133">
        <f>L11</f>
        <v>169365</v>
      </c>
      <c r="N11" s="133">
        <f>M11</f>
        <v>169365</v>
      </c>
      <c r="O11" s="133">
        <f>N11</f>
        <v>169365</v>
      </c>
      <c r="P11" s="133">
        <f>ROUND(17.5*365*F11/4,0)</f>
        <v>174347</v>
      </c>
      <c r="Q11" s="133">
        <f>P11</f>
        <v>174347</v>
      </c>
      <c r="R11" s="133">
        <f>Q11</f>
        <v>174347</v>
      </c>
      <c r="S11" s="132">
        <f>R11</f>
        <v>174347</v>
      </c>
      <c r="T11" s="133">
        <f>S11</f>
        <v>174347</v>
      </c>
      <c r="U11" s="133">
        <f>T11</f>
        <v>174347</v>
      </c>
      <c r="V11" s="133">
        <f>ROUND(U11*(1+取值表!$D$6)*取值表!$H$6,0)</f>
        <v>172922</v>
      </c>
      <c r="W11" s="133">
        <f>V11</f>
        <v>172922</v>
      </c>
      <c r="X11" s="133">
        <f>W11</f>
        <v>172922</v>
      </c>
      <c r="Y11" s="133">
        <f>X11</f>
        <v>172922</v>
      </c>
      <c r="Z11" s="133">
        <f>ROUND(Y11*(1+取值表!$D$6)*取值表!$H$6,0)</f>
        <v>171509</v>
      </c>
      <c r="AA11" s="133">
        <f t="shared" ref="AA11:AC11" si="222">Z11</f>
        <v>171509</v>
      </c>
      <c r="AB11" s="133">
        <f t="shared" si="222"/>
        <v>171509</v>
      </c>
      <c r="AC11" s="133">
        <f t="shared" si="222"/>
        <v>171509</v>
      </c>
      <c r="AD11" s="133">
        <f>ROUND(AC11*(1+取值表!$D$6)*取值表!$H$6,0)</f>
        <v>170108</v>
      </c>
      <c r="AE11" s="133">
        <f t="shared" ref="AE11:AG11" si="223">AD11</f>
        <v>170108</v>
      </c>
      <c r="AF11" s="133">
        <f t="shared" si="223"/>
        <v>170108</v>
      </c>
      <c r="AG11" s="133">
        <f t="shared" si="223"/>
        <v>170108</v>
      </c>
      <c r="AH11" s="133">
        <f>ROUND(AG11*(1+取值表!$D$6)*取值表!$H$6,0)</f>
        <v>168718</v>
      </c>
      <c r="AI11" s="133">
        <f t="shared" ref="AI11:AK11" si="224">AH11</f>
        <v>168718</v>
      </c>
      <c r="AJ11" s="133">
        <f t="shared" si="224"/>
        <v>168718</v>
      </c>
      <c r="AK11" s="133">
        <f t="shared" si="224"/>
        <v>168718</v>
      </c>
      <c r="AL11" s="133">
        <f>ROUND(AK11*(1+取值表!$D$6)*取值表!$H$6,0)</f>
        <v>167339</v>
      </c>
      <c r="AM11" s="133">
        <f t="shared" ref="AM11:AO11" si="225">AL11</f>
        <v>167339</v>
      </c>
      <c r="AN11" s="133">
        <f t="shared" si="225"/>
        <v>167339</v>
      </c>
      <c r="AO11" s="133">
        <f t="shared" si="225"/>
        <v>167339</v>
      </c>
      <c r="AP11" s="133">
        <f>ROUND(AO11*(1+取值表!$D$6)*取值表!$H$6,0)</f>
        <v>165972</v>
      </c>
      <c r="AQ11" s="133">
        <f t="shared" ref="AQ11:AS11" si="226">AP11</f>
        <v>165972</v>
      </c>
      <c r="AR11" s="133">
        <f t="shared" si="226"/>
        <v>165972</v>
      </c>
      <c r="AS11" s="133">
        <f t="shared" si="226"/>
        <v>165972</v>
      </c>
      <c r="AT11" s="133">
        <f>ROUND(AS11*(1+取值表!$D$6)*取值表!$H$6,0)</f>
        <v>164616</v>
      </c>
      <c r="AU11" s="133">
        <f t="shared" ref="AU11:AW11" si="227">AT11</f>
        <v>164616</v>
      </c>
      <c r="AV11" s="133">
        <f t="shared" si="227"/>
        <v>164616</v>
      </c>
      <c r="AW11" s="133">
        <f t="shared" si="227"/>
        <v>164616</v>
      </c>
      <c r="AX11" s="133">
        <f>ROUND(AW11*(1+取值表!$D$6)*取值表!$H$6,0)</f>
        <v>163271</v>
      </c>
      <c r="AY11" s="133">
        <f t="shared" ref="AY11:BA11" si="228">AX11</f>
        <v>163271</v>
      </c>
      <c r="AZ11" s="133">
        <f t="shared" si="228"/>
        <v>163271</v>
      </c>
      <c r="BA11" s="133">
        <f t="shared" si="228"/>
        <v>163271</v>
      </c>
      <c r="BB11" s="133">
        <f>ROUND(BA11*(1+取值表!$D$6)*取值表!$H$6,0)</f>
        <v>161937</v>
      </c>
      <c r="BC11" s="133">
        <f t="shared" ref="BC11:BE11" si="229">BB11</f>
        <v>161937</v>
      </c>
      <c r="BD11" s="133">
        <f t="shared" si="229"/>
        <v>161937</v>
      </c>
      <c r="BE11" s="133">
        <f t="shared" si="229"/>
        <v>161937</v>
      </c>
      <c r="BF11" s="133">
        <f>ROUND(BE11*(1+取值表!$D$6)*取值表!$H$6,0)</f>
        <v>160614</v>
      </c>
      <c r="BG11" s="133">
        <f t="shared" ref="BG11:BI11" si="230">BF11</f>
        <v>160614</v>
      </c>
      <c r="BH11" s="133">
        <f t="shared" si="230"/>
        <v>160614</v>
      </c>
      <c r="BI11" s="133">
        <f t="shared" si="230"/>
        <v>160614</v>
      </c>
      <c r="BJ11" s="133">
        <f>ROUND(BI11*(1+取值表!$D$6)*取值表!$H$6,0)</f>
        <v>159302</v>
      </c>
      <c r="BK11" s="133">
        <f t="shared" ref="BK11:BM11" si="231">BJ11</f>
        <v>159302</v>
      </c>
      <c r="BL11" s="133">
        <f t="shared" si="231"/>
        <v>159302</v>
      </c>
      <c r="BM11" s="133">
        <f t="shared" si="231"/>
        <v>159302</v>
      </c>
      <c r="BN11" s="133">
        <f>ROUND(BM11*(1+取值表!$D$6)*取值表!$H$6,0)</f>
        <v>158000</v>
      </c>
      <c r="BO11" s="133">
        <f t="shared" ref="BO11:BQ11" si="232">BN11</f>
        <v>158000</v>
      </c>
      <c r="BP11" s="133">
        <f t="shared" si="232"/>
        <v>158000</v>
      </c>
      <c r="BQ11" s="133">
        <f t="shared" si="232"/>
        <v>158000</v>
      </c>
      <c r="BR11" s="133">
        <f>ROUND(BQ11*(1+取值表!$D$6)*取值表!$H$6,0)</f>
        <v>156709</v>
      </c>
      <c r="BS11" s="133">
        <f t="shared" ref="BS11:BU11" si="233">BR11</f>
        <v>156709</v>
      </c>
      <c r="BT11" s="133">
        <f t="shared" si="233"/>
        <v>156709</v>
      </c>
      <c r="BU11" s="133">
        <f t="shared" si="233"/>
        <v>156709</v>
      </c>
      <c r="BV11" s="133">
        <f>ROUND(BU11*(1+取值表!$D$6)*取值表!$H$6,0)</f>
        <v>155429</v>
      </c>
      <c r="BW11" s="133">
        <f t="shared" ref="BW11:BY11" si="234">BV11</f>
        <v>155429</v>
      </c>
      <c r="BX11" s="133">
        <f t="shared" si="234"/>
        <v>155429</v>
      </c>
      <c r="BY11" s="133">
        <f t="shared" si="234"/>
        <v>155429</v>
      </c>
      <c r="BZ11" s="133">
        <f>ROUND(BY11*(1+取值表!$D$6)*取值表!$H$6,0)</f>
        <v>154159</v>
      </c>
      <c r="CA11" s="133">
        <f t="shared" ref="CA11:CC11" si="235">BZ11</f>
        <v>154159</v>
      </c>
      <c r="CB11" s="133">
        <f t="shared" si="235"/>
        <v>154159</v>
      </c>
      <c r="CC11" s="133">
        <f t="shared" si="235"/>
        <v>154159</v>
      </c>
      <c r="CD11" s="133">
        <f>ROUND(CC11*(1+取值表!$D$6)*取值表!$H$6,0)</f>
        <v>152899</v>
      </c>
      <c r="CE11" s="133">
        <f t="shared" ref="CE11:CG11" si="236">CD11</f>
        <v>152899</v>
      </c>
      <c r="CF11" s="133">
        <f t="shared" si="236"/>
        <v>152899</v>
      </c>
      <c r="CG11" s="133">
        <f t="shared" si="236"/>
        <v>152899</v>
      </c>
      <c r="CH11" s="133">
        <f>ROUND(CG11*(1+取值表!$D$6)*取值表!$H$6,0)</f>
        <v>151650</v>
      </c>
      <c r="CI11" s="133">
        <f t="shared" ref="CI11:CK11" si="237">CH11</f>
        <v>151650</v>
      </c>
      <c r="CJ11" s="133">
        <f t="shared" si="237"/>
        <v>151650</v>
      </c>
      <c r="CK11" s="133">
        <f t="shared" si="237"/>
        <v>151650</v>
      </c>
      <c r="CL11" s="133">
        <f>ROUND(CK11*(1+取值表!$D$6)*取值表!$H$6,0)</f>
        <v>150411</v>
      </c>
      <c r="CM11" s="133">
        <f t="shared" ref="CM11:CO11" si="238">CL11</f>
        <v>150411</v>
      </c>
      <c r="CN11" s="133">
        <f t="shared" si="238"/>
        <v>150411</v>
      </c>
      <c r="CO11" s="133">
        <f t="shared" si="238"/>
        <v>150411</v>
      </c>
      <c r="CP11" s="133">
        <f>ROUND(CO11*(1+取值表!$D$6)*取值表!$H$6,0)</f>
        <v>149182</v>
      </c>
      <c r="CQ11" s="133">
        <f t="shared" ref="CQ11" si="239">CP11</f>
        <v>149182</v>
      </c>
      <c r="CR11" s="133">
        <f t="shared" ref="CR11" si="240">CQ11</f>
        <v>149182</v>
      </c>
      <c r="CS11" s="133">
        <f t="shared" ref="CS11" si="241">CR11</f>
        <v>149182</v>
      </c>
      <c r="CT11" s="133">
        <f>ROUND(CS11*(1+取值表!$D$6)*取值表!$H$6,0)</f>
        <v>147963</v>
      </c>
      <c r="CU11" s="133">
        <f t="shared" ref="CU11" si="242">CT11</f>
        <v>147963</v>
      </c>
      <c r="CV11" s="133">
        <f t="shared" ref="CV11" si="243">CU11</f>
        <v>147963</v>
      </c>
      <c r="CW11" s="133">
        <f t="shared" ref="CW11" si="244">CV11</f>
        <v>147963</v>
      </c>
      <c r="CX11" s="133">
        <f>ROUND(CW11*(1+取值表!$D$6)*取值表!$H$6,0)</f>
        <v>146754</v>
      </c>
      <c r="CY11" s="133">
        <f t="shared" ref="CY11" si="245">CX11</f>
        <v>146754</v>
      </c>
      <c r="CZ11" s="133">
        <f t="shared" ref="CZ11" si="246">CY11</f>
        <v>146754</v>
      </c>
      <c r="DA11" s="133">
        <f t="shared" ref="DA11" si="247">CZ11</f>
        <v>146754</v>
      </c>
      <c r="DB11" s="133">
        <f>ROUND(DA11*(1+取值表!$D$6)*取值表!$H$6,0)</f>
        <v>145555</v>
      </c>
      <c r="DC11" s="133">
        <f t="shared" ref="DC11" si="248">DB11</f>
        <v>145555</v>
      </c>
      <c r="DD11" s="133">
        <f t="shared" ref="DD11" si="249">DC11</f>
        <v>145555</v>
      </c>
      <c r="DE11" s="133">
        <f t="shared" ref="DE11" si="250">DD11</f>
        <v>145555</v>
      </c>
      <c r="DF11" s="133">
        <f>ROUND(DE11*(1+取值表!$D$6)*取值表!$H$6,0)</f>
        <v>144366</v>
      </c>
      <c r="DG11" s="133">
        <f t="shared" ref="DG11" si="251">DF11</f>
        <v>144366</v>
      </c>
      <c r="DH11" s="133">
        <f t="shared" ref="DH11" si="252">DG11</f>
        <v>144366</v>
      </c>
      <c r="DI11" s="133">
        <f t="shared" ref="DI11" si="253">DH11</f>
        <v>144366</v>
      </c>
      <c r="DJ11" s="133">
        <f>ROUND(DI11*(1+取值表!$D$6)*取值表!$H$6,0)</f>
        <v>143186</v>
      </c>
      <c r="DK11" s="133">
        <f t="shared" ref="DK11" si="254">DJ11</f>
        <v>143186</v>
      </c>
      <c r="DL11" s="133">
        <f t="shared" ref="DL11" si="255">DK11</f>
        <v>143186</v>
      </c>
      <c r="DM11" s="133">
        <f t="shared" ref="DM11" si="256">DL11</f>
        <v>143186</v>
      </c>
      <c r="DN11" s="133">
        <f>ROUND(DM11*(1+取值表!$D$6)*取值表!$H$6,0)</f>
        <v>142016</v>
      </c>
      <c r="DO11" s="133">
        <f t="shared" ref="DO11" si="257">DN11</f>
        <v>142016</v>
      </c>
      <c r="DP11" s="133">
        <f t="shared" ref="DP11" si="258">DO11</f>
        <v>142016</v>
      </c>
      <c r="DQ11" s="133">
        <f t="shared" ref="DQ11" si="259">DP11</f>
        <v>142016</v>
      </c>
      <c r="DR11" s="133">
        <f>ROUND(DQ11*(1+取值表!$D$6)*取值表!$H$6,0)</f>
        <v>140856</v>
      </c>
      <c r="DS11" s="133">
        <f t="shared" ref="DS11" si="260">DR11</f>
        <v>140856</v>
      </c>
      <c r="DT11" s="133">
        <f t="shared" ref="DT11" si="261">DS11</f>
        <v>140856</v>
      </c>
      <c r="DU11" s="133">
        <f t="shared" ref="DU11" si="262">DT11</f>
        <v>140856</v>
      </c>
      <c r="DV11" s="133">
        <f>ROUND(DU11*(1+取值表!$D$6)*取值表!$H$6,0)</f>
        <v>139705</v>
      </c>
      <c r="DW11" s="133">
        <f t="shared" ref="DW11" si="263">DV11</f>
        <v>139705</v>
      </c>
      <c r="DX11" s="133">
        <f t="shared" ref="DX11" si="264">DW11</f>
        <v>139705</v>
      </c>
      <c r="DY11" s="133">
        <f t="shared" ref="DY11" si="265">DX11</f>
        <v>139705</v>
      </c>
      <c r="DZ11" s="133">
        <f>ROUND(DY11*(1+取值表!$D$6)*取值表!$H$6,0)</f>
        <v>138563</v>
      </c>
      <c r="EA11" s="133">
        <f t="shared" ref="EA11" si="266">DZ11</f>
        <v>138563</v>
      </c>
      <c r="EB11" s="133">
        <f t="shared" ref="EB11" si="267">EA11</f>
        <v>138563</v>
      </c>
      <c r="EC11" s="133">
        <f t="shared" ref="EC11" si="268">EB11</f>
        <v>138563</v>
      </c>
      <c r="ED11" s="133">
        <f>ROUND(EC11*(1+取值表!$D$6)*取值表!$H$6,0)</f>
        <v>137431</v>
      </c>
      <c r="EE11" s="133">
        <f t="shared" ref="EE11" si="269">ED11</f>
        <v>137431</v>
      </c>
      <c r="EF11" s="133">
        <f t="shared" ref="EF11" si="270">EE11</f>
        <v>137431</v>
      </c>
      <c r="EG11" s="133">
        <f t="shared" ref="EG11" si="271">EF11</f>
        <v>137431</v>
      </c>
      <c r="EH11" s="133">
        <f>ROUND(EG11*(1+取值表!$D$6)*取值表!$H$6,0)</f>
        <v>136308</v>
      </c>
      <c r="EI11" s="133">
        <f t="shared" ref="EI11" si="272">EH11</f>
        <v>136308</v>
      </c>
      <c r="EJ11" s="133">
        <f t="shared" ref="EJ11" si="273">EI11</f>
        <v>136308</v>
      </c>
      <c r="EK11" s="133">
        <f t="shared" ref="EK11" si="274">EJ11</f>
        <v>136308</v>
      </c>
      <c r="EL11" s="133">
        <f>ROUND(EK11*(1+取值表!$D$6)*取值表!$H$6,0)</f>
        <v>135194</v>
      </c>
      <c r="EM11" s="133">
        <f t="shared" ref="EM11" si="275">EL11</f>
        <v>135194</v>
      </c>
      <c r="EN11" s="133">
        <f t="shared" ref="EN11" si="276">EM11</f>
        <v>135194</v>
      </c>
      <c r="EO11" s="133">
        <f t="shared" ref="EO11" si="277">EN11</f>
        <v>135194</v>
      </c>
      <c r="EP11" s="133">
        <f>ROUND(EO11*(1+取值表!$D$6)*取值表!$H$6,0)</f>
        <v>134089</v>
      </c>
      <c r="EQ11" s="133">
        <f t="shared" ref="EQ11" si="278">EP11</f>
        <v>134089</v>
      </c>
      <c r="ER11" s="133">
        <f t="shared" ref="ER11" si="279">EQ11</f>
        <v>134089</v>
      </c>
      <c r="ES11" s="133">
        <f t="shared" ref="ES11" si="280">ER11</f>
        <v>134089</v>
      </c>
      <c r="ET11" s="133">
        <f t="shared" si="39"/>
        <v>21599242</v>
      </c>
    </row>
    <row r="12" spans="1:150">
      <c r="A12" s="402"/>
      <c r="B12" s="406"/>
      <c r="C12" s="400"/>
      <c r="D12" s="401"/>
      <c r="E12" s="398"/>
      <c r="F12" s="399"/>
      <c r="G12" s="399"/>
      <c r="H12" s="482"/>
      <c r="I12" s="129"/>
      <c r="J12" s="131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>
        <f t="shared" si="39"/>
        <v>0</v>
      </c>
    </row>
    <row r="13" spans="1:150" ht="12" customHeight="1">
      <c r="A13" s="402">
        <v>6</v>
      </c>
      <c r="B13" s="406" t="s">
        <v>1068</v>
      </c>
      <c r="C13" s="400" t="s">
        <v>1069</v>
      </c>
      <c r="D13" s="401" t="s">
        <v>25</v>
      </c>
      <c r="E13" s="398" t="s">
        <v>422</v>
      </c>
      <c r="F13" s="399">
        <v>205.5</v>
      </c>
      <c r="G13" s="399">
        <f>AVERAGE(16)</f>
        <v>16</v>
      </c>
      <c r="H13" s="482">
        <f>F13*G13*365</f>
        <v>1200120</v>
      </c>
      <c r="I13" s="129">
        <v>274339.93</v>
      </c>
      <c r="J13" s="131">
        <f>ROUND(16*F13*365/4,0)</f>
        <v>300030</v>
      </c>
      <c r="K13" s="133">
        <f>J13</f>
        <v>300030</v>
      </c>
      <c r="L13" s="133">
        <f>K13</f>
        <v>300030</v>
      </c>
      <c r="M13" s="132">
        <f>L13</f>
        <v>300030</v>
      </c>
      <c r="N13" s="133">
        <f>ROUND(M13*(1+取值表!$D$6)*取值表!$H$6,0)</f>
        <v>297578</v>
      </c>
      <c r="O13" s="133">
        <f>N13</f>
        <v>297578</v>
      </c>
      <c r="P13" s="133">
        <f>O13</f>
        <v>297578</v>
      </c>
      <c r="Q13" s="133">
        <f>P13</f>
        <v>297578</v>
      </c>
      <c r="R13" s="133">
        <f>ROUND(Q13*(1+取值表!$D$6)*取值表!$H$6,0)</f>
        <v>295146</v>
      </c>
      <c r="S13" s="133">
        <f t="shared" ref="S13:U13" si="281">R13</f>
        <v>295146</v>
      </c>
      <c r="T13" s="133">
        <f t="shared" si="281"/>
        <v>295146</v>
      </c>
      <c r="U13" s="133">
        <f t="shared" si="281"/>
        <v>295146</v>
      </c>
      <c r="V13" s="133">
        <f>ROUND(U13*(1+取值表!$D$6)*取值表!$H$6,0)</f>
        <v>292734</v>
      </c>
      <c r="W13" s="133">
        <f t="shared" ref="W13:Y13" si="282">V13</f>
        <v>292734</v>
      </c>
      <c r="X13" s="133">
        <f t="shared" si="282"/>
        <v>292734</v>
      </c>
      <c r="Y13" s="133">
        <f t="shared" si="282"/>
        <v>292734</v>
      </c>
      <c r="Z13" s="133">
        <f>ROUND(Y13*(1+取值表!$D$6)*取值表!$H$6,0)</f>
        <v>290342</v>
      </c>
      <c r="AA13" s="133">
        <f t="shared" ref="AA13:AC13" si="283">Z13</f>
        <v>290342</v>
      </c>
      <c r="AB13" s="133">
        <f t="shared" si="283"/>
        <v>290342</v>
      </c>
      <c r="AC13" s="133">
        <f t="shared" si="283"/>
        <v>290342</v>
      </c>
      <c r="AD13" s="133">
        <f>ROUND(AC13*(1+取值表!$D$6)*取值表!$H$6,0)</f>
        <v>287970</v>
      </c>
      <c r="AE13" s="133">
        <f t="shared" ref="AE13:AG13" si="284">AD13</f>
        <v>287970</v>
      </c>
      <c r="AF13" s="133">
        <f t="shared" si="284"/>
        <v>287970</v>
      </c>
      <c r="AG13" s="133">
        <f t="shared" si="284"/>
        <v>287970</v>
      </c>
      <c r="AH13" s="133">
        <f>ROUND(AG13*(1+取值表!$D$6)*取值表!$H$6,0)</f>
        <v>285617</v>
      </c>
      <c r="AI13" s="133">
        <f t="shared" ref="AI13:AK13" si="285">AH13</f>
        <v>285617</v>
      </c>
      <c r="AJ13" s="133">
        <f t="shared" si="285"/>
        <v>285617</v>
      </c>
      <c r="AK13" s="133">
        <f t="shared" si="285"/>
        <v>285617</v>
      </c>
      <c r="AL13" s="133">
        <f>ROUND(AK13*(1+取值表!$D$6)*取值表!$H$6,0)</f>
        <v>283283</v>
      </c>
      <c r="AM13" s="133">
        <f t="shared" ref="AM13:AO13" si="286">AL13</f>
        <v>283283</v>
      </c>
      <c r="AN13" s="133">
        <f t="shared" si="286"/>
        <v>283283</v>
      </c>
      <c r="AO13" s="133">
        <f t="shared" si="286"/>
        <v>283283</v>
      </c>
      <c r="AP13" s="133">
        <f>ROUND(AO13*(1+取值表!$D$6)*取值表!$H$6,0)</f>
        <v>280968</v>
      </c>
      <c r="AQ13" s="133">
        <f t="shared" ref="AQ13:AS13" si="287">AP13</f>
        <v>280968</v>
      </c>
      <c r="AR13" s="133">
        <f t="shared" si="287"/>
        <v>280968</v>
      </c>
      <c r="AS13" s="133">
        <f t="shared" si="287"/>
        <v>280968</v>
      </c>
      <c r="AT13" s="133">
        <f>ROUND(AS13*(1+取值表!$D$6)*取值表!$H$6,0)</f>
        <v>278672</v>
      </c>
      <c r="AU13" s="133">
        <f t="shared" ref="AU13:AW13" si="288">AT13</f>
        <v>278672</v>
      </c>
      <c r="AV13" s="133">
        <f t="shared" si="288"/>
        <v>278672</v>
      </c>
      <c r="AW13" s="133">
        <f t="shared" si="288"/>
        <v>278672</v>
      </c>
      <c r="AX13" s="133">
        <f>ROUND(AW13*(1+取值表!$D$6)*取值表!$H$6,0)</f>
        <v>276395</v>
      </c>
      <c r="AY13" s="133">
        <f t="shared" ref="AY13:BA13" si="289">AX13</f>
        <v>276395</v>
      </c>
      <c r="AZ13" s="133">
        <f t="shared" si="289"/>
        <v>276395</v>
      </c>
      <c r="BA13" s="133">
        <f t="shared" si="289"/>
        <v>276395</v>
      </c>
      <c r="BB13" s="133">
        <f>ROUND(BA13*(1+取值表!$D$6)*取值表!$H$6,0)</f>
        <v>274137</v>
      </c>
      <c r="BC13" s="133">
        <f t="shared" ref="BC13:BE13" si="290">BB13</f>
        <v>274137</v>
      </c>
      <c r="BD13" s="133">
        <f t="shared" si="290"/>
        <v>274137</v>
      </c>
      <c r="BE13" s="133">
        <f t="shared" si="290"/>
        <v>274137</v>
      </c>
      <c r="BF13" s="133">
        <f>ROUND(BE13*(1+取值表!$D$6)*取值表!$H$6,0)</f>
        <v>271897</v>
      </c>
      <c r="BG13" s="133">
        <f t="shared" ref="BG13:BI13" si="291">BF13</f>
        <v>271897</v>
      </c>
      <c r="BH13" s="133">
        <f t="shared" si="291"/>
        <v>271897</v>
      </c>
      <c r="BI13" s="133">
        <f t="shared" si="291"/>
        <v>271897</v>
      </c>
      <c r="BJ13" s="133">
        <f>ROUND(BI13*(1+取值表!$D$6)*取值表!$H$6,0)</f>
        <v>269675</v>
      </c>
      <c r="BK13" s="133">
        <f t="shared" ref="BK13:BM13" si="292">BJ13</f>
        <v>269675</v>
      </c>
      <c r="BL13" s="133">
        <f t="shared" si="292"/>
        <v>269675</v>
      </c>
      <c r="BM13" s="133">
        <f t="shared" si="292"/>
        <v>269675</v>
      </c>
      <c r="BN13" s="133">
        <f>ROUND(BM13*(1+取值表!$D$6)*取值表!$H$6,0)</f>
        <v>267471</v>
      </c>
      <c r="BO13" s="133">
        <f t="shared" ref="BO13:BQ13" si="293">BN13</f>
        <v>267471</v>
      </c>
      <c r="BP13" s="133">
        <f t="shared" si="293"/>
        <v>267471</v>
      </c>
      <c r="BQ13" s="133">
        <f t="shared" si="293"/>
        <v>267471</v>
      </c>
      <c r="BR13" s="133">
        <f>ROUND(BQ13*(1+取值表!$D$6)*取值表!$H$6,0)</f>
        <v>265285</v>
      </c>
      <c r="BS13" s="133">
        <f t="shared" ref="BS13:BU13" si="294">BR13</f>
        <v>265285</v>
      </c>
      <c r="BT13" s="133">
        <f t="shared" si="294"/>
        <v>265285</v>
      </c>
      <c r="BU13" s="133">
        <f t="shared" si="294"/>
        <v>265285</v>
      </c>
      <c r="BV13" s="133">
        <f>ROUND(BU13*(1+取值表!$D$6)*取值表!$H$6,0)</f>
        <v>263117</v>
      </c>
      <c r="BW13" s="133">
        <f t="shared" ref="BW13:BY13" si="295">BV13</f>
        <v>263117</v>
      </c>
      <c r="BX13" s="133">
        <f t="shared" si="295"/>
        <v>263117</v>
      </c>
      <c r="BY13" s="133">
        <f t="shared" si="295"/>
        <v>263117</v>
      </c>
      <c r="BZ13" s="133">
        <f>ROUND(BY13*(1+取值表!$D$6)*取值表!$H$6,0)</f>
        <v>260967</v>
      </c>
      <c r="CA13" s="133">
        <f t="shared" ref="CA13:CC13" si="296">BZ13</f>
        <v>260967</v>
      </c>
      <c r="CB13" s="133">
        <f t="shared" si="296"/>
        <v>260967</v>
      </c>
      <c r="CC13" s="133">
        <f t="shared" si="296"/>
        <v>260967</v>
      </c>
      <c r="CD13" s="133">
        <f>ROUND(CC13*(1+取值表!$D$6)*取值表!$H$6,0)</f>
        <v>258835</v>
      </c>
      <c r="CE13" s="133">
        <f t="shared" ref="CE13:CG13" si="297">CD13</f>
        <v>258835</v>
      </c>
      <c r="CF13" s="133">
        <f t="shared" si="297"/>
        <v>258835</v>
      </c>
      <c r="CG13" s="133">
        <f t="shared" si="297"/>
        <v>258835</v>
      </c>
      <c r="CH13" s="133">
        <f>ROUND(CG13*(1+取值表!$D$6)*取值表!$H$6,0)</f>
        <v>256720</v>
      </c>
      <c r="CI13" s="133">
        <f t="shared" ref="CI13:CK13" si="298">CH13</f>
        <v>256720</v>
      </c>
      <c r="CJ13" s="133">
        <f t="shared" si="298"/>
        <v>256720</v>
      </c>
      <c r="CK13" s="133">
        <f t="shared" si="298"/>
        <v>256720</v>
      </c>
      <c r="CL13" s="133">
        <f>ROUND(CK13*(1+取值表!$D$6)*取值表!$H$6,0)</f>
        <v>254622</v>
      </c>
      <c r="CM13" s="133">
        <f t="shared" ref="CM13:CO13" si="299">CL13</f>
        <v>254622</v>
      </c>
      <c r="CN13" s="133">
        <f t="shared" si="299"/>
        <v>254622</v>
      </c>
      <c r="CO13" s="133">
        <f t="shared" si="299"/>
        <v>254622</v>
      </c>
      <c r="CP13" s="133">
        <f>ROUND(CO13*(1+取值表!$D$6)*取值表!$H$6,0)</f>
        <v>252541</v>
      </c>
      <c r="CQ13" s="133">
        <f t="shared" ref="CQ13" si="300">CP13</f>
        <v>252541</v>
      </c>
      <c r="CR13" s="133">
        <f t="shared" ref="CR13" si="301">CQ13</f>
        <v>252541</v>
      </c>
      <c r="CS13" s="133">
        <f t="shared" ref="CS13" si="302">CR13</f>
        <v>252541</v>
      </c>
      <c r="CT13" s="133">
        <f>ROUND(CS13*(1+取值表!$D$6)*取值表!$H$6,0)</f>
        <v>250477</v>
      </c>
      <c r="CU13" s="133">
        <f t="shared" ref="CU13" si="303">CT13</f>
        <v>250477</v>
      </c>
      <c r="CV13" s="133">
        <f t="shared" ref="CV13" si="304">CU13</f>
        <v>250477</v>
      </c>
      <c r="CW13" s="133">
        <f t="shared" ref="CW13" si="305">CV13</f>
        <v>250477</v>
      </c>
      <c r="CX13" s="133">
        <f>ROUND(CW13*(1+取值表!$D$6)*取值表!$H$6,0)</f>
        <v>248430</v>
      </c>
      <c r="CY13" s="133">
        <f t="shared" ref="CY13" si="306">CX13</f>
        <v>248430</v>
      </c>
      <c r="CZ13" s="133">
        <f t="shared" ref="CZ13" si="307">CY13</f>
        <v>248430</v>
      </c>
      <c r="DA13" s="133">
        <f t="shared" ref="DA13" si="308">CZ13</f>
        <v>248430</v>
      </c>
      <c r="DB13" s="133">
        <f>ROUND(DA13*(1+取值表!$D$6)*取值表!$H$6,0)</f>
        <v>246400</v>
      </c>
      <c r="DC13" s="133">
        <f t="shared" ref="DC13" si="309">DB13</f>
        <v>246400</v>
      </c>
      <c r="DD13" s="133">
        <f t="shared" ref="DD13" si="310">DC13</f>
        <v>246400</v>
      </c>
      <c r="DE13" s="133">
        <f t="shared" ref="DE13" si="311">DD13</f>
        <v>246400</v>
      </c>
      <c r="DF13" s="133">
        <f>ROUND(DE13*(1+取值表!$D$6)*取值表!$H$6,0)</f>
        <v>244387</v>
      </c>
      <c r="DG13" s="133">
        <f t="shared" ref="DG13" si="312">DF13</f>
        <v>244387</v>
      </c>
      <c r="DH13" s="133">
        <f t="shared" ref="DH13" si="313">DG13</f>
        <v>244387</v>
      </c>
      <c r="DI13" s="133">
        <f t="shared" ref="DI13" si="314">DH13</f>
        <v>244387</v>
      </c>
      <c r="DJ13" s="133">
        <f>ROUND(DI13*(1+取值表!$D$6)*取值表!$H$6,0)</f>
        <v>242390</v>
      </c>
      <c r="DK13" s="133">
        <f t="shared" ref="DK13" si="315">DJ13</f>
        <v>242390</v>
      </c>
      <c r="DL13" s="133">
        <f t="shared" ref="DL13" si="316">DK13</f>
        <v>242390</v>
      </c>
      <c r="DM13" s="133">
        <f t="shared" ref="DM13" si="317">DL13</f>
        <v>242390</v>
      </c>
      <c r="DN13" s="133">
        <f>ROUND(DM13*(1+取值表!$D$6)*取值表!$H$6,0)</f>
        <v>240409</v>
      </c>
      <c r="DO13" s="133">
        <f t="shared" ref="DO13" si="318">DN13</f>
        <v>240409</v>
      </c>
      <c r="DP13" s="133">
        <f t="shared" ref="DP13" si="319">DO13</f>
        <v>240409</v>
      </c>
      <c r="DQ13" s="133">
        <f t="shared" ref="DQ13" si="320">DP13</f>
        <v>240409</v>
      </c>
      <c r="DR13" s="133">
        <f>ROUND(DQ13*(1+取值表!$D$6)*取值表!$H$6,0)</f>
        <v>238445</v>
      </c>
      <c r="DS13" s="133">
        <f t="shared" ref="DS13" si="321">DR13</f>
        <v>238445</v>
      </c>
      <c r="DT13" s="133">
        <f t="shared" ref="DT13" si="322">DS13</f>
        <v>238445</v>
      </c>
      <c r="DU13" s="133">
        <f t="shared" ref="DU13" si="323">DT13</f>
        <v>238445</v>
      </c>
      <c r="DV13" s="133">
        <f>ROUND(DU13*(1+取值表!$D$6)*取值表!$H$6,0)</f>
        <v>236497</v>
      </c>
      <c r="DW13" s="133">
        <f t="shared" ref="DW13" si="324">DV13</f>
        <v>236497</v>
      </c>
      <c r="DX13" s="133">
        <f t="shared" ref="DX13" si="325">DW13</f>
        <v>236497</v>
      </c>
      <c r="DY13" s="133">
        <f t="shared" ref="DY13" si="326">DX13</f>
        <v>236497</v>
      </c>
      <c r="DZ13" s="133">
        <f>ROUND(DY13*(1+取值表!$D$6)*取值表!$H$6,0)</f>
        <v>234565</v>
      </c>
      <c r="EA13" s="133">
        <f t="shared" ref="EA13" si="327">DZ13</f>
        <v>234565</v>
      </c>
      <c r="EB13" s="133">
        <f t="shared" ref="EB13" si="328">EA13</f>
        <v>234565</v>
      </c>
      <c r="EC13" s="133">
        <f t="shared" ref="EC13" si="329">EB13</f>
        <v>234565</v>
      </c>
      <c r="ED13" s="133">
        <f>ROUND(EC13*(1+取值表!$D$6)*取值表!$H$6,0)</f>
        <v>232648</v>
      </c>
      <c r="EE13" s="133">
        <f t="shared" ref="EE13" si="330">ED13</f>
        <v>232648</v>
      </c>
      <c r="EF13" s="133">
        <f t="shared" ref="EF13" si="331">EE13</f>
        <v>232648</v>
      </c>
      <c r="EG13" s="133">
        <f t="shared" ref="EG13" si="332">EF13</f>
        <v>232648</v>
      </c>
      <c r="EH13" s="133">
        <f>ROUND(EG13*(1+取值表!$D$6)*取值表!$H$6,0)</f>
        <v>230747</v>
      </c>
      <c r="EI13" s="133">
        <f t="shared" ref="EI13" si="333">EH13</f>
        <v>230747</v>
      </c>
      <c r="EJ13" s="133">
        <f t="shared" ref="EJ13" si="334">EI13</f>
        <v>230747</v>
      </c>
      <c r="EK13" s="133">
        <f t="shared" ref="EK13" si="335">EJ13</f>
        <v>230747</v>
      </c>
      <c r="EL13" s="133">
        <f>ROUND(EK13*(1+取值表!$D$6)*取值表!$H$6,0)</f>
        <v>228862</v>
      </c>
      <c r="EM13" s="133">
        <f t="shared" ref="EM13" si="336">EL13</f>
        <v>228862</v>
      </c>
      <c r="EN13" s="133">
        <f t="shared" ref="EN13" si="337">EM13</f>
        <v>228862</v>
      </c>
      <c r="EO13" s="133">
        <f t="shared" ref="EO13" si="338">EN13</f>
        <v>228862</v>
      </c>
      <c r="EP13" s="133">
        <f>ROUND(EO13*(1+取值表!$D$6)*取值表!$H$6,0)</f>
        <v>226992</v>
      </c>
      <c r="EQ13" s="133">
        <f t="shared" ref="EQ13" si="339">EP13</f>
        <v>226992</v>
      </c>
      <c r="ER13" s="133">
        <f t="shared" ref="ER13" si="340">EQ13</f>
        <v>226992</v>
      </c>
      <c r="ES13" s="133">
        <f t="shared" ref="ES13" si="341">ER13</f>
        <v>226992</v>
      </c>
      <c r="ET13" s="133">
        <f t="shared" si="39"/>
        <v>36661004</v>
      </c>
    </row>
    <row r="14" spans="1:150">
      <c r="A14" s="402"/>
      <c r="B14" s="406"/>
      <c r="C14" s="400"/>
      <c r="D14" s="401"/>
      <c r="E14" s="398"/>
      <c r="F14" s="399"/>
      <c r="G14" s="399"/>
      <c r="H14" s="482"/>
      <c r="I14" s="129"/>
      <c r="J14" s="131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3"/>
      <c r="AA14" s="133"/>
      <c r="AB14" s="133"/>
      <c r="AC14" s="133"/>
      <c r="AD14" s="133"/>
      <c r="AE14" s="133"/>
      <c r="AF14" s="133"/>
      <c r="AG14" s="133"/>
      <c r="AH14" s="133"/>
      <c r="AI14" s="133"/>
      <c r="AJ14" s="133"/>
      <c r="AK14" s="133"/>
      <c r="AL14" s="133"/>
      <c r="AM14" s="133"/>
      <c r="AN14" s="133"/>
      <c r="AO14" s="133"/>
      <c r="AP14" s="133"/>
      <c r="AQ14" s="133"/>
      <c r="AR14" s="133"/>
      <c r="AS14" s="133"/>
      <c r="AT14" s="133"/>
      <c r="AU14" s="133"/>
      <c r="AV14" s="133"/>
      <c r="AW14" s="133"/>
      <c r="AX14" s="133"/>
      <c r="AY14" s="133"/>
      <c r="AZ14" s="133"/>
      <c r="BA14" s="133"/>
      <c r="BB14" s="133"/>
      <c r="BC14" s="133"/>
      <c r="BD14" s="133"/>
      <c r="BE14" s="133"/>
      <c r="BF14" s="133"/>
      <c r="BG14" s="133"/>
      <c r="BH14" s="133"/>
      <c r="BI14" s="133"/>
      <c r="BJ14" s="133"/>
      <c r="BK14" s="133"/>
      <c r="BL14" s="133"/>
      <c r="BM14" s="133"/>
      <c r="BN14" s="133"/>
      <c r="BO14" s="133"/>
      <c r="BP14" s="133"/>
      <c r="BQ14" s="133"/>
      <c r="BR14" s="133"/>
      <c r="BS14" s="133"/>
      <c r="BT14" s="133"/>
      <c r="BU14" s="133"/>
      <c r="BV14" s="133"/>
      <c r="BW14" s="133"/>
      <c r="BX14" s="133"/>
      <c r="BY14" s="133"/>
      <c r="BZ14" s="133"/>
      <c r="CA14" s="133"/>
      <c r="CB14" s="133"/>
      <c r="CC14" s="133"/>
      <c r="CD14" s="133"/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3"/>
      <c r="CT14" s="133"/>
      <c r="CU14" s="133"/>
      <c r="CV14" s="133"/>
      <c r="CW14" s="133"/>
      <c r="CX14" s="133"/>
      <c r="CY14" s="133"/>
      <c r="CZ14" s="133"/>
      <c r="DA14" s="133"/>
      <c r="DB14" s="133"/>
      <c r="DC14" s="133"/>
      <c r="DD14" s="133"/>
      <c r="DE14" s="133"/>
      <c r="DF14" s="133"/>
      <c r="DG14" s="133"/>
      <c r="DH14" s="133"/>
      <c r="DI14" s="133"/>
      <c r="DJ14" s="133"/>
      <c r="DK14" s="133"/>
      <c r="DL14" s="133"/>
      <c r="DM14" s="133"/>
      <c r="DN14" s="133"/>
      <c r="DO14" s="133"/>
      <c r="DP14" s="133"/>
      <c r="DQ14" s="133"/>
      <c r="DR14" s="133"/>
      <c r="DS14" s="133"/>
      <c r="DT14" s="133"/>
      <c r="DU14" s="133"/>
      <c r="DV14" s="133"/>
      <c r="DW14" s="133"/>
      <c r="DX14" s="133"/>
      <c r="DY14" s="133"/>
      <c r="DZ14" s="133"/>
      <c r="EA14" s="133"/>
      <c r="EB14" s="133"/>
      <c r="EC14" s="133"/>
      <c r="ED14" s="133"/>
      <c r="EE14" s="133"/>
      <c r="EF14" s="133"/>
      <c r="EG14" s="133"/>
      <c r="EH14" s="133"/>
      <c r="EI14" s="133"/>
      <c r="EJ14" s="133"/>
      <c r="EK14" s="133"/>
      <c r="EL14" s="133"/>
      <c r="EM14" s="133"/>
      <c r="EN14" s="133"/>
      <c r="EO14" s="133"/>
      <c r="EP14" s="133"/>
      <c r="EQ14" s="133"/>
      <c r="ER14" s="133"/>
      <c r="ES14" s="133"/>
      <c r="ET14" s="133">
        <f t="shared" si="39"/>
        <v>0</v>
      </c>
    </row>
    <row r="15" spans="1:150" ht="12" customHeight="1">
      <c r="A15" s="402">
        <v>7</v>
      </c>
      <c r="B15" s="406" t="s">
        <v>1070</v>
      </c>
      <c r="C15" s="400" t="s">
        <v>1071</v>
      </c>
      <c r="D15" s="401" t="s">
        <v>26</v>
      </c>
      <c r="E15" s="398" t="s">
        <v>422</v>
      </c>
      <c r="F15" s="399">
        <v>147.49</v>
      </c>
      <c r="G15" s="399">
        <f>AVERAGE(17.5)</f>
        <v>17.5</v>
      </c>
      <c r="H15" s="482">
        <f>F15*G15*365</f>
        <v>942092.37500000012</v>
      </c>
      <c r="I15" s="129">
        <v>220449.62</v>
      </c>
      <c r="J15" s="131">
        <f>ROUND(17.5*F15*365/4,0)</f>
        <v>235523</v>
      </c>
      <c r="K15" s="133">
        <f>J15</f>
        <v>235523</v>
      </c>
      <c r="L15" s="132">
        <f>K15</f>
        <v>235523</v>
      </c>
      <c r="M15" s="133">
        <f>L15</f>
        <v>235523</v>
      </c>
      <c r="N15" s="133">
        <f>ROUND(M15*(1+取值表!$D$6)*取值表!$H$6,0)</f>
        <v>233599</v>
      </c>
      <c r="O15" s="133">
        <f>N15</f>
        <v>233599</v>
      </c>
      <c r="P15" s="133">
        <f>O15</f>
        <v>233599</v>
      </c>
      <c r="Q15" s="133">
        <f>P15</f>
        <v>233599</v>
      </c>
      <c r="R15" s="133">
        <f>ROUND(Q15*(1+取值表!$D$6)*取值表!$H$6,0)</f>
        <v>231690</v>
      </c>
      <c r="S15" s="133">
        <f t="shared" ref="S15:U15" si="342">R15</f>
        <v>231690</v>
      </c>
      <c r="T15" s="133">
        <f t="shared" si="342"/>
        <v>231690</v>
      </c>
      <c r="U15" s="133">
        <f t="shared" si="342"/>
        <v>231690</v>
      </c>
      <c r="V15" s="133">
        <f>ROUND(U15*(1+取值表!$D$6)*取值表!$H$6,0)</f>
        <v>229797</v>
      </c>
      <c r="W15" s="133">
        <f t="shared" ref="W15:Y15" si="343">V15</f>
        <v>229797</v>
      </c>
      <c r="X15" s="133">
        <f t="shared" si="343"/>
        <v>229797</v>
      </c>
      <c r="Y15" s="133">
        <f t="shared" si="343"/>
        <v>229797</v>
      </c>
      <c r="Z15" s="133">
        <f>ROUND(Y15*(1+取值表!$D$6)*取值表!$H$6,0)</f>
        <v>227919</v>
      </c>
      <c r="AA15" s="133">
        <f t="shared" ref="AA15:AC15" si="344">Z15</f>
        <v>227919</v>
      </c>
      <c r="AB15" s="133">
        <f t="shared" si="344"/>
        <v>227919</v>
      </c>
      <c r="AC15" s="133">
        <f t="shared" si="344"/>
        <v>227919</v>
      </c>
      <c r="AD15" s="133">
        <f>ROUND(AC15*(1+取值表!$D$6)*取值表!$H$6,0)</f>
        <v>226057</v>
      </c>
      <c r="AE15" s="133">
        <f t="shared" ref="AE15:AG15" si="345">AD15</f>
        <v>226057</v>
      </c>
      <c r="AF15" s="133">
        <f t="shared" si="345"/>
        <v>226057</v>
      </c>
      <c r="AG15" s="133">
        <f t="shared" si="345"/>
        <v>226057</v>
      </c>
      <c r="AH15" s="133">
        <f>ROUND(AG15*(1+取值表!$D$6)*取值表!$H$6,0)</f>
        <v>224210</v>
      </c>
      <c r="AI15" s="133">
        <f t="shared" ref="AI15:AK15" si="346">AH15</f>
        <v>224210</v>
      </c>
      <c r="AJ15" s="133">
        <f t="shared" si="346"/>
        <v>224210</v>
      </c>
      <c r="AK15" s="133">
        <f t="shared" si="346"/>
        <v>224210</v>
      </c>
      <c r="AL15" s="133">
        <f>ROUND(AK15*(1+取值表!$D$6)*取值表!$H$6,0)</f>
        <v>222378</v>
      </c>
      <c r="AM15" s="133">
        <f t="shared" ref="AM15:AO15" si="347">AL15</f>
        <v>222378</v>
      </c>
      <c r="AN15" s="133">
        <f t="shared" si="347"/>
        <v>222378</v>
      </c>
      <c r="AO15" s="133">
        <f t="shared" si="347"/>
        <v>222378</v>
      </c>
      <c r="AP15" s="133">
        <f>ROUND(AO15*(1+取值表!$D$6)*取值表!$H$6,0)</f>
        <v>220561</v>
      </c>
      <c r="AQ15" s="133">
        <f t="shared" ref="AQ15:AS15" si="348">AP15</f>
        <v>220561</v>
      </c>
      <c r="AR15" s="133">
        <f t="shared" si="348"/>
        <v>220561</v>
      </c>
      <c r="AS15" s="133">
        <f t="shared" si="348"/>
        <v>220561</v>
      </c>
      <c r="AT15" s="133">
        <f>ROUND(AS15*(1+取值表!$D$6)*取值表!$H$6,0)</f>
        <v>218759</v>
      </c>
      <c r="AU15" s="133">
        <f t="shared" ref="AU15:AW15" si="349">AT15</f>
        <v>218759</v>
      </c>
      <c r="AV15" s="133">
        <f t="shared" si="349"/>
        <v>218759</v>
      </c>
      <c r="AW15" s="133">
        <f t="shared" si="349"/>
        <v>218759</v>
      </c>
      <c r="AX15" s="133">
        <f>ROUND(AW15*(1+取值表!$D$6)*取值表!$H$6,0)</f>
        <v>216972</v>
      </c>
      <c r="AY15" s="133">
        <f t="shared" ref="AY15:BA15" si="350">AX15</f>
        <v>216972</v>
      </c>
      <c r="AZ15" s="133">
        <f t="shared" si="350"/>
        <v>216972</v>
      </c>
      <c r="BA15" s="133">
        <f t="shared" si="350"/>
        <v>216972</v>
      </c>
      <c r="BB15" s="133">
        <f>ROUND(BA15*(1+取值表!$D$6)*取值表!$H$6,0)</f>
        <v>215199</v>
      </c>
      <c r="BC15" s="133">
        <f t="shared" ref="BC15:BE15" si="351">BB15</f>
        <v>215199</v>
      </c>
      <c r="BD15" s="133">
        <f t="shared" si="351"/>
        <v>215199</v>
      </c>
      <c r="BE15" s="133">
        <f t="shared" si="351"/>
        <v>215199</v>
      </c>
      <c r="BF15" s="133">
        <f>ROUND(BE15*(1+取值表!$D$6)*取值表!$H$6,0)</f>
        <v>213441</v>
      </c>
      <c r="BG15" s="133">
        <f t="shared" ref="BG15:BI15" si="352">BF15</f>
        <v>213441</v>
      </c>
      <c r="BH15" s="133">
        <f t="shared" si="352"/>
        <v>213441</v>
      </c>
      <c r="BI15" s="133">
        <f t="shared" si="352"/>
        <v>213441</v>
      </c>
      <c r="BJ15" s="133">
        <f>ROUND(BI15*(1+取值表!$D$6)*取值表!$H$6,0)</f>
        <v>211697</v>
      </c>
      <c r="BK15" s="133">
        <f t="shared" ref="BK15:BM15" si="353">BJ15</f>
        <v>211697</v>
      </c>
      <c r="BL15" s="133">
        <f t="shared" si="353"/>
        <v>211697</v>
      </c>
      <c r="BM15" s="133">
        <f t="shared" si="353"/>
        <v>211697</v>
      </c>
      <c r="BN15" s="133">
        <f>ROUND(BM15*(1+取值表!$D$6)*取值表!$H$6,0)</f>
        <v>209967</v>
      </c>
      <c r="BO15" s="133">
        <f t="shared" ref="BO15:BQ15" si="354">BN15</f>
        <v>209967</v>
      </c>
      <c r="BP15" s="133">
        <f t="shared" si="354"/>
        <v>209967</v>
      </c>
      <c r="BQ15" s="133">
        <f t="shared" si="354"/>
        <v>209967</v>
      </c>
      <c r="BR15" s="133">
        <f>ROUND(BQ15*(1+取值表!$D$6)*取值表!$H$6,0)</f>
        <v>208251</v>
      </c>
      <c r="BS15" s="133">
        <f t="shared" ref="BS15:BU15" si="355">BR15</f>
        <v>208251</v>
      </c>
      <c r="BT15" s="133">
        <f t="shared" si="355"/>
        <v>208251</v>
      </c>
      <c r="BU15" s="133">
        <f t="shared" si="355"/>
        <v>208251</v>
      </c>
      <c r="BV15" s="133">
        <f>ROUND(BU15*(1+取值表!$D$6)*取值表!$H$6,0)</f>
        <v>206549</v>
      </c>
      <c r="BW15" s="133">
        <f t="shared" ref="BW15:BY15" si="356">BV15</f>
        <v>206549</v>
      </c>
      <c r="BX15" s="133">
        <f t="shared" si="356"/>
        <v>206549</v>
      </c>
      <c r="BY15" s="133">
        <f t="shared" si="356"/>
        <v>206549</v>
      </c>
      <c r="BZ15" s="133">
        <f>ROUND(BY15*(1+取值表!$D$6)*取值表!$H$6,0)</f>
        <v>204861</v>
      </c>
      <c r="CA15" s="133">
        <f t="shared" ref="CA15:CC15" si="357">BZ15</f>
        <v>204861</v>
      </c>
      <c r="CB15" s="133">
        <f t="shared" si="357"/>
        <v>204861</v>
      </c>
      <c r="CC15" s="133">
        <f t="shared" si="357"/>
        <v>204861</v>
      </c>
      <c r="CD15" s="133">
        <f>ROUND(CC15*(1+取值表!$D$6)*取值表!$H$6,0)</f>
        <v>203187</v>
      </c>
      <c r="CE15" s="133">
        <f t="shared" ref="CE15:CG15" si="358">CD15</f>
        <v>203187</v>
      </c>
      <c r="CF15" s="133">
        <f t="shared" si="358"/>
        <v>203187</v>
      </c>
      <c r="CG15" s="133">
        <f t="shared" si="358"/>
        <v>203187</v>
      </c>
      <c r="CH15" s="133">
        <f>ROUND(CG15*(1+取值表!$D$6)*取值表!$H$6,0)</f>
        <v>201527</v>
      </c>
      <c r="CI15" s="133">
        <f t="shared" ref="CI15:CK15" si="359">CH15</f>
        <v>201527</v>
      </c>
      <c r="CJ15" s="133">
        <f t="shared" si="359"/>
        <v>201527</v>
      </c>
      <c r="CK15" s="133">
        <f t="shared" si="359"/>
        <v>201527</v>
      </c>
      <c r="CL15" s="133">
        <f>ROUND(CK15*(1+取值表!$D$6)*取值表!$H$6,0)</f>
        <v>199880</v>
      </c>
      <c r="CM15" s="133">
        <f t="shared" ref="CM15:CO15" si="360">CL15</f>
        <v>199880</v>
      </c>
      <c r="CN15" s="133">
        <f t="shared" si="360"/>
        <v>199880</v>
      </c>
      <c r="CO15" s="133">
        <f t="shared" si="360"/>
        <v>199880</v>
      </c>
      <c r="CP15" s="133">
        <f>ROUND(CO15*(1+取值表!$D$6)*取值表!$H$6,0)</f>
        <v>198247</v>
      </c>
      <c r="CQ15" s="133">
        <f t="shared" ref="CQ15" si="361">CP15</f>
        <v>198247</v>
      </c>
      <c r="CR15" s="133">
        <f t="shared" ref="CR15" si="362">CQ15</f>
        <v>198247</v>
      </c>
      <c r="CS15" s="133">
        <f t="shared" ref="CS15" si="363">CR15</f>
        <v>198247</v>
      </c>
      <c r="CT15" s="133">
        <f>ROUND(CS15*(1+取值表!$D$6)*取值表!$H$6,0)</f>
        <v>196627</v>
      </c>
      <c r="CU15" s="133">
        <f t="shared" ref="CU15" si="364">CT15</f>
        <v>196627</v>
      </c>
      <c r="CV15" s="133">
        <f t="shared" ref="CV15" si="365">CU15</f>
        <v>196627</v>
      </c>
      <c r="CW15" s="133">
        <f t="shared" ref="CW15" si="366">CV15</f>
        <v>196627</v>
      </c>
      <c r="CX15" s="133">
        <f>ROUND(CW15*(1+取值表!$D$6)*取值表!$H$6,0)</f>
        <v>195020</v>
      </c>
      <c r="CY15" s="133">
        <f t="shared" ref="CY15" si="367">CX15</f>
        <v>195020</v>
      </c>
      <c r="CZ15" s="133">
        <f t="shared" ref="CZ15" si="368">CY15</f>
        <v>195020</v>
      </c>
      <c r="DA15" s="133">
        <f t="shared" ref="DA15" si="369">CZ15</f>
        <v>195020</v>
      </c>
      <c r="DB15" s="133">
        <f>ROUND(DA15*(1+取值表!$D$6)*取值表!$H$6,0)</f>
        <v>193426</v>
      </c>
      <c r="DC15" s="133">
        <f t="shared" ref="DC15" si="370">DB15</f>
        <v>193426</v>
      </c>
      <c r="DD15" s="133">
        <f t="shared" ref="DD15" si="371">DC15</f>
        <v>193426</v>
      </c>
      <c r="DE15" s="133">
        <f t="shared" ref="DE15" si="372">DD15</f>
        <v>193426</v>
      </c>
      <c r="DF15" s="133">
        <f>ROUND(DE15*(1+取值表!$D$6)*取值表!$H$6,0)</f>
        <v>191846</v>
      </c>
      <c r="DG15" s="133">
        <f t="shared" ref="DG15" si="373">DF15</f>
        <v>191846</v>
      </c>
      <c r="DH15" s="133">
        <f t="shared" ref="DH15" si="374">DG15</f>
        <v>191846</v>
      </c>
      <c r="DI15" s="133">
        <f t="shared" ref="DI15" si="375">DH15</f>
        <v>191846</v>
      </c>
      <c r="DJ15" s="133">
        <f>ROUND(DI15*(1+取值表!$D$6)*取值表!$H$6,0)</f>
        <v>190278</v>
      </c>
      <c r="DK15" s="133">
        <f t="shared" ref="DK15" si="376">DJ15</f>
        <v>190278</v>
      </c>
      <c r="DL15" s="133">
        <f t="shared" ref="DL15" si="377">DK15</f>
        <v>190278</v>
      </c>
      <c r="DM15" s="133">
        <f t="shared" ref="DM15" si="378">DL15</f>
        <v>190278</v>
      </c>
      <c r="DN15" s="133">
        <f>ROUND(DM15*(1+取值表!$D$6)*取值表!$H$6,0)</f>
        <v>188723</v>
      </c>
      <c r="DO15" s="133">
        <f t="shared" ref="DO15" si="379">DN15</f>
        <v>188723</v>
      </c>
      <c r="DP15" s="133">
        <f t="shared" ref="DP15" si="380">DO15</f>
        <v>188723</v>
      </c>
      <c r="DQ15" s="133">
        <f t="shared" ref="DQ15" si="381">DP15</f>
        <v>188723</v>
      </c>
      <c r="DR15" s="133">
        <f>ROUND(DQ15*(1+取值表!$D$6)*取值表!$H$6,0)</f>
        <v>187181</v>
      </c>
      <c r="DS15" s="133">
        <f t="shared" ref="DS15" si="382">DR15</f>
        <v>187181</v>
      </c>
      <c r="DT15" s="133">
        <f t="shared" ref="DT15" si="383">DS15</f>
        <v>187181</v>
      </c>
      <c r="DU15" s="133">
        <f t="shared" ref="DU15" si="384">DT15</f>
        <v>187181</v>
      </c>
      <c r="DV15" s="133">
        <f>ROUND(DU15*(1+取值表!$D$6)*取值表!$H$6,0)</f>
        <v>185652</v>
      </c>
      <c r="DW15" s="133">
        <f t="shared" ref="DW15" si="385">DV15</f>
        <v>185652</v>
      </c>
      <c r="DX15" s="133">
        <f t="shared" ref="DX15" si="386">DW15</f>
        <v>185652</v>
      </c>
      <c r="DY15" s="133">
        <f t="shared" ref="DY15" si="387">DX15</f>
        <v>185652</v>
      </c>
      <c r="DZ15" s="133">
        <f>ROUND(DY15*(1+取值表!$D$6)*取值表!$H$6,0)</f>
        <v>184135</v>
      </c>
      <c r="EA15" s="133">
        <f t="shared" ref="EA15" si="388">DZ15</f>
        <v>184135</v>
      </c>
      <c r="EB15" s="133">
        <f t="shared" ref="EB15" si="389">EA15</f>
        <v>184135</v>
      </c>
      <c r="EC15" s="133">
        <f t="shared" ref="EC15" si="390">EB15</f>
        <v>184135</v>
      </c>
      <c r="ED15" s="133">
        <f>ROUND(EC15*(1+取值表!$D$6)*取值表!$H$6,0)</f>
        <v>182630</v>
      </c>
      <c r="EE15" s="133">
        <f t="shared" ref="EE15" si="391">ED15</f>
        <v>182630</v>
      </c>
      <c r="EF15" s="133">
        <f t="shared" ref="EF15" si="392">EE15</f>
        <v>182630</v>
      </c>
      <c r="EG15" s="133">
        <f t="shared" ref="EG15" si="393">EF15</f>
        <v>182630</v>
      </c>
      <c r="EH15" s="133">
        <f>ROUND(EG15*(1+取值表!$D$6)*取值表!$H$6,0)</f>
        <v>181138</v>
      </c>
      <c r="EI15" s="133">
        <f t="shared" ref="EI15" si="394">EH15</f>
        <v>181138</v>
      </c>
      <c r="EJ15" s="133">
        <f t="shared" ref="EJ15" si="395">EI15</f>
        <v>181138</v>
      </c>
      <c r="EK15" s="133">
        <f t="shared" ref="EK15" si="396">EJ15</f>
        <v>181138</v>
      </c>
      <c r="EL15" s="133">
        <f>ROUND(EK15*(1+取值表!$D$6)*取值表!$H$6,0)</f>
        <v>179658</v>
      </c>
      <c r="EM15" s="133">
        <f t="shared" ref="EM15" si="397">EL15</f>
        <v>179658</v>
      </c>
      <c r="EN15" s="133">
        <f t="shared" ref="EN15" si="398">EM15</f>
        <v>179658</v>
      </c>
      <c r="EO15" s="133">
        <f t="shared" ref="EO15" si="399">EN15</f>
        <v>179658</v>
      </c>
      <c r="EP15" s="133">
        <f>ROUND(EO15*(1+取值表!$D$6)*取值表!$H$6,0)</f>
        <v>178190</v>
      </c>
      <c r="EQ15" s="133">
        <f t="shared" ref="EQ15" si="400">EP15</f>
        <v>178190</v>
      </c>
      <c r="ER15" s="133">
        <f t="shared" ref="ER15" si="401">EQ15</f>
        <v>178190</v>
      </c>
      <c r="ES15" s="133">
        <f t="shared" ref="ES15" si="402">ER15</f>
        <v>178190</v>
      </c>
      <c r="ET15" s="133">
        <f t="shared" si="39"/>
        <v>28779100</v>
      </c>
    </row>
    <row r="16" spans="1:150">
      <c r="A16" s="402"/>
      <c r="B16" s="406"/>
      <c r="C16" s="400"/>
      <c r="D16" s="401"/>
      <c r="E16" s="398"/>
      <c r="F16" s="399"/>
      <c r="G16" s="399"/>
      <c r="H16" s="482"/>
      <c r="I16" s="129"/>
      <c r="J16" s="131"/>
      <c r="K16" s="133"/>
      <c r="L16" s="133"/>
      <c r="M16" s="133"/>
      <c r="N16" s="133"/>
      <c r="O16" s="133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  <c r="BV16" s="133"/>
      <c r="BW16" s="133"/>
      <c r="BX16" s="133"/>
      <c r="BY16" s="133"/>
      <c r="BZ16" s="133"/>
      <c r="CA16" s="133"/>
      <c r="CB16" s="133"/>
      <c r="CC16" s="133"/>
      <c r="CD16" s="133"/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3"/>
      <c r="CT16" s="133"/>
      <c r="CU16" s="133"/>
      <c r="CV16" s="133"/>
      <c r="CW16" s="133"/>
      <c r="CX16" s="133"/>
      <c r="CY16" s="133"/>
      <c r="CZ16" s="133"/>
      <c r="DA16" s="133"/>
      <c r="DB16" s="133"/>
      <c r="DC16" s="133"/>
      <c r="DD16" s="133"/>
      <c r="DE16" s="133"/>
      <c r="DF16" s="133"/>
      <c r="DG16" s="133"/>
      <c r="DH16" s="133"/>
      <c r="DI16" s="133"/>
      <c r="DJ16" s="133"/>
      <c r="DK16" s="133"/>
      <c r="DL16" s="133"/>
      <c r="DM16" s="133"/>
      <c r="DN16" s="133"/>
      <c r="DO16" s="133"/>
      <c r="DP16" s="133"/>
      <c r="DQ16" s="133"/>
      <c r="DR16" s="133"/>
      <c r="DS16" s="133"/>
      <c r="DT16" s="133"/>
      <c r="DU16" s="133"/>
      <c r="DV16" s="133"/>
      <c r="DW16" s="133"/>
      <c r="DX16" s="133"/>
      <c r="DY16" s="133"/>
      <c r="DZ16" s="133"/>
      <c r="EA16" s="133"/>
      <c r="EB16" s="133"/>
      <c r="EC16" s="133"/>
      <c r="ED16" s="133"/>
      <c r="EE16" s="133"/>
      <c r="EF16" s="133"/>
      <c r="EG16" s="133"/>
      <c r="EH16" s="133"/>
      <c r="EI16" s="133"/>
      <c r="EJ16" s="133"/>
      <c r="EK16" s="133"/>
      <c r="EL16" s="133"/>
      <c r="EM16" s="133"/>
      <c r="EN16" s="133"/>
      <c r="EO16" s="133"/>
      <c r="EP16" s="133"/>
      <c r="EQ16" s="133"/>
      <c r="ER16" s="133"/>
      <c r="ES16" s="133"/>
      <c r="ET16" s="133">
        <f t="shared" si="39"/>
        <v>0</v>
      </c>
    </row>
    <row r="17" spans="1:150" ht="12" customHeight="1">
      <c r="A17" s="402">
        <v>8</v>
      </c>
      <c r="B17" s="406" t="s">
        <v>1072</v>
      </c>
      <c r="C17" s="400" t="s">
        <v>1071</v>
      </c>
      <c r="D17" s="401" t="s">
        <v>26</v>
      </c>
      <c r="E17" s="398" t="s">
        <v>422</v>
      </c>
      <c r="F17" s="399">
        <v>177.48</v>
      </c>
      <c r="G17" s="399">
        <f>AVERAGE(17.5)</f>
        <v>17.5</v>
      </c>
      <c r="H17" s="482">
        <f>F17*G17*365</f>
        <v>1133653.4999999998</v>
      </c>
      <c r="I17" s="129">
        <v>265274.92</v>
      </c>
      <c r="J17" s="131">
        <f>ROUND(17.5*F17*365/4,0)</f>
        <v>283413</v>
      </c>
      <c r="K17" s="133">
        <f>J17</f>
        <v>283413</v>
      </c>
      <c r="L17" s="132">
        <f>K17</f>
        <v>283413</v>
      </c>
      <c r="M17" s="133">
        <f>L17</f>
        <v>283413</v>
      </c>
      <c r="N17" s="133">
        <f>ROUND(M17*(1+取值表!$D$6)*取值表!$H$6,0)</f>
        <v>281097</v>
      </c>
      <c r="O17" s="133">
        <f>N17</f>
        <v>281097</v>
      </c>
      <c r="P17" s="133">
        <f>O17</f>
        <v>281097</v>
      </c>
      <c r="Q17" s="133">
        <f>P17</f>
        <v>281097</v>
      </c>
      <c r="R17" s="133">
        <f>ROUND(Q17*(1+取值表!$D$6)*取值表!$H$6,0)</f>
        <v>278800</v>
      </c>
      <c r="S17" s="133">
        <f t="shared" ref="S17:U17" si="403">R17</f>
        <v>278800</v>
      </c>
      <c r="T17" s="133">
        <f t="shared" si="403"/>
        <v>278800</v>
      </c>
      <c r="U17" s="133">
        <f t="shared" si="403"/>
        <v>278800</v>
      </c>
      <c r="V17" s="133">
        <f>ROUND(U17*(1+取值表!$D$6)*取值表!$H$6,0)</f>
        <v>276522</v>
      </c>
      <c r="W17" s="133">
        <f t="shared" ref="W17:Y17" si="404">V17</f>
        <v>276522</v>
      </c>
      <c r="X17" s="133">
        <f t="shared" si="404"/>
        <v>276522</v>
      </c>
      <c r="Y17" s="133">
        <f t="shared" si="404"/>
        <v>276522</v>
      </c>
      <c r="Z17" s="133">
        <f>ROUND(Y17*(1+取值表!$D$6)*取值表!$H$6,0)</f>
        <v>274263</v>
      </c>
      <c r="AA17" s="133">
        <f t="shared" ref="AA17:AC17" si="405">Z17</f>
        <v>274263</v>
      </c>
      <c r="AB17" s="133">
        <f t="shared" si="405"/>
        <v>274263</v>
      </c>
      <c r="AC17" s="133">
        <f t="shared" si="405"/>
        <v>274263</v>
      </c>
      <c r="AD17" s="133">
        <f>ROUND(AC17*(1+取值表!$D$6)*取值表!$H$6,0)</f>
        <v>272022</v>
      </c>
      <c r="AE17" s="133">
        <f t="shared" ref="AE17:AG17" si="406">AD17</f>
        <v>272022</v>
      </c>
      <c r="AF17" s="133">
        <f t="shared" si="406"/>
        <v>272022</v>
      </c>
      <c r="AG17" s="133">
        <f t="shared" si="406"/>
        <v>272022</v>
      </c>
      <c r="AH17" s="133">
        <f>ROUND(AG17*(1+取值表!$D$6)*取值表!$H$6,0)</f>
        <v>269799</v>
      </c>
      <c r="AI17" s="133">
        <f t="shared" ref="AI17:AK17" si="407">AH17</f>
        <v>269799</v>
      </c>
      <c r="AJ17" s="133">
        <f t="shared" si="407"/>
        <v>269799</v>
      </c>
      <c r="AK17" s="133">
        <f t="shared" si="407"/>
        <v>269799</v>
      </c>
      <c r="AL17" s="133">
        <f>ROUND(AK17*(1+取值表!$D$6)*取值表!$H$6,0)</f>
        <v>267594</v>
      </c>
      <c r="AM17" s="133">
        <f t="shared" ref="AM17:AO17" si="408">AL17</f>
        <v>267594</v>
      </c>
      <c r="AN17" s="133">
        <f t="shared" si="408"/>
        <v>267594</v>
      </c>
      <c r="AO17" s="133">
        <f t="shared" si="408"/>
        <v>267594</v>
      </c>
      <c r="AP17" s="133">
        <f>ROUND(AO17*(1+取值表!$D$6)*取值表!$H$6,0)</f>
        <v>265407</v>
      </c>
      <c r="AQ17" s="133">
        <f t="shared" ref="AQ17:AS17" si="409">AP17</f>
        <v>265407</v>
      </c>
      <c r="AR17" s="133">
        <f t="shared" si="409"/>
        <v>265407</v>
      </c>
      <c r="AS17" s="133">
        <f t="shared" si="409"/>
        <v>265407</v>
      </c>
      <c r="AT17" s="133">
        <f>ROUND(AS17*(1+取值表!$D$6)*取值表!$H$6,0)</f>
        <v>263238</v>
      </c>
      <c r="AU17" s="133">
        <f t="shared" ref="AU17:AW17" si="410">AT17</f>
        <v>263238</v>
      </c>
      <c r="AV17" s="133">
        <f t="shared" si="410"/>
        <v>263238</v>
      </c>
      <c r="AW17" s="133">
        <f t="shared" si="410"/>
        <v>263238</v>
      </c>
      <c r="AX17" s="133">
        <f>ROUND(AW17*(1+取值表!$D$6)*取值表!$H$6,0)</f>
        <v>261087</v>
      </c>
      <c r="AY17" s="133">
        <f t="shared" ref="AY17:BA17" si="411">AX17</f>
        <v>261087</v>
      </c>
      <c r="AZ17" s="133">
        <f t="shared" si="411"/>
        <v>261087</v>
      </c>
      <c r="BA17" s="133">
        <f t="shared" si="411"/>
        <v>261087</v>
      </c>
      <c r="BB17" s="133">
        <f>ROUND(BA17*(1+取值表!$D$6)*取值表!$H$6,0)</f>
        <v>258954</v>
      </c>
      <c r="BC17" s="133">
        <f t="shared" ref="BC17:BE17" si="412">BB17</f>
        <v>258954</v>
      </c>
      <c r="BD17" s="133">
        <f t="shared" si="412"/>
        <v>258954</v>
      </c>
      <c r="BE17" s="133">
        <f t="shared" si="412"/>
        <v>258954</v>
      </c>
      <c r="BF17" s="133">
        <f>ROUND(BE17*(1+取值表!$D$6)*取值表!$H$6,0)</f>
        <v>256838</v>
      </c>
      <c r="BG17" s="133">
        <f t="shared" ref="BG17:BI17" si="413">BF17</f>
        <v>256838</v>
      </c>
      <c r="BH17" s="133">
        <f t="shared" si="413"/>
        <v>256838</v>
      </c>
      <c r="BI17" s="133">
        <f t="shared" si="413"/>
        <v>256838</v>
      </c>
      <c r="BJ17" s="133">
        <f>ROUND(BI17*(1+取值表!$D$6)*取值表!$H$6,0)</f>
        <v>254739</v>
      </c>
      <c r="BK17" s="133">
        <f t="shared" ref="BK17:BM17" si="414">BJ17</f>
        <v>254739</v>
      </c>
      <c r="BL17" s="133">
        <f t="shared" si="414"/>
        <v>254739</v>
      </c>
      <c r="BM17" s="133">
        <f t="shared" si="414"/>
        <v>254739</v>
      </c>
      <c r="BN17" s="133">
        <f>ROUND(BM17*(1+取值表!$D$6)*取值表!$H$6,0)</f>
        <v>252658</v>
      </c>
      <c r="BO17" s="133">
        <f t="shared" ref="BO17:BQ17" si="415">BN17</f>
        <v>252658</v>
      </c>
      <c r="BP17" s="133">
        <f t="shared" si="415"/>
        <v>252658</v>
      </c>
      <c r="BQ17" s="133">
        <f t="shared" si="415"/>
        <v>252658</v>
      </c>
      <c r="BR17" s="133">
        <f>ROUND(BQ17*(1+取值表!$D$6)*取值表!$H$6,0)</f>
        <v>250594</v>
      </c>
      <c r="BS17" s="133">
        <f t="shared" ref="BS17:BU17" si="416">BR17</f>
        <v>250594</v>
      </c>
      <c r="BT17" s="133">
        <f t="shared" si="416"/>
        <v>250594</v>
      </c>
      <c r="BU17" s="133">
        <f t="shared" si="416"/>
        <v>250594</v>
      </c>
      <c r="BV17" s="133">
        <f>ROUND(BU17*(1+取值表!$D$6)*取值表!$H$6,0)</f>
        <v>248546</v>
      </c>
      <c r="BW17" s="133">
        <f t="shared" ref="BW17:BY17" si="417">BV17</f>
        <v>248546</v>
      </c>
      <c r="BX17" s="133">
        <f t="shared" si="417"/>
        <v>248546</v>
      </c>
      <c r="BY17" s="133">
        <f t="shared" si="417"/>
        <v>248546</v>
      </c>
      <c r="BZ17" s="133">
        <f>ROUND(BY17*(1+取值表!$D$6)*取值表!$H$6,0)</f>
        <v>246515</v>
      </c>
      <c r="CA17" s="133">
        <f t="shared" ref="CA17:CC17" si="418">BZ17</f>
        <v>246515</v>
      </c>
      <c r="CB17" s="133">
        <f t="shared" si="418"/>
        <v>246515</v>
      </c>
      <c r="CC17" s="133">
        <f t="shared" si="418"/>
        <v>246515</v>
      </c>
      <c r="CD17" s="133">
        <f>ROUND(CC17*(1+取值表!$D$6)*取值表!$H$6,0)</f>
        <v>244501</v>
      </c>
      <c r="CE17" s="133">
        <f t="shared" ref="CE17:CG17" si="419">CD17</f>
        <v>244501</v>
      </c>
      <c r="CF17" s="133">
        <f t="shared" si="419"/>
        <v>244501</v>
      </c>
      <c r="CG17" s="133">
        <f t="shared" si="419"/>
        <v>244501</v>
      </c>
      <c r="CH17" s="133">
        <f>ROUND(CG17*(1+取值表!$D$6)*取值表!$H$6,0)</f>
        <v>242503</v>
      </c>
      <c r="CI17" s="133">
        <f t="shared" ref="CI17:CK17" si="420">CH17</f>
        <v>242503</v>
      </c>
      <c r="CJ17" s="133">
        <f t="shared" si="420"/>
        <v>242503</v>
      </c>
      <c r="CK17" s="133">
        <f t="shared" si="420"/>
        <v>242503</v>
      </c>
      <c r="CL17" s="133">
        <f>ROUND(CK17*(1+取值表!$D$6)*取值表!$H$6,0)</f>
        <v>240522</v>
      </c>
      <c r="CM17" s="133">
        <f t="shared" ref="CM17:CO17" si="421">CL17</f>
        <v>240522</v>
      </c>
      <c r="CN17" s="133">
        <f t="shared" si="421"/>
        <v>240522</v>
      </c>
      <c r="CO17" s="133">
        <f t="shared" si="421"/>
        <v>240522</v>
      </c>
      <c r="CP17" s="133">
        <f>ROUND(CO17*(1+取值表!$D$6)*取值表!$H$6,0)</f>
        <v>238557</v>
      </c>
      <c r="CQ17" s="133">
        <f t="shared" ref="CQ17" si="422">CP17</f>
        <v>238557</v>
      </c>
      <c r="CR17" s="133">
        <f t="shared" ref="CR17" si="423">CQ17</f>
        <v>238557</v>
      </c>
      <c r="CS17" s="133">
        <f t="shared" ref="CS17" si="424">CR17</f>
        <v>238557</v>
      </c>
      <c r="CT17" s="133">
        <f>ROUND(CS17*(1+取值表!$D$6)*取值表!$H$6,0)</f>
        <v>236608</v>
      </c>
      <c r="CU17" s="133">
        <f t="shared" ref="CU17" si="425">CT17</f>
        <v>236608</v>
      </c>
      <c r="CV17" s="133">
        <f t="shared" ref="CV17" si="426">CU17</f>
        <v>236608</v>
      </c>
      <c r="CW17" s="133">
        <f t="shared" ref="CW17" si="427">CV17</f>
        <v>236608</v>
      </c>
      <c r="CX17" s="133">
        <f>ROUND(CW17*(1+取值表!$D$6)*取值表!$H$6,0)</f>
        <v>234675</v>
      </c>
      <c r="CY17" s="133">
        <f t="shared" ref="CY17" si="428">CX17</f>
        <v>234675</v>
      </c>
      <c r="CZ17" s="133">
        <f t="shared" ref="CZ17" si="429">CY17</f>
        <v>234675</v>
      </c>
      <c r="DA17" s="133">
        <f t="shared" ref="DA17" si="430">CZ17</f>
        <v>234675</v>
      </c>
      <c r="DB17" s="133">
        <f>ROUND(DA17*(1+取值表!$D$6)*取值表!$H$6,0)</f>
        <v>232757</v>
      </c>
      <c r="DC17" s="133">
        <f t="shared" ref="DC17" si="431">DB17</f>
        <v>232757</v>
      </c>
      <c r="DD17" s="133">
        <f t="shared" ref="DD17" si="432">DC17</f>
        <v>232757</v>
      </c>
      <c r="DE17" s="133">
        <f t="shared" ref="DE17" si="433">DD17</f>
        <v>232757</v>
      </c>
      <c r="DF17" s="133">
        <f>ROUND(DE17*(1+取值表!$D$6)*取值表!$H$6,0)</f>
        <v>230855</v>
      </c>
      <c r="DG17" s="133">
        <f t="shared" ref="DG17" si="434">DF17</f>
        <v>230855</v>
      </c>
      <c r="DH17" s="133">
        <f t="shared" ref="DH17" si="435">DG17</f>
        <v>230855</v>
      </c>
      <c r="DI17" s="133">
        <f t="shared" ref="DI17" si="436">DH17</f>
        <v>230855</v>
      </c>
      <c r="DJ17" s="133">
        <f>ROUND(DI17*(1+取值表!$D$6)*取值表!$H$6,0)</f>
        <v>228969</v>
      </c>
      <c r="DK17" s="133">
        <f t="shared" ref="DK17" si="437">DJ17</f>
        <v>228969</v>
      </c>
      <c r="DL17" s="133">
        <f t="shared" ref="DL17" si="438">DK17</f>
        <v>228969</v>
      </c>
      <c r="DM17" s="133">
        <f t="shared" ref="DM17" si="439">DL17</f>
        <v>228969</v>
      </c>
      <c r="DN17" s="133">
        <f>ROUND(DM17*(1+取值表!$D$6)*取值表!$H$6,0)</f>
        <v>227098</v>
      </c>
      <c r="DO17" s="133">
        <f t="shared" ref="DO17" si="440">DN17</f>
        <v>227098</v>
      </c>
      <c r="DP17" s="133">
        <f t="shared" ref="DP17" si="441">DO17</f>
        <v>227098</v>
      </c>
      <c r="DQ17" s="133">
        <f t="shared" ref="DQ17" si="442">DP17</f>
        <v>227098</v>
      </c>
      <c r="DR17" s="133">
        <f>ROUND(DQ17*(1+取值表!$D$6)*取值表!$H$6,0)</f>
        <v>225242</v>
      </c>
      <c r="DS17" s="133">
        <f t="shared" ref="DS17" si="443">DR17</f>
        <v>225242</v>
      </c>
      <c r="DT17" s="133">
        <f t="shared" ref="DT17" si="444">DS17</f>
        <v>225242</v>
      </c>
      <c r="DU17" s="133">
        <f t="shared" ref="DU17" si="445">DT17</f>
        <v>225242</v>
      </c>
      <c r="DV17" s="133">
        <f>ROUND(DU17*(1+取值表!$D$6)*取值表!$H$6,0)</f>
        <v>223402</v>
      </c>
      <c r="DW17" s="133">
        <f t="shared" ref="DW17" si="446">DV17</f>
        <v>223402</v>
      </c>
      <c r="DX17" s="133">
        <f t="shared" ref="DX17" si="447">DW17</f>
        <v>223402</v>
      </c>
      <c r="DY17" s="133">
        <f t="shared" ref="DY17" si="448">DX17</f>
        <v>223402</v>
      </c>
      <c r="DZ17" s="133">
        <f>ROUND(DY17*(1+取值表!$D$6)*取值表!$H$6,0)</f>
        <v>221577</v>
      </c>
      <c r="EA17" s="133">
        <f t="shared" ref="EA17" si="449">DZ17</f>
        <v>221577</v>
      </c>
      <c r="EB17" s="133">
        <f t="shared" ref="EB17" si="450">EA17</f>
        <v>221577</v>
      </c>
      <c r="EC17" s="133">
        <f t="shared" ref="EC17" si="451">EB17</f>
        <v>221577</v>
      </c>
      <c r="ED17" s="133">
        <f>ROUND(EC17*(1+取值表!$D$6)*取值表!$H$6,0)</f>
        <v>219766</v>
      </c>
      <c r="EE17" s="133">
        <f t="shared" ref="EE17" si="452">ED17</f>
        <v>219766</v>
      </c>
      <c r="EF17" s="133">
        <f t="shared" ref="EF17" si="453">EE17</f>
        <v>219766</v>
      </c>
      <c r="EG17" s="133">
        <f t="shared" ref="EG17" si="454">EF17</f>
        <v>219766</v>
      </c>
      <c r="EH17" s="133">
        <f>ROUND(EG17*(1+取值表!$D$6)*取值表!$H$6,0)</f>
        <v>217970</v>
      </c>
      <c r="EI17" s="133">
        <f t="shared" ref="EI17" si="455">EH17</f>
        <v>217970</v>
      </c>
      <c r="EJ17" s="133">
        <f t="shared" ref="EJ17" si="456">EI17</f>
        <v>217970</v>
      </c>
      <c r="EK17" s="133">
        <f t="shared" ref="EK17" si="457">EJ17</f>
        <v>217970</v>
      </c>
      <c r="EL17" s="133">
        <f>ROUND(EK17*(1+取值表!$D$6)*取值表!$H$6,0)</f>
        <v>216189</v>
      </c>
      <c r="EM17" s="133">
        <f t="shared" ref="EM17" si="458">EL17</f>
        <v>216189</v>
      </c>
      <c r="EN17" s="133">
        <f t="shared" ref="EN17" si="459">EM17</f>
        <v>216189</v>
      </c>
      <c r="EO17" s="133">
        <f t="shared" ref="EO17" si="460">EN17</f>
        <v>216189</v>
      </c>
      <c r="EP17" s="133">
        <f>ROUND(EO17*(1+取值表!$D$6)*取值表!$H$6,0)</f>
        <v>214423</v>
      </c>
      <c r="EQ17" s="133">
        <f t="shared" ref="EQ17" si="461">EP17</f>
        <v>214423</v>
      </c>
      <c r="ER17" s="133">
        <f t="shared" ref="ER17" si="462">EQ17</f>
        <v>214423</v>
      </c>
      <c r="ES17" s="133">
        <f t="shared" ref="ES17" si="463">ER17</f>
        <v>214423</v>
      </c>
      <c r="ET17" s="133">
        <f t="shared" si="39"/>
        <v>34630800</v>
      </c>
    </row>
    <row r="18" spans="1:150">
      <c r="A18" s="402"/>
      <c r="B18" s="406"/>
      <c r="C18" s="400"/>
      <c r="D18" s="401"/>
      <c r="E18" s="398"/>
      <c r="F18" s="399"/>
      <c r="G18" s="399"/>
      <c r="H18" s="482"/>
      <c r="I18" s="129"/>
      <c r="J18" s="131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  <c r="BV18" s="133"/>
      <c r="BW18" s="133"/>
      <c r="BX18" s="133"/>
      <c r="BY18" s="133"/>
      <c r="BZ18" s="133"/>
      <c r="CA18" s="133"/>
      <c r="CB18" s="133"/>
      <c r="CC18" s="133"/>
      <c r="CD18" s="133"/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3"/>
      <c r="CT18" s="133"/>
      <c r="CU18" s="133"/>
      <c r="CV18" s="133"/>
      <c r="CW18" s="133"/>
      <c r="CX18" s="133"/>
      <c r="CY18" s="133"/>
      <c r="CZ18" s="133"/>
      <c r="DA18" s="133"/>
      <c r="DB18" s="133"/>
      <c r="DC18" s="133"/>
      <c r="DD18" s="133"/>
      <c r="DE18" s="133"/>
      <c r="DF18" s="133"/>
      <c r="DG18" s="133"/>
      <c r="DH18" s="133"/>
      <c r="DI18" s="133"/>
      <c r="DJ18" s="133"/>
      <c r="DK18" s="133"/>
      <c r="DL18" s="133"/>
      <c r="DM18" s="133"/>
      <c r="DN18" s="133"/>
      <c r="DO18" s="133"/>
      <c r="DP18" s="133"/>
      <c r="DQ18" s="133"/>
      <c r="DR18" s="133"/>
      <c r="DS18" s="133"/>
      <c r="DT18" s="133"/>
      <c r="DU18" s="133"/>
      <c r="DV18" s="133"/>
      <c r="DW18" s="133"/>
      <c r="DX18" s="133"/>
      <c r="DY18" s="133"/>
      <c r="DZ18" s="133"/>
      <c r="EA18" s="133"/>
      <c r="EB18" s="133"/>
      <c r="EC18" s="133"/>
      <c r="ED18" s="133"/>
      <c r="EE18" s="133"/>
      <c r="EF18" s="133"/>
      <c r="EG18" s="133"/>
      <c r="EH18" s="133"/>
      <c r="EI18" s="133"/>
      <c r="EJ18" s="133"/>
      <c r="EK18" s="133"/>
      <c r="EL18" s="133"/>
      <c r="EM18" s="133"/>
      <c r="EN18" s="133"/>
      <c r="EO18" s="133"/>
      <c r="EP18" s="133"/>
      <c r="EQ18" s="133"/>
      <c r="ER18" s="133"/>
      <c r="ES18" s="133"/>
      <c r="ET18" s="133">
        <f t="shared" si="39"/>
        <v>0</v>
      </c>
    </row>
    <row r="19" spans="1:150" ht="12" customHeight="1">
      <c r="A19" s="402">
        <v>9</v>
      </c>
      <c r="B19" s="406" t="s">
        <v>1073</v>
      </c>
      <c r="C19" s="400" t="s">
        <v>897</v>
      </c>
      <c r="D19" s="401" t="s">
        <v>27</v>
      </c>
      <c r="E19" s="398" t="s">
        <v>422</v>
      </c>
      <c r="F19" s="399">
        <v>210.9</v>
      </c>
      <c r="G19" s="399">
        <f>AVERAGE(14.5,14.5,15,15)</f>
        <v>14.75</v>
      </c>
      <c r="H19" s="482">
        <f>F19*G19*365</f>
        <v>1135432.875</v>
      </c>
      <c r="I19" s="129">
        <v>277122.59999999998</v>
      </c>
      <c r="J19" s="131">
        <f>ROUND(14.5*F19*365/4,0)</f>
        <v>279047</v>
      </c>
      <c r="K19" s="133">
        <f>J19</f>
        <v>279047</v>
      </c>
      <c r="L19" s="133">
        <f>K19</f>
        <v>279047</v>
      </c>
      <c r="M19" s="133">
        <f>L19</f>
        <v>279047</v>
      </c>
      <c r="N19" s="133">
        <f t="shared" ref="N19:U19" si="464">O19</f>
        <v>288669</v>
      </c>
      <c r="O19" s="133">
        <f t="shared" si="464"/>
        <v>288669</v>
      </c>
      <c r="P19" s="133">
        <f t="shared" si="464"/>
        <v>288669</v>
      </c>
      <c r="Q19" s="133">
        <f t="shared" si="464"/>
        <v>288669</v>
      </c>
      <c r="R19" s="133">
        <f t="shared" si="464"/>
        <v>288669</v>
      </c>
      <c r="S19" s="133">
        <f t="shared" si="464"/>
        <v>288669</v>
      </c>
      <c r="T19" s="133">
        <f t="shared" si="464"/>
        <v>288669</v>
      </c>
      <c r="U19" s="133">
        <f t="shared" si="464"/>
        <v>288669</v>
      </c>
      <c r="V19" s="132">
        <f>ROUND(15*F19*365/4,0)</f>
        <v>288669</v>
      </c>
      <c r="W19" s="133">
        <f>V19</f>
        <v>288669</v>
      </c>
      <c r="X19" s="133">
        <f>W19</f>
        <v>288669</v>
      </c>
      <c r="Y19" s="133">
        <f>X19</f>
        <v>288669</v>
      </c>
      <c r="Z19" s="133">
        <f>ROUND(Y19*(1+取值表!$D$6)*取值表!$H$6,0)</f>
        <v>286310</v>
      </c>
      <c r="AA19" s="133">
        <f>Z19</f>
        <v>286310</v>
      </c>
      <c r="AB19" s="133">
        <f>AA19</f>
        <v>286310</v>
      </c>
      <c r="AC19" s="133">
        <f>AB19</f>
        <v>286310</v>
      </c>
      <c r="AD19" s="133">
        <f>ROUND(AC19*(1+取值表!$D$6)*取值表!$H$6,0)</f>
        <v>283971</v>
      </c>
      <c r="AE19" s="133">
        <f t="shared" ref="AE19:AG19" si="465">AD19</f>
        <v>283971</v>
      </c>
      <c r="AF19" s="133">
        <f t="shared" si="465"/>
        <v>283971</v>
      </c>
      <c r="AG19" s="133">
        <f t="shared" si="465"/>
        <v>283971</v>
      </c>
      <c r="AH19" s="133">
        <f>ROUND(AG19*(1+取值表!$D$6)*取值表!$H$6,0)</f>
        <v>281651</v>
      </c>
      <c r="AI19" s="133">
        <f t="shared" ref="AI19:AK19" si="466">AH19</f>
        <v>281651</v>
      </c>
      <c r="AJ19" s="133">
        <f t="shared" si="466"/>
        <v>281651</v>
      </c>
      <c r="AK19" s="133">
        <f t="shared" si="466"/>
        <v>281651</v>
      </c>
      <c r="AL19" s="133">
        <f>ROUND(AK19*(1+取值表!$D$6)*取值表!$H$6,0)</f>
        <v>279350</v>
      </c>
      <c r="AM19" s="133">
        <f t="shared" ref="AM19:AO19" si="467">AL19</f>
        <v>279350</v>
      </c>
      <c r="AN19" s="133">
        <f t="shared" si="467"/>
        <v>279350</v>
      </c>
      <c r="AO19" s="133">
        <f t="shared" si="467"/>
        <v>279350</v>
      </c>
      <c r="AP19" s="133">
        <f>ROUND(AO19*(1+取值表!$D$6)*取值表!$H$6,0)</f>
        <v>277067</v>
      </c>
      <c r="AQ19" s="133">
        <f t="shared" ref="AQ19:AS19" si="468">AP19</f>
        <v>277067</v>
      </c>
      <c r="AR19" s="133">
        <f t="shared" si="468"/>
        <v>277067</v>
      </c>
      <c r="AS19" s="133">
        <f t="shared" si="468"/>
        <v>277067</v>
      </c>
      <c r="AT19" s="133">
        <f>ROUND(AS19*(1+取值表!$D$6)*取值表!$H$6,0)</f>
        <v>274803</v>
      </c>
      <c r="AU19" s="133">
        <f t="shared" ref="AU19:AW19" si="469">AT19</f>
        <v>274803</v>
      </c>
      <c r="AV19" s="133">
        <f t="shared" si="469"/>
        <v>274803</v>
      </c>
      <c r="AW19" s="133">
        <f t="shared" si="469"/>
        <v>274803</v>
      </c>
      <c r="AX19" s="133">
        <f>ROUND(AW19*(1+取值表!$D$6)*取值表!$H$6,0)</f>
        <v>272558</v>
      </c>
      <c r="AY19" s="133">
        <f t="shared" ref="AY19:BA19" si="470">AX19</f>
        <v>272558</v>
      </c>
      <c r="AZ19" s="133">
        <f t="shared" si="470"/>
        <v>272558</v>
      </c>
      <c r="BA19" s="133">
        <f t="shared" si="470"/>
        <v>272558</v>
      </c>
      <c r="BB19" s="133">
        <f>ROUND(BA19*(1+取值表!$D$6)*取值表!$H$6,0)</f>
        <v>270331</v>
      </c>
      <c r="BC19" s="133">
        <f t="shared" ref="BC19:BE19" si="471">BB19</f>
        <v>270331</v>
      </c>
      <c r="BD19" s="133">
        <f t="shared" si="471"/>
        <v>270331</v>
      </c>
      <c r="BE19" s="133">
        <f t="shared" si="471"/>
        <v>270331</v>
      </c>
      <c r="BF19" s="133">
        <f>ROUND(BE19*(1+取值表!$D$6)*取值表!$H$6,0)</f>
        <v>268122</v>
      </c>
      <c r="BG19" s="133">
        <f t="shared" ref="BG19:BI19" si="472">BF19</f>
        <v>268122</v>
      </c>
      <c r="BH19" s="133">
        <f t="shared" si="472"/>
        <v>268122</v>
      </c>
      <c r="BI19" s="133">
        <f t="shared" si="472"/>
        <v>268122</v>
      </c>
      <c r="BJ19" s="133">
        <f>ROUND(BI19*(1+取值表!$D$6)*取值表!$H$6,0)</f>
        <v>265931</v>
      </c>
      <c r="BK19" s="133">
        <f t="shared" ref="BK19:BM19" si="473">BJ19</f>
        <v>265931</v>
      </c>
      <c r="BL19" s="133">
        <f t="shared" si="473"/>
        <v>265931</v>
      </c>
      <c r="BM19" s="133">
        <f t="shared" si="473"/>
        <v>265931</v>
      </c>
      <c r="BN19" s="133">
        <f>ROUND(BM19*(1+取值表!$D$6)*取值表!$H$6,0)</f>
        <v>263758</v>
      </c>
      <c r="BO19" s="133">
        <f t="shared" ref="BO19:BQ19" si="474">BN19</f>
        <v>263758</v>
      </c>
      <c r="BP19" s="133">
        <f t="shared" si="474"/>
        <v>263758</v>
      </c>
      <c r="BQ19" s="133">
        <f t="shared" si="474"/>
        <v>263758</v>
      </c>
      <c r="BR19" s="133">
        <f>ROUND(BQ19*(1+取值表!$D$6)*取值表!$H$6,0)</f>
        <v>261603</v>
      </c>
      <c r="BS19" s="133">
        <f t="shared" ref="BS19:BU19" si="475">BR19</f>
        <v>261603</v>
      </c>
      <c r="BT19" s="133">
        <f t="shared" si="475"/>
        <v>261603</v>
      </c>
      <c r="BU19" s="133">
        <f t="shared" si="475"/>
        <v>261603</v>
      </c>
      <c r="BV19" s="133">
        <f>ROUND(BU19*(1+取值表!$D$6)*取值表!$H$6,0)</f>
        <v>259465</v>
      </c>
      <c r="BW19" s="133">
        <f t="shared" ref="BW19:BY19" si="476">BV19</f>
        <v>259465</v>
      </c>
      <c r="BX19" s="133">
        <f t="shared" si="476"/>
        <v>259465</v>
      </c>
      <c r="BY19" s="133">
        <f t="shared" si="476"/>
        <v>259465</v>
      </c>
      <c r="BZ19" s="133">
        <f>ROUND(BY19*(1+取值表!$D$6)*取值表!$H$6,0)</f>
        <v>257345</v>
      </c>
      <c r="CA19" s="133">
        <f t="shared" ref="CA19:CC19" si="477">BZ19</f>
        <v>257345</v>
      </c>
      <c r="CB19" s="133">
        <f t="shared" si="477"/>
        <v>257345</v>
      </c>
      <c r="CC19" s="133">
        <f t="shared" si="477"/>
        <v>257345</v>
      </c>
      <c r="CD19" s="133">
        <f>ROUND(CC19*(1+取值表!$D$6)*取值表!$H$6,0)</f>
        <v>255242</v>
      </c>
      <c r="CE19" s="133">
        <f t="shared" ref="CE19:CG19" si="478">CD19</f>
        <v>255242</v>
      </c>
      <c r="CF19" s="133">
        <f t="shared" si="478"/>
        <v>255242</v>
      </c>
      <c r="CG19" s="133">
        <f t="shared" si="478"/>
        <v>255242</v>
      </c>
      <c r="CH19" s="133">
        <f>ROUND(CG19*(1+取值表!$D$6)*取值表!$H$6,0)</f>
        <v>253156</v>
      </c>
      <c r="CI19" s="133">
        <f t="shared" ref="CI19:CK19" si="479">CH19</f>
        <v>253156</v>
      </c>
      <c r="CJ19" s="133">
        <f t="shared" si="479"/>
        <v>253156</v>
      </c>
      <c r="CK19" s="133">
        <f t="shared" si="479"/>
        <v>253156</v>
      </c>
      <c r="CL19" s="133">
        <f>ROUND(CK19*(1+取值表!$D$6)*取值表!$H$6,0)</f>
        <v>251087</v>
      </c>
      <c r="CM19" s="133">
        <f t="shared" ref="CM19:CO19" si="480">CL19</f>
        <v>251087</v>
      </c>
      <c r="CN19" s="133">
        <f t="shared" si="480"/>
        <v>251087</v>
      </c>
      <c r="CO19" s="133">
        <f t="shared" si="480"/>
        <v>251087</v>
      </c>
      <c r="CP19" s="133">
        <f>ROUND(CO19*(1+取值表!$D$6)*取值表!$H$6,0)</f>
        <v>249035</v>
      </c>
      <c r="CQ19" s="133">
        <f t="shared" ref="CQ19" si="481">CP19</f>
        <v>249035</v>
      </c>
      <c r="CR19" s="133">
        <f t="shared" ref="CR19" si="482">CQ19</f>
        <v>249035</v>
      </c>
      <c r="CS19" s="133">
        <f t="shared" ref="CS19" si="483">CR19</f>
        <v>249035</v>
      </c>
      <c r="CT19" s="133">
        <f>ROUND(CS19*(1+取值表!$D$6)*取值表!$H$6,0)</f>
        <v>247000</v>
      </c>
      <c r="CU19" s="133">
        <f t="shared" ref="CU19" si="484">CT19</f>
        <v>247000</v>
      </c>
      <c r="CV19" s="133">
        <f t="shared" ref="CV19" si="485">CU19</f>
        <v>247000</v>
      </c>
      <c r="CW19" s="133">
        <f t="shared" ref="CW19" si="486">CV19</f>
        <v>247000</v>
      </c>
      <c r="CX19" s="133">
        <f>ROUND(CW19*(1+取值表!$D$6)*取值表!$H$6,0)</f>
        <v>244982</v>
      </c>
      <c r="CY19" s="133">
        <f t="shared" ref="CY19" si="487">CX19</f>
        <v>244982</v>
      </c>
      <c r="CZ19" s="133">
        <f t="shared" ref="CZ19" si="488">CY19</f>
        <v>244982</v>
      </c>
      <c r="DA19" s="133">
        <f t="shared" ref="DA19" si="489">CZ19</f>
        <v>244982</v>
      </c>
      <c r="DB19" s="133">
        <f>ROUND(DA19*(1+取值表!$D$6)*取值表!$H$6,0)</f>
        <v>242980</v>
      </c>
      <c r="DC19" s="133">
        <f t="shared" ref="DC19" si="490">DB19</f>
        <v>242980</v>
      </c>
      <c r="DD19" s="133">
        <f t="shared" ref="DD19" si="491">DC19</f>
        <v>242980</v>
      </c>
      <c r="DE19" s="133">
        <f t="shared" ref="DE19" si="492">DD19</f>
        <v>242980</v>
      </c>
      <c r="DF19" s="133">
        <f>ROUND(DE19*(1+取值表!$D$6)*取值表!$H$6,0)</f>
        <v>240995</v>
      </c>
      <c r="DG19" s="133">
        <f t="shared" ref="DG19" si="493">DF19</f>
        <v>240995</v>
      </c>
      <c r="DH19" s="133">
        <f t="shared" ref="DH19" si="494">DG19</f>
        <v>240995</v>
      </c>
      <c r="DI19" s="133">
        <f t="shared" ref="DI19" si="495">DH19</f>
        <v>240995</v>
      </c>
      <c r="DJ19" s="133">
        <f>ROUND(DI19*(1+取值表!$D$6)*取值表!$H$6,0)</f>
        <v>239026</v>
      </c>
      <c r="DK19" s="133">
        <f t="shared" ref="DK19" si="496">DJ19</f>
        <v>239026</v>
      </c>
      <c r="DL19" s="133">
        <f t="shared" ref="DL19" si="497">DK19</f>
        <v>239026</v>
      </c>
      <c r="DM19" s="133">
        <f t="shared" ref="DM19" si="498">DL19</f>
        <v>239026</v>
      </c>
      <c r="DN19" s="133">
        <f>ROUND(DM19*(1+取值表!$D$6)*取值表!$H$6,0)</f>
        <v>237073</v>
      </c>
      <c r="DO19" s="133">
        <f t="shared" ref="DO19" si="499">DN19</f>
        <v>237073</v>
      </c>
      <c r="DP19" s="133">
        <f t="shared" ref="DP19" si="500">DO19</f>
        <v>237073</v>
      </c>
      <c r="DQ19" s="133">
        <f t="shared" ref="DQ19" si="501">DP19</f>
        <v>237073</v>
      </c>
      <c r="DR19" s="133">
        <f>ROUND(DQ19*(1+取值表!$D$6)*取值表!$H$6,0)</f>
        <v>235136</v>
      </c>
      <c r="DS19" s="133">
        <f t="shared" ref="DS19" si="502">DR19</f>
        <v>235136</v>
      </c>
      <c r="DT19" s="133">
        <f t="shared" ref="DT19" si="503">DS19</f>
        <v>235136</v>
      </c>
      <c r="DU19" s="133">
        <f t="shared" ref="DU19" si="504">DT19</f>
        <v>235136</v>
      </c>
      <c r="DV19" s="133">
        <f>ROUND(DU19*(1+取值表!$D$6)*取值表!$H$6,0)</f>
        <v>233215</v>
      </c>
      <c r="DW19" s="133">
        <f t="shared" ref="DW19" si="505">DV19</f>
        <v>233215</v>
      </c>
      <c r="DX19" s="133">
        <f t="shared" ref="DX19" si="506">DW19</f>
        <v>233215</v>
      </c>
      <c r="DY19" s="133">
        <f t="shared" ref="DY19" si="507">DX19</f>
        <v>233215</v>
      </c>
      <c r="DZ19" s="133">
        <f>ROUND(DY19*(1+取值表!$D$6)*取值表!$H$6,0)</f>
        <v>231309</v>
      </c>
      <c r="EA19" s="133">
        <f t="shared" ref="EA19" si="508">DZ19</f>
        <v>231309</v>
      </c>
      <c r="EB19" s="133">
        <f t="shared" ref="EB19" si="509">EA19</f>
        <v>231309</v>
      </c>
      <c r="EC19" s="133">
        <f t="shared" ref="EC19" si="510">EB19</f>
        <v>231309</v>
      </c>
      <c r="ED19" s="133">
        <f>ROUND(EC19*(1+取值表!$D$6)*取值表!$H$6,0)</f>
        <v>229419</v>
      </c>
      <c r="EE19" s="133">
        <f t="shared" ref="EE19" si="511">ED19</f>
        <v>229419</v>
      </c>
      <c r="EF19" s="133">
        <f t="shared" ref="EF19" si="512">EE19</f>
        <v>229419</v>
      </c>
      <c r="EG19" s="133">
        <f t="shared" ref="EG19" si="513">EF19</f>
        <v>229419</v>
      </c>
      <c r="EH19" s="133">
        <f>ROUND(EG19*(1+取值表!$D$6)*取值表!$H$6,0)</f>
        <v>227544</v>
      </c>
      <c r="EI19" s="133">
        <f t="shared" ref="EI19" si="514">EH19</f>
        <v>227544</v>
      </c>
      <c r="EJ19" s="133">
        <f t="shared" ref="EJ19" si="515">EI19</f>
        <v>227544</v>
      </c>
      <c r="EK19" s="133">
        <f t="shared" ref="EK19" si="516">EJ19</f>
        <v>227544</v>
      </c>
      <c r="EL19" s="133">
        <f>ROUND(EK19*(1+取值表!$D$6)*取值表!$H$6,0)</f>
        <v>225685</v>
      </c>
      <c r="EM19" s="133">
        <f t="shared" ref="EM19" si="517">EL19</f>
        <v>225685</v>
      </c>
      <c r="EN19" s="133">
        <f t="shared" ref="EN19" si="518">EM19</f>
        <v>225685</v>
      </c>
      <c r="EO19" s="133">
        <f t="shared" ref="EO19" si="519">EN19</f>
        <v>225685</v>
      </c>
      <c r="EP19" s="133">
        <f>ROUND(EO19*(1+取值表!$D$6)*取值表!$H$6,0)</f>
        <v>223841</v>
      </c>
      <c r="EQ19" s="133">
        <f t="shared" ref="EQ19" si="520">EP19</f>
        <v>223841</v>
      </c>
      <c r="ER19" s="133">
        <f t="shared" ref="ER19" si="521">EQ19</f>
        <v>223841</v>
      </c>
      <c r="ES19" s="133">
        <f t="shared" ref="ES19" si="522">ER19</f>
        <v>223841</v>
      </c>
      <c r="ET19" s="133">
        <f t="shared" si="39"/>
        <v>36056176</v>
      </c>
    </row>
    <row r="20" spans="1:150">
      <c r="A20" s="402"/>
      <c r="B20" s="406"/>
      <c r="C20" s="400"/>
      <c r="D20" s="401"/>
      <c r="E20" s="398"/>
      <c r="F20" s="399"/>
      <c r="G20" s="399"/>
      <c r="H20" s="482"/>
      <c r="I20" s="129"/>
      <c r="J20" s="131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  <c r="BV20" s="133"/>
      <c r="BW20" s="133"/>
      <c r="BX20" s="133"/>
      <c r="BY20" s="133"/>
      <c r="BZ20" s="133"/>
      <c r="CA20" s="133"/>
      <c r="CB20" s="133"/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/>
      <c r="CX20" s="133"/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3"/>
      <c r="DU20" s="133"/>
      <c r="DV20" s="133"/>
      <c r="DW20" s="133"/>
      <c r="DX20" s="133"/>
      <c r="DY20" s="133"/>
      <c r="DZ20" s="133"/>
      <c r="EA20" s="133"/>
      <c r="EB20" s="133"/>
      <c r="EC20" s="133"/>
      <c r="ED20" s="133"/>
      <c r="EE20" s="133"/>
      <c r="EF20" s="133"/>
      <c r="EG20" s="133"/>
      <c r="EH20" s="133"/>
      <c r="EI20" s="133"/>
      <c r="EJ20" s="133"/>
      <c r="EK20" s="133"/>
      <c r="EL20" s="133"/>
      <c r="EM20" s="133"/>
      <c r="EN20" s="133"/>
      <c r="EO20" s="133"/>
      <c r="EP20" s="133"/>
      <c r="EQ20" s="133"/>
      <c r="ER20" s="133"/>
      <c r="ES20" s="133"/>
      <c r="ET20" s="133">
        <f t="shared" si="39"/>
        <v>0</v>
      </c>
    </row>
    <row r="21" spans="1:150" ht="12" customHeight="1">
      <c r="A21" s="402">
        <v>10</v>
      </c>
      <c r="B21" s="406" t="s">
        <v>1074</v>
      </c>
      <c r="C21" s="400" t="s">
        <v>1075</v>
      </c>
      <c r="D21" s="401" t="s">
        <v>424</v>
      </c>
      <c r="E21" s="398" t="s">
        <v>422</v>
      </c>
      <c r="F21" s="399">
        <v>210</v>
      </c>
      <c r="G21" s="399">
        <v>14</v>
      </c>
      <c r="H21" s="482">
        <f>F21*G21*365</f>
        <v>1073100</v>
      </c>
      <c r="I21" s="129">
        <v>268275</v>
      </c>
      <c r="J21" s="131">
        <f>ROUND(G21*F21*365/4,0)</f>
        <v>268275</v>
      </c>
      <c r="K21" s="133">
        <f t="shared" ref="K21:V21" si="523">J21</f>
        <v>268275</v>
      </c>
      <c r="L21" s="133">
        <f t="shared" si="523"/>
        <v>268275</v>
      </c>
      <c r="M21" s="133">
        <f t="shared" si="523"/>
        <v>268275</v>
      </c>
      <c r="N21" s="133">
        <f t="shared" si="523"/>
        <v>268275</v>
      </c>
      <c r="O21" s="133">
        <f t="shared" si="523"/>
        <v>268275</v>
      </c>
      <c r="P21" s="133">
        <f t="shared" si="523"/>
        <v>268275</v>
      </c>
      <c r="Q21" s="133">
        <f t="shared" si="523"/>
        <v>268275</v>
      </c>
      <c r="R21" s="133">
        <f t="shared" si="523"/>
        <v>268275</v>
      </c>
      <c r="S21" s="133">
        <f t="shared" si="523"/>
        <v>268275</v>
      </c>
      <c r="T21" s="133">
        <f t="shared" si="523"/>
        <v>268275</v>
      </c>
      <c r="U21" s="133">
        <f t="shared" si="523"/>
        <v>268275</v>
      </c>
      <c r="V21" s="132">
        <f t="shared" si="523"/>
        <v>268275</v>
      </c>
      <c r="W21" s="133">
        <f>V21</f>
        <v>268275</v>
      </c>
      <c r="X21" s="133">
        <f>W21</f>
        <v>268275</v>
      </c>
      <c r="Y21" s="133">
        <f>X21</f>
        <v>268275</v>
      </c>
      <c r="Z21" s="133">
        <f>ROUND(Y21*(1+取值表!$D$6)*取值表!$H$6,0)</f>
        <v>266083</v>
      </c>
      <c r="AA21" s="133">
        <f>Z21</f>
        <v>266083</v>
      </c>
      <c r="AB21" s="133">
        <f>AA21</f>
        <v>266083</v>
      </c>
      <c r="AC21" s="133">
        <f>AB21</f>
        <v>266083</v>
      </c>
      <c r="AD21" s="133">
        <f>ROUND(AC21*(1+取值表!$D$6)*取值表!$H$6,0)</f>
        <v>263909</v>
      </c>
      <c r="AE21" s="133">
        <f t="shared" ref="AE21:AG21" si="524">AD21</f>
        <v>263909</v>
      </c>
      <c r="AF21" s="133">
        <f t="shared" si="524"/>
        <v>263909</v>
      </c>
      <c r="AG21" s="133">
        <f t="shared" si="524"/>
        <v>263909</v>
      </c>
      <c r="AH21" s="133">
        <f>ROUND(AG21*(1+取值表!$D$6)*取值表!$H$6,0)</f>
        <v>261753</v>
      </c>
      <c r="AI21" s="133">
        <f t="shared" ref="AI21:AK21" si="525">AH21</f>
        <v>261753</v>
      </c>
      <c r="AJ21" s="133">
        <f t="shared" si="525"/>
        <v>261753</v>
      </c>
      <c r="AK21" s="133">
        <f t="shared" si="525"/>
        <v>261753</v>
      </c>
      <c r="AL21" s="133">
        <f>ROUND(AK21*(1+取值表!$D$6)*取值表!$H$6,0)</f>
        <v>259614</v>
      </c>
      <c r="AM21" s="133">
        <f t="shared" ref="AM21:AO21" si="526">AL21</f>
        <v>259614</v>
      </c>
      <c r="AN21" s="133">
        <f t="shared" si="526"/>
        <v>259614</v>
      </c>
      <c r="AO21" s="133">
        <f t="shared" si="526"/>
        <v>259614</v>
      </c>
      <c r="AP21" s="133">
        <f>ROUND(AO21*(1+取值表!$D$6)*取值表!$H$6,0)</f>
        <v>257493</v>
      </c>
      <c r="AQ21" s="133">
        <f t="shared" ref="AQ21:AS21" si="527">AP21</f>
        <v>257493</v>
      </c>
      <c r="AR21" s="133">
        <f t="shared" si="527"/>
        <v>257493</v>
      </c>
      <c r="AS21" s="133">
        <f t="shared" si="527"/>
        <v>257493</v>
      </c>
      <c r="AT21" s="133">
        <f>ROUND(AS21*(1+取值表!$D$6)*取值表!$H$6,0)</f>
        <v>255389</v>
      </c>
      <c r="AU21" s="133">
        <f t="shared" ref="AU21:AW21" si="528">AT21</f>
        <v>255389</v>
      </c>
      <c r="AV21" s="133">
        <f t="shared" si="528"/>
        <v>255389</v>
      </c>
      <c r="AW21" s="133">
        <f t="shared" si="528"/>
        <v>255389</v>
      </c>
      <c r="AX21" s="133">
        <f>ROUND(AW21*(1+取值表!$D$6)*取值表!$H$6,0)</f>
        <v>253302</v>
      </c>
      <c r="AY21" s="133">
        <f t="shared" ref="AY21:BA21" si="529">AX21</f>
        <v>253302</v>
      </c>
      <c r="AZ21" s="133">
        <f t="shared" si="529"/>
        <v>253302</v>
      </c>
      <c r="BA21" s="133">
        <f t="shared" si="529"/>
        <v>253302</v>
      </c>
      <c r="BB21" s="133">
        <f>ROUND(BA21*(1+取值表!$D$6)*取值表!$H$6,0)</f>
        <v>251232</v>
      </c>
      <c r="BC21" s="133">
        <f t="shared" ref="BC21:BE21" si="530">BB21</f>
        <v>251232</v>
      </c>
      <c r="BD21" s="133">
        <f t="shared" si="530"/>
        <v>251232</v>
      </c>
      <c r="BE21" s="133">
        <f t="shared" si="530"/>
        <v>251232</v>
      </c>
      <c r="BF21" s="133">
        <f>ROUND(BE21*(1+取值表!$D$6)*取值表!$H$6,0)</f>
        <v>249179</v>
      </c>
      <c r="BG21" s="133">
        <f t="shared" ref="BG21:BI21" si="531">BF21</f>
        <v>249179</v>
      </c>
      <c r="BH21" s="133">
        <f t="shared" si="531"/>
        <v>249179</v>
      </c>
      <c r="BI21" s="133">
        <f t="shared" si="531"/>
        <v>249179</v>
      </c>
      <c r="BJ21" s="133">
        <f>ROUND(BI21*(1+取值表!$D$6)*取值表!$H$6,0)</f>
        <v>247143</v>
      </c>
      <c r="BK21" s="133">
        <f t="shared" ref="BK21:BM21" si="532">BJ21</f>
        <v>247143</v>
      </c>
      <c r="BL21" s="133">
        <f t="shared" si="532"/>
        <v>247143</v>
      </c>
      <c r="BM21" s="133">
        <f t="shared" si="532"/>
        <v>247143</v>
      </c>
      <c r="BN21" s="133">
        <f>ROUND(BM21*(1+取值表!$D$6)*取值表!$H$6,0)</f>
        <v>245124</v>
      </c>
      <c r="BO21" s="133">
        <f t="shared" ref="BO21:BQ21" si="533">BN21</f>
        <v>245124</v>
      </c>
      <c r="BP21" s="133">
        <f t="shared" si="533"/>
        <v>245124</v>
      </c>
      <c r="BQ21" s="133">
        <f t="shared" si="533"/>
        <v>245124</v>
      </c>
      <c r="BR21" s="133">
        <f>ROUND(BQ21*(1+取值表!$D$6)*取值表!$H$6,0)</f>
        <v>243121</v>
      </c>
      <c r="BS21" s="133">
        <f t="shared" ref="BS21:BU21" si="534">BR21</f>
        <v>243121</v>
      </c>
      <c r="BT21" s="133">
        <f t="shared" si="534"/>
        <v>243121</v>
      </c>
      <c r="BU21" s="133">
        <f t="shared" si="534"/>
        <v>243121</v>
      </c>
      <c r="BV21" s="133">
        <f>ROUND(BU21*(1+取值表!$D$6)*取值表!$H$6,0)</f>
        <v>241134</v>
      </c>
      <c r="BW21" s="133">
        <f t="shared" ref="BW21:BY21" si="535">BV21</f>
        <v>241134</v>
      </c>
      <c r="BX21" s="133">
        <f t="shared" si="535"/>
        <v>241134</v>
      </c>
      <c r="BY21" s="133">
        <f t="shared" si="535"/>
        <v>241134</v>
      </c>
      <c r="BZ21" s="133">
        <f>ROUND(BY21*(1+取值表!$D$6)*取值表!$H$6,0)</f>
        <v>239164</v>
      </c>
      <c r="CA21" s="133">
        <f t="shared" ref="CA21:CC21" si="536">BZ21</f>
        <v>239164</v>
      </c>
      <c r="CB21" s="133">
        <f t="shared" si="536"/>
        <v>239164</v>
      </c>
      <c r="CC21" s="133">
        <f t="shared" si="536"/>
        <v>239164</v>
      </c>
      <c r="CD21" s="133">
        <f>ROUND(CC21*(1+取值表!$D$6)*取值表!$H$6,0)</f>
        <v>237210</v>
      </c>
      <c r="CE21" s="133">
        <f t="shared" ref="CE21:CG21" si="537">CD21</f>
        <v>237210</v>
      </c>
      <c r="CF21" s="133">
        <f t="shared" si="537"/>
        <v>237210</v>
      </c>
      <c r="CG21" s="133">
        <f t="shared" si="537"/>
        <v>237210</v>
      </c>
      <c r="CH21" s="133">
        <f>ROUND(CG21*(1+取值表!$D$6)*取值表!$H$6,0)</f>
        <v>235272</v>
      </c>
      <c r="CI21" s="133">
        <f t="shared" ref="CI21:CK21" si="538">CH21</f>
        <v>235272</v>
      </c>
      <c r="CJ21" s="133">
        <f t="shared" si="538"/>
        <v>235272</v>
      </c>
      <c r="CK21" s="133">
        <f t="shared" si="538"/>
        <v>235272</v>
      </c>
      <c r="CL21" s="133">
        <f>ROUND(CK21*(1+取值表!$D$6)*取值表!$H$6,0)</f>
        <v>233350</v>
      </c>
      <c r="CM21" s="133">
        <f t="shared" ref="CM21:CO21" si="539">CL21</f>
        <v>233350</v>
      </c>
      <c r="CN21" s="133">
        <f t="shared" si="539"/>
        <v>233350</v>
      </c>
      <c r="CO21" s="133">
        <f t="shared" si="539"/>
        <v>233350</v>
      </c>
      <c r="CP21" s="133">
        <f>ROUND(CO21*(1+取值表!$D$6)*取值表!$H$6,0)</f>
        <v>231443</v>
      </c>
      <c r="CQ21" s="133">
        <f t="shared" ref="CQ21" si="540">CP21</f>
        <v>231443</v>
      </c>
      <c r="CR21" s="133">
        <f t="shared" ref="CR21" si="541">CQ21</f>
        <v>231443</v>
      </c>
      <c r="CS21" s="133">
        <f t="shared" ref="CS21" si="542">CR21</f>
        <v>231443</v>
      </c>
      <c r="CT21" s="133">
        <f>ROUND(CS21*(1+取值表!$D$6)*取值表!$H$6,0)</f>
        <v>229552</v>
      </c>
      <c r="CU21" s="133">
        <f t="shared" ref="CU21" si="543">CT21</f>
        <v>229552</v>
      </c>
      <c r="CV21" s="133">
        <f t="shared" ref="CV21" si="544">CU21</f>
        <v>229552</v>
      </c>
      <c r="CW21" s="133">
        <f t="shared" ref="CW21" si="545">CV21</f>
        <v>229552</v>
      </c>
      <c r="CX21" s="133">
        <f>ROUND(CW21*(1+取值表!$D$6)*取值表!$H$6,0)</f>
        <v>227676</v>
      </c>
      <c r="CY21" s="133">
        <f t="shared" ref="CY21" si="546">CX21</f>
        <v>227676</v>
      </c>
      <c r="CZ21" s="133">
        <f t="shared" ref="CZ21" si="547">CY21</f>
        <v>227676</v>
      </c>
      <c r="DA21" s="133">
        <f t="shared" ref="DA21" si="548">CZ21</f>
        <v>227676</v>
      </c>
      <c r="DB21" s="133">
        <f>ROUND(DA21*(1+取值表!$D$6)*取值表!$H$6,0)</f>
        <v>225816</v>
      </c>
      <c r="DC21" s="133">
        <f t="shared" ref="DC21" si="549">DB21</f>
        <v>225816</v>
      </c>
      <c r="DD21" s="133">
        <f t="shared" ref="DD21" si="550">DC21</f>
        <v>225816</v>
      </c>
      <c r="DE21" s="133">
        <f t="shared" ref="DE21" si="551">DD21</f>
        <v>225816</v>
      </c>
      <c r="DF21" s="133">
        <f>ROUND(DE21*(1+取值表!$D$6)*取值表!$H$6,0)</f>
        <v>223971</v>
      </c>
      <c r="DG21" s="133">
        <f t="shared" ref="DG21" si="552">DF21</f>
        <v>223971</v>
      </c>
      <c r="DH21" s="133">
        <f t="shared" ref="DH21" si="553">DG21</f>
        <v>223971</v>
      </c>
      <c r="DI21" s="133">
        <f t="shared" ref="DI21" si="554">DH21</f>
        <v>223971</v>
      </c>
      <c r="DJ21" s="133">
        <f>ROUND(DI21*(1+取值表!$D$6)*取值表!$H$6,0)</f>
        <v>222141</v>
      </c>
      <c r="DK21" s="133">
        <f t="shared" ref="DK21" si="555">DJ21</f>
        <v>222141</v>
      </c>
      <c r="DL21" s="133">
        <f t="shared" ref="DL21" si="556">DK21</f>
        <v>222141</v>
      </c>
      <c r="DM21" s="133">
        <f t="shared" ref="DM21" si="557">DL21</f>
        <v>222141</v>
      </c>
      <c r="DN21" s="133">
        <f>ROUND(DM21*(1+取值表!$D$6)*取值表!$H$6,0)</f>
        <v>220326</v>
      </c>
      <c r="DO21" s="133">
        <f t="shared" ref="DO21" si="558">DN21</f>
        <v>220326</v>
      </c>
      <c r="DP21" s="133">
        <f t="shared" ref="DP21" si="559">DO21</f>
        <v>220326</v>
      </c>
      <c r="DQ21" s="133">
        <f t="shared" ref="DQ21" si="560">DP21</f>
        <v>220326</v>
      </c>
      <c r="DR21" s="133">
        <f>ROUND(DQ21*(1+取值表!$D$6)*取值表!$H$6,0)</f>
        <v>218526</v>
      </c>
      <c r="DS21" s="133">
        <f t="shared" ref="DS21" si="561">DR21</f>
        <v>218526</v>
      </c>
      <c r="DT21" s="133">
        <f t="shared" ref="DT21" si="562">DS21</f>
        <v>218526</v>
      </c>
      <c r="DU21" s="133">
        <f t="shared" ref="DU21" si="563">DT21</f>
        <v>218526</v>
      </c>
      <c r="DV21" s="133">
        <f>ROUND(DU21*(1+取值表!$D$6)*取值表!$H$6,0)</f>
        <v>216740</v>
      </c>
      <c r="DW21" s="133">
        <f t="shared" ref="DW21" si="564">DV21</f>
        <v>216740</v>
      </c>
      <c r="DX21" s="133">
        <f t="shared" ref="DX21" si="565">DW21</f>
        <v>216740</v>
      </c>
      <c r="DY21" s="133">
        <f t="shared" ref="DY21" si="566">DX21</f>
        <v>216740</v>
      </c>
      <c r="DZ21" s="133">
        <f>ROUND(DY21*(1+取值表!$D$6)*取值表!$H$6,0)</f>
        <v>214969</v>
      </c>
      <c r="EA21" s="133">
        <f t="shared" ref="EA21" si="567">DZ21</f>
        <v>214969</v>
      </c>
      <c r="EB21" s="133">
        <f t="shared" ref="EB21" si="568">EA21</f>
        <v>214969</v>
      </c>
      <c r="EC21" s="133">
        <f t="shared" ref="EC21" si="569">EB21</f>
        <v>214969</v>
      </c>
      <c r="ED21" s="133">
        <f>ROUND(EC21*(1+取值表!$D$6)*取值表!$H$6,0)</f>
        <v>213212</v>
      </c>
      <c r="EE21" s="133">
        <f t="shared" ref="EE21" si="570">ED21</f>
        <v>213212</v>
      </c>
      <c r="EF21" s="133">
        <f t="shared" ref="EF21" si="571">EE21</f>
        <v>213212</v>
      </c>
      <c r="EG21" s="133">
        <f t="shared" ref="EG21" si="572">EF21</f>
        <v>213212</v>
      </c>
      <c r="EH21" s="133">
        <f>ROUND(EG21*(1+取值表!$D$6)*取值表!$H$6,0)</f>
        <v>211470</v>
      </c>
      <c r="EI21" s="133">
        <f t="shared" ref="EI21" si="573">EH21</f>
        <v>211470</v>
      </c>
      <c r="EJ21" s="133">
        <f t="shared" ref="EJ21" si="574">EI21</f>
        <v>211470</v>
      </c>
      <c r="EK21" s="133">
        <f t="shared" ref="EK21" si="575">EJ21</f>
        <v>211470</v>
      </c>
      <c r="EL21" s="133">
        <f>ROUND(EK21*(1+取值表!$D$6)*取值表!$H$6,0)</f>
        <v>209742</v>
      </c>
      <c r="EM21" s="133">
        <f t="shared" ref="EM21" si="576">EL21</f>
        <v>209742</v>
      </c>
      <c r="EN21" s="133">
        <f t="shared" ref="EN21" si="577">EM21</f>
        <v>209742</v>
      </c>
      <c r="EO21" s="133">
        <f t="shared" ref="EO21" si="578">EN21</f>
        <v>209742</v>
      </c>
      <c r="EP21" s="133">
        <f>ROUND(EO21*(1+取值表!$D$6)*取值表!$H$6,0)</f>
        <v>208028</v>
      </c>
      <c r="EQ21" s="133">
        <f t="shared" ref="EQ21" si="579">EP21</f>
        <v>208028</v>
      </c>
      <c r="ER21" s="133">
        <f t="shared" ref="ER21" si="580">EQ21</f>
        <v>208028</v>
      </c>
      <c r="ES21" s="133">
        <f t="shared" ref="ES21" si="581">ER21</f>
        <v>208028</v>
      </c>
      <c r="ET21" s="133">
        <f t="shared" si="39"/>
        <v>33544736</v>
      </c>
    </row>
    <row r="22" spans="1:150">
      <c r="A22" s="402"/>
      <c r="B22" s="406"/>
      <c r="C22" s="400"/>
      <c r="D22" s="401"/>
      <c r="E22" s="398"/>
      <c r="F22" s="399"/>
      <c r="G22" s="399"/>
      <c r="H22" s="482"/>
      <c r="I22" s="129"/>
      <c r="J22" s="131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>
        <f t="shared" si="39"/>
        <v>0</v>
      </c>
    </row>
    <row r="23" spans="1:150">
      <c r="A23" s="402">
        <v>11</v>
      </c>
      <c r="B23" s="406" t="s">
        <v>1076</v>
      </c>
      <c r="C23" s="400" t="s">
        <v>1077</v>
      </c>
      <c r="D23" s="401" t="s">
        <v>425</v>
      </c>
      <c r="E23" s="398" t="s">
        <v>422</v>
      </c>
      <c r="F23" s="399">
        <v>41.74</v>
      </c>
      <c r="G23" s="399">
        <f>H23/F23/365</f>
        <v>17.000001312758041</v>
      </c>
      <c r="H23" s="482">
        <f>21583.06*12</f>
        <v>258996.72000000003</v>
      </c>
      <c r="I23" s="129">
        <v>64749.17</v>
      </c>
      <c r="J23" s="132">
        <f>ROUND(21583.06*3,0)</f>
        <v>64749</v>
      </c>
      <c r="K23" s="133">
        <f>J23</f>
        <v>64749</v>
      </c>
      <c r="L23" s="133">
        <f>K23</f>
        <v>64749</v>
      </c>
      <c r="M23" s="133">
        <f>L23</f>
        <v>64749</v>
      </c>
      <c r="N23" s="133">
        <f>ROUND(M23*(1+取值表!$D$6)*取值表!$H$6,0)</f>
        <v>64220</v>
      </c>
      <c r="O23" s="133">
        <f>N23</f>
        <v>64220</v>
      </c>
      <c r="P23" s="133">
        <f>O23</f>
        <v>64220</v>
      </c>
      <c r="Q23" s="133">
        <f>P23</f>
        <v>64220</v>
      </c>
      <c r="R23" s="133">
        <f>ROUND(Q23*(1+取值表!$D$6)*取值表!$H$6,0)</f>
        <v>63695</v>
      </c>
      <c r="S23" s="133">
        <f t="shared" ref="S23:U23" si="582">R23</f>
        <v>63695</v>
      </c>
      <c r="T23" s="133">
        <f t="shared" si="582"/>
        <v>63695</v>
      </c>
      <c r="U23" s="133">
        <f t="shared" si="582"/>
        <v>63695</v>
      </c>
      <c r="V23" s="133">
        <f>ROUND(U23*(1+取值表!$D$6)*取值表!$H$6,0)</f>
        <v>63175</v>
      </c>
      <c r="W23" s="133">
        <f t="shared" ref="W23:Y23" si="583">V23</f>
        <v>63175</v>
      </c>
      <c r="X23" s="133">
        <f t="shared" si="583"/>
        <v>63175</v>
      </c>
      <c r="Y23" s="133">
        <f t="shared" si="583"/>
        <v>63175</v>
      </c>
      <c r="Z23" s="133">
        <f>ROUND(Y23*(1+取值表!$D$6)*取值表!$H$6,0)</f>
        <v>62659</v>
      </c>
      <c r="AA23" s="133">
        <f t="shared" ref="AA23:AC23" si="584">Z23</f>
        <v>62659</v>
      </c>
      <c r="AB23" s="133">
        <f t="shared" si="584"/>
        <v>62659</v>
      </c>
      <c r="AC23" s="133">
        <f t="shared" si="584"/>
        <v>62659</v>
      </c>
      <c r="AD23" s="133">
        <f>ROUND(AC23*(1+取值表!$D$6)*取值表!$H$6,0)</f>
        <v>62147</v>
      </c>
      <c r="AE23" s="133">
        <f t="shared" ref="AE23:AG23" si="585">AD23</f>
        <v>62147</v>
      </c>
      <c r="AF23" s="133">
        <f t="shared" si="585"/>
        <v>62147</v>
      </c>
      <c r="AG23" s="133">
        <f t="shared" si="585"/>
        <v>62147</v>
      </c>
      <c r="AH23" s="133">
        <f>ROUND(AG23*(1+取值表!$D$6)*取值表!$H$6,0)</f>
        <v>61639</v>
      </c>
      <c r="AI23" s="133">
        <f t="shared" ref="AI23:AK23" si="586">AH23</f>
        <v>61639</v>
      </c>
      <c r="AJ23" s="133">
        <f t="shared" si="586"/>
        <v>61639</v>
      </c>
      <c r="AK23" s="133">
        <f t="shared" si="586"/>
        <v>61639</v>
      </c>
      <c r="AL23" s="133">
        <f>ROUND(AK23*(1+取值表!$D$6)*取值表!$H$6,0)</f>
        <v>61135</v>
      </c>
      <c r="AM23" s="133">
        <f t="shared" ref="AM23:AO23" si="587">AL23</f>
        <v>61135</v>
      </c>
      <c r="AN23" s="133">
        <f t="shared" si="587"/>
        <v>61135</v>
      </c>
      <c r="AO23" s="133">
        <f t="shared" si="587"/>
        <v>61135</v>
      </c>
      <c r="AP23" s="133">
        <f>ROUND(AO23*(1+取值表!$D$6)*取值表!$H$6,0)</f>
        <v>60635</v>
      </c>
      <c r="AQ23" s="133">
        <f t="shared" ref="AQ23:AS23" si="588">AP23</f>
        <v>60635</v>
      </c>
      <c r="AR23" s="133">
        <f t="shared" si="588"/>
        <v>60635</v>
      </c>
      <c r="AS23" s="133">
        <f t="shared" si="588"/>
        <v>60635</v>
      </c>
      <c r="AT23" s="133">
        <f>ROUND(AS23*(1+取值表!$D$6)*取值表!$H$6,0)</f>
        <v>60140</v>
      </c>
      <c r="AU23" s="133">
        <f t="shared" ref="AU23:AW23" si="589">AT23</f>
        <v>60140</v>
      </c>
      <c r="AV23" s="133">
        <f t="shared" si="589"/>
        <v>60140</v>
      </c>
      <c r="AW23" s="133">
        <f t="shared" si="589"/>
        <v>60140</v>
      </c>
      <c r="AX23" s="133">
        <f>ROUND(AW23*(1+取值表!$D$6)*取值表!$H$6,0)</f>
        <v>59649</v>
      </c>
      <c r="AY23" s="133">
        <f t="shared" ref="AY23:BA23" si="590">AX23</f>
        <v>59649</v>
      </c>
      <c r="AZ23" s="133">
        <f t="shared" si="590"/>
        <v>59649</v>
      </c>
      <c r="BA23" s="133">
        <f t="shared" si="590"/>
        <v>59649</v>
      </c>
      <c r="BB23" s="133">
        <f>ROUND(BA23*(1+取值表!$D$6)*取值表!$H$6,0)</f>
        <v>59162</v>
      </c>
      <c r="BC23" s="133">
        <f t="shared" ref="BC23:BE23" si="591">BB23</f>
        <v>59162</v>
      </c>
      <c r="BD23" s="133">
        <f t="shared" si="591"/>
        <v>59162</v>
      </c>
      <c r="BE23" s="133">
        <f t="shared" si="591"/>
        <v>59162</v>
      </c>
      <c r="BF23" s="133">
        <f>ROUND(BE23*(1+取值表!$D$6)*取值表!$H$6,0)</f>
        <v>58679</v>
      </c>
      <c r="BG23" s="133">
        <f t="shared" ref="BG23:BI23" si="592">BF23</f>
        <v>58679</v>
      </c>
      <c r="BH23" s="133">
        <f t="shared" si="592"/>
        <v>58679</v>
      </c>
      <c r="BI23" s="133">
        <f t="shared" si="592"/>
        <v>58679</v>
      </c>
      <c r="BJ23" s="133">
        <f>ROUND(BI23*(1+取值表!$D$6)*取值表!$H$6,0)</f>
        <v>58200</v>
      </c>
      <c r="BK23" s="133">
        <f t="shared" ref="BK23:BM23" si="593">BJ23</f>
        <v>58200</v>
      </c>
      <c r="BL23" s="133">
        <f t="shared" si="593"/>
        <v>58200</v>
      </c>
      <c r="BM23" s="133">
        <f t="shared" si="593"/>
        <v>58200</v>
      </c>
      <c r="BN23" s="133">
        <f>ROUND(BM23*(1+取值表!$D$6)*取值表!$H$6,0)</f>
        <v>57724</v>
      </c>
      <c r="BO23" s="133">
        <f t="shared" ref="BO23:BQ23" si="594">BN23</f>
        <v>57724</v>
      </c>
      <c r="BP23" s="133">
        <f t="shared" si="594"/>
        <v>57724</v>
      </c>
      <c r="BQ23" s="133">
        <f t="shared" si="594"/>
        <v>57724</v>
      </c>
      <c r="BR23" s="133">
        <f>ROUND(BQ23*(1+取值表!$D$6)*取值表!$H$6,0)</f>
        <v>57252</v>
      </c>
      <c r="BS23" s="133">
        <f t="shared" ref="BS23:BU23" si="595">BR23</f>
        <v>57252</v>
      </c>
      <c r="BT23" s="133">
        <f t="shared" si="595"/>
        <v>57252</v>
      </c>
      <c r="BU23" s="133">
        <f t="shared" si="595"/>
        <v>57252</v>
      </c>
      <c r="BV23" s="133">
        <f>ROUND(BU23*(1+取值表!$D$6)*取值表!$H$6,0)</f>
        <v>56784</v>
      </c>
      <c r="BW23" s="133">
        <f t="shared" ref="BW23:BY23" si="596">BV23</f>
        <v>56784</v>
      </c>
      <c r="BX23" s="133">
        <f t="shared" si="596"/>
        <v>56784</v>
      </c>
      <c r="BY23" s="133">
        <f t="shared" si="596"/>
        <v>56784</v>
      </c>
      <c r="BZ23" s="133">
        <f>ROUND(BY23*(1+取值表!$D$6)*取值表!$H$6,0)</f>
        <v>56320</v>
      </c>
      <c r="CA23" s="133">
        <f t="shared" ref="CA23:CC23" si="597">BZ23</f>
        <v>56320</v>
      </c>
      <c r="CB23" s="133">
        <f t="shared" si="597"/>
        <v>56320</v>
      </c>
      <c r="CC23" s="133">
        <f t="shared" si="597"/>
        <v>56320</v>
      </c>
      <c r="CD23" s="133">
        <f>ROUND(CC23*(1+取值表!$D$6)*取值表!$H$6,0)</f>
        <v>55860</v>
      </c>
      <c r="CE23" s="133">
        <f t="shared" ref="CE23:CG23" si="598">CD23</f>
        <v>55860</v>
      </c>
      <c r="CF23" s="133">
        <f t="shared" si="598"/>
        <v>55860</v>
      </c>
      <c r="CG23" s="133">
        <f t="shared" si="598"/>
        <v>55860</v>
      </c>
      <c r="CH23" s="133">
        <f>ROUND(CG23*(1+取值表!$D$6)*取值表!$H$6,0)</f>
        <v>55404</v>
      </c>
      <c r="CI23" s="133">
        <f t="shared" ref="CI23:CK23" si="599">CH23</f>
        <v>55404</v>
      </c>
      <c r="CJ23" s="133">
        <f t="shared" si="599"/>
        <v>55404</v>
      </c>
      <c r="CK23" s="133">
        <f t="shared" si="599"/>
        <v>55404</v>
      </c>
      <c r="CL23" s="133">
        <f>ROUND(CK23*(1+取值表!$D$6)*取值表!$H$6,0)</f>
        <v>54951</v>
      </c>
      <c r="CM23" s="133">
        <f t="shared" ref="CM23:CO23" si="600">CL23</f>
        <v>54951</v>
      </c>
      <c r="CN23" s="133">
        <f t="shared" si="600"/>
        <v>54951</v>
      </c>
      <c r="CO23" s="133">
        <f t="shared" si="600"/>
        <v>54951</v>
      </c>
      <c r="CP23" s="133">
        <f>ROUND(CO23*(1+取值表!$D$6)*取值表!$H$6,0)</f>
        <v>54502</v>
      </c>
      <c r="CQ23" s="133">
        <f t="shared" ref="CQ23" si="601">CP23</f>
        <v>54502</v>
      </c>
      <c r="CR23" s="133">
        <f t="shared" ref="CR23" si="602">CQ23</f>
        <v>54502</v>
      </c>
      <c r="CS23" s="133">
        <f t="shared" ref="CS23" si="603">CR23</f>
        <v>54502</v>
      </c>
      <c r="CT23" s="133">
        <f>ROUND(CS23*(1+取值表!$D$6)*取值表!$H$6,0)</f>
        <v>54057</v>
      </c>
      <c r="CU23" s="133">
        <f t="shared" ref="CU23" si="604">CT23</f>
        <v>54057</v>
      </c>
      <c r="CV23" s="133">
        <f t="shared" ref="CV23" si="605">CU23</f>
        <v>54057</v>
      </c>
      <c r="CW23" s="133">
        <f t="shared" ref="CW23" si="606">CV23</f>
        <v>54057</v>
      </c>
      <c r="CX23" s="133">
        <f>ROUND(CW23*(1+取值表!$D$6)*取值表!$H$6,0)</f>
        <v>53615</v>
      </c>
      <c r="CY23" s="133">
        <f t="shared" ref="CY23" si="607">CX23</f>
        <v>53615</v>
      </c>
      <c r="CZ23" s="133">
        <f t="shared" ref="CZ23" si="608">CY23</f>
        <v>53615</v>
      </c>
      <c r="DA23" s="133">
        <f t="shared" ref="DA23" si="609">CZ23</f>
        <v>53615</v>
      </c>
      <c r="DB23" s="133">
        <f>ROUND(DA23*(1+取值表!$D$6)*取值表!$H$6,0)</f>
        <v>53177</v>
      </c>
      <c r="DC23" s="133">
        <f t="shared" ref="DC23" si="610">DB23</f>
        <v>53177</v>
      </c>
      <c r="DD23" s="133">
        <f t="shared" ref="DD23" si="611">DC23</f>
        <v>53177</v>
      </c>
      <c r="DE23" s="133">
        <f t="shared" ref="DE23" si="612">DD23</f>
        <v>53177</v>
      </c>
      <c r="DF23" s="133">
        <f>ROUND(DE23*(1+取值表!$D$6)*取值表!$H$6,0)</f>
        <v>52742</v>
      </c>
      <c r="DG23" s="133">
        <f t="shared" ref="DG23" si="613">DF23</f>
        <v>52742</v>
      </c>
      <c r="DH23" s="133">
        <f t="shared" ref="DH23" si="614">DG23</f>
        <v>52742</v>
      </c>
      <c r="DI23" s="133">
        <f t="shared" ref="DI23" si="615">DH23</f>
        <v>52742</v>
      </c>
      <c r="DJ23" s="133">
        <f>ROUND(DI23*(1+取值表!$D$6)*取值表!$H$6,0)</f>
        <v>52311</v>
      </c>
      <c r="DK23" s="133">
        <f t="shared" ref="DK23" si="616">DJ23</f>
        <v>52311</v>
      </c>
      <c r="DL23" s="133">
        <f t="shared" ref="DL23" si="617">DK23</f>
        <v>52311</v>
      </c>
      <c r="DM23" s="133">
        <f t="shared" ref="DM23" si="618">DL23</f>
        <v>52311</v>
      </c>
      <c r="DN23" s="133">
        <f>ROUND(DM23*(1+取值表!$D$6)*取值表!$H$6,0)</f>
        <v>51884</v>
      </c>
      <c r="DO23" s="133">
        <f t="shared" ref="DO23" si="619">DN23</f>
        <v>51884</v>
      </c>
      <c r="DP23" s="133">
        <f t="shared" ref="DP23" si="620">DO23</f>
        <v>51884</v>
      </c>
      <c r="DQ23" s="133">
        <f t="shared" ref="DQ23" si="621">DP23</f>
        <v>51884</v>
      </c>
      <c r="DR23" s="133">
        <f>ROUND(DQ23*(1+取值表!$D$6)*取值表!$H$6,0)</f>
        <v>51460</v>
      </c>
      <c r="DS23" s="133">
        <f t="shared" ref="DS23" si="622">DR23</f>
        <v>51460</v>
      </c>
      <c r="DT23" s="133">
        <f t="shared" ref="DT23" si="623">DS23</f>
        <v>51460</v>
      </c>
      <c r="DU23" s="133">
        <f t="shared" ref="DU23" si="624">DT23</f>
        <v>51460</v>
      </c>
      <c r="DV23" s="133">
        <f>ROUND(DU23*(1+取值表!$D$6)*取值表!$H$6,0)</f>
        <v>51040</v>
      </c>
      <c r="DW23" s="133">
        <f t="shared" ref="DW23" si="625">DV23</f>
        <v>51040</v>
      </c>
      <c r="DX23" s="133">
        <f t="shared" ref="DX23" si="626">DW23</f>
        <v>51040</v>
      </c>
      <c r="DY23" s="133">
        <f t="shared" ref="DY23" si="627">DX23</f>
        <v>51040</v>
      </c>
      <c r="DZ23" s="133">
        <f>ROUND(DY23*(1+取值表!$D$6)*取值表!$H$6,0)</f>
        <v>50623</v>
      </c>
      <c r="EA23" s="133">
        <f t="shared" ref="EA23" si="628">DZ23</f>
        <v>50623</v>
      </c>
      <c r="EB23" s="133">
        <f t="shared" ref="EB23" si="629">EA23</f>
        <v>50623</v>
      </c>
      <c r="EC23" s="133">
        <f t="shared" ref="EC23" si="630">EB23</f>
        <v>50623</v>
      </c>
      <c r="ED23" s="133">
        <f>ROUND(EC23*(1+取值表!$D$6)*取值表!$H$6,0)</f>
        <v>50209</v>
      </c>
      <c r="EE23" s="133">
        <f t="shared" ref="EE23" si="631">ED23</f>
        <v>50209</v>
      </c>
      <c r="EF23" s="133">
        <f t="shared" ref="EF23" si="632">EE23</f>
        <v>50209</v>
      </c>
      <c r="EG23" s="133">
        <f t="shared" ref="EG23" si="633">EF23</f>
        <v>50209</v>
      </c>
      <c r="EH23" s="133">
        <f>ROUND(EG23*(1+取值表!$D$6)*取值表!$H$6,0)</f>
        <v>49799</v>
      </c>
      <c r="EI23" s="133">
        <f t="shared" ref="EI23" si="634">EH23</f>
        <v>49799</v>
      </c>
      <c r="EJ23" s="133">
        <f t="shared" ref="EJ23" si="635">EI23</f>
        <v>49799</v>
      </c>
      <c r="EK23" s="133">
        <f t="shared" ref="EK23" si="636">EJ23</f>
        <v>49799</v>
      </c>
      <c r="EL23" s="133">
        <f>ROUND(EK23*(1+取值表!$D$6)*取值表!$H$6,0)</f>
        <v>49392</v>
      </c>
      <c r="EM23" s="133">
        <f t="shared" ref="EM23" si="637">EL23</f>
        <v>49392</v>
      </c>
      <c r="EN23" s="133">
        <f t="shared" ref="EN23" si="638">EM23</f>
        <v>49392</v>
      </c>
      <c r="EO23" s="133">
        <f t="shared" ref="EO23" si="639">EN23</f>
        <v>49392</v>
      </c>
      <c r="EP23" s="133">
        <f>ROUND(EO23*(1+取值表!$D$6)*取值表!$H$6,0)</f>
        <v>48988</v>
      </c>
      <c r="EQ23" s="133">
        <f t="shared" ref="EQ23" si="640">EP23</f>
        <v>48988</v>
      </c>
      <c r="ER23" s="133">
        <f t="shared" ref="ER23" si="641">EQ23</f>
        <v>48988</v>
      </c>
      <c r="ES23" s="133">
        <f t="shared" ref="ES23" si="642">ER23</f>
        <v>48988</v>
      </c>
      <c r="ET23" s="133">
        <f t="shared" si="39"/>
        <v>7911912</v>
      </c>
    </row>
    <row r="24" spans="1:150">
      <c r="A24" s="402"/>
      <c r="B24" s="406"/>
      <c r="C24" s="400"/>
      <c r="D24" s="401"/>
      <c r="E24" s="398"/>
      <c r="F24" s="399"/>
      <c r="G24" s="399"/>
      <c r="H24" s="482"/>
      <c r="I24" s="129"/>
      <c r="J24" s="131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/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33"/>
      <c r="DU24" s="133"/>
      <c r="DV24" s="133"/>
      <c r="DW24" s="133"/>
      <c r="DX24" s="133"/>
      <c r="DY24" s="133"/>
      <c r="DZ24" s="133"/>
      <c r="EA24" s="133"/>
      <c r="EB24" s="133"/>
      <c r="EC24" s="133"/>
      <c r="ED24" s="133"/>
      <c r="EE24" s="133"/>
      <c r="EF24" s="133"/>
      <c r="EG24" s="133"/>
      <c r="EH24" s="133"/>
      <c r="EI24" s="133"/>
      <c r="EJ24" s="133"/>
      <c r="EK24" s="133"/>
      <c r="EL24" s="133"/>
      <c r="EM24" s="133"/>
      <c r="EN24" s="133"/>
      <c r="EO24" s="133"/>
      <c r="EP24" s="133"/>
      <c r="EQ24" s="133"/>
      <c r="ER24" s="133"/>
      <c r="ES24" s="133"/>
      <c r="ET24" s="133">
        <f t="shared" si="39"/>
        <v>0</v>
      </c>
    </row>
    <row r="25" spans="1:150">
      <c r="A25" s="402">
        <v>12</v>
      </c>
      <c r="B25" s="414" t="s">
        <v>1078</v>
      </c>
      <c r="C25" s="400" t="s">
        <v>1079</v>
      </c>
      <c r="D25" s="401" t="s">
        <v>426</v>
      </c>
      <c r="E25" s="398" t="s">
        <v>422</v>
      </c>
      <c r="F25" s="399">
        <v>188.15</v>
      </c>
      <c r="G25" s="399">
        <v>20</v>
      </c>
      <c r="H25" s="482">
        <f>F25*G25*365</f>
        <v>1373495</v>
      </c>
      <c r="I25" s="129">
        <v>343373.75</v>
      </c>
      <c r="J25" s="131">
        <f>ROUND(125903.71*3,0)</f>
        <v>377711</v>
      </c>
      <c r="K25" s="132">
        <f>J25</f>
        <v>377711</v>
      </c>
      <c r="L25" s="133">
        <f>K25</f>
        <v>377711</v>
      </c>
      <c r="M25" s="133">
        <f>L25</f>
        <v>377711</v>
      </c>
      <c r="N25" s="133">
        <f>ROUND(M25*(1+取值表!$D$6)*取值表!$H$6,0)</f>
        <v>374625</v>
      </c>
      <c r="O25" s="133">
        <f>N25</f>
        <v>374625</v>
      </c>
      <c r="P25" s="133">
        <f>O25</f>
        <v>374625</v>
      </c>
      <c r="Q25" s="133">
        <f>P25</f>
        <v>374625</v>
      </c>
      <c r="R25" s="133">
        <f>ROUND(Q25*(1+取值表!$D$6)*取值表!$H$6,0)</f>
        <v>371564</v>
      </c>
      <c r="S25" s="133">
        <f t="shared" ref="S25:U25" si="643">R25</f>
        <v>371564</v>
      </c>
      <c r="T25" s="133">
        <f t="shared" si="643"/>
        <v>371564</v>
      </c>
      <c r="U25" s="133">
        <f t="shared" si="643"/>
        <v>371564</v>
      </c>
      <c r="V25" s="133">
        <f>ROUND(U25*(1+取值表!$D$6)*取值表!$H$6,0)</f>
        <v>368528</v>
      </c>
      <c r="W25" s="133">
        <f t="shared" ref="W25:Y25" si="644">V25</f>
        <v>368528</v>
      </c>
      <c r="X25" s="133">
        <f t="shared" si="644"/>
        <v>368528</v>
      </c>
      <c r="Y25" s="133">
        <f t="shared" si="644"/>
        <v>368528</v>
      </c>
      <c r="Z25" s="133">
        <f>ROUND(Y25*(1+取值表!$D$6)*取值表!$H$6,0)</f>
        <v>365517</v>
      </c>
      <c r="AA25" s="133">
        <f t="shared" ref="AA25:AC25" si="645">Z25</f>
        <v>365517</v>
      </c>
      <c r="AB25" s="133">
        <f t="shared" si="645"/>
        <v>365517</v>
      </c>
      <c r="AC25" s="133">
        <f t="shared" si="645"/>
        <v>365517</v>
      </c>
      <c r="AD25" s="133">
        <f>ROUND(AC25*(1+取值表!$D$6)*取值表!$H$6,0)</f>
        <v>362530</v>
      </c>
      <c r="AE25" s="133">
        <f t="shared" ref="AE25:AG25" si="646">AD25</f>
        <v>362530</v>
      </c>
      <c r="AF25" s="133">
        <f t="shared" si="646"/>
        <v>362530</v>
      </c>
      <c r="AG25" s="133">
        <f t="shared" si="646"/>
        <v>362530</v>
      </c>
      <c r="AH25" s="133">
        <f>ROUND(AG25*(1+取值表!$D$6)*取值表!$H$6,0)</f>
        <v>359568</v>
      </c>
      <c r="AI25" s="133">
        <f t="shared" ref="AI25:AK25" si="647">AH25</f>
        <v>359568</v>
      </c>
      <c r="AJ25" s="133">
        <f t="shared" si="647"/>
        <v>359568</v>
      </c>
      <c r="AK25" s="133">
        <f t="shared" si="647"/>
        <v>359568</v>
      </c>
      <c r="AL25" s="133">
        <f>ROUND(AK25*(1+取值表!$D$6)*取值表!$H$6,0)</f>
        <v>356630</v>
      </c>
      <c r="AM25" s="133">
        <f t="shared" ref="AM25:AO25" si="648">AL25</f>
        <v>356630</v>
      </c>
      <c r="AN25" s="133">
        <f t="shared" si="648"/>
        <v>356630</v>
      </c>
      <c r="AO25" s="133">
        <f t="shared" si="648"/>
        <v>356630</v>
      </c>
      <c r="AP25" s="133">
        <f>ROUND(AO25*(1+取值表!$D$6)*取值表!$H$6,0)</f>
        <v>353716</v>
      </c>
      <c r="AQ25" s="133">
        <f t="shared" ref="AQ25:AS25" si="649">AP25</f>
        <v>353716</v>
      </c>
      <c r="AR25" s="133">
        <f t="shared" si="649"/>
        <v>353716</v>
      </c>
      <c r="AS25" s="133">
        <f t="shared" si="649"/>
        <v>353716</v>
      </c>
      <c r="AT25" s="133">
        <f>ROUND(AS25*(1+取值表!$D$6)*取值表!$H$6,0)</f>
        <v>350826</v>
      </c>
      <c r="AU25" s="133">
        <f t="shared" ref="AU25:AW25" si="650">AT25</f>
        <v>350826</v>
      </c>
      <c r="AV25" s="133">
        <f t="shared" si="650"/>
        <v>350826</v>
      </c>
      <c r="AW25" s="133">
        <f t="shared" si="650"/>
        <v>350826</v>
      </c>
      <c r="AX25" s="133">
        <f>ROUND(AW25*(1+取值表!$D$6)*取值表!$H$6,0)</f>
        <v>347959</v>
      </c>
      <c r="AY25" s="133">
        <f t="shared" ref="AY25:BA25" si="651">AX25</f>
        <v>347959</v>
      </c>
      <c r="AZ25" s="133">
        <f t="shared" si="651"/>
        <v>347959</v>
      </c>
      <c r="BA25" s="133">
        <f t="shared" si="651"/>
        <v>347959</v>
      </c>
      <c r="BB25" s="133">
        <f>ROUND(BA25*(1+取值表!$D$6)*取值表!$H$6,0)</f>
        <v>345116</v>
      </c>
      <c r="BC25" s="133">
        <f t="shared" ref="BC25:BE25" si="652">BB25</f>
        <v>345116</v>
      </c>
      <c r="BD25" s="133">
        <f t="shared" si="652"/>
        <v>345116</v>
      </c>
      <c r="BE25" s="133">
        <f t="shared" si="652"/>
        <v>345116</v>
      </c>
      <c r="BF25" s="133">
        <f>ROUND(BE25*(1+取值表!$D$6)*取值表!$H$6,0)</f>
        <v>342296</v>
      </c>
      <c r="BG25" s="133">
        <f t="shared" ref="BG25:BI25" si="653">BF25</f>
        <v>342296</v>
      </c>
      <c r="BH25" s="133">
        <f t="shared" si="653"/>
        <v>342296</v>
      </c>
      <c r="BI25" s="133">
        <f t="shared" si="653"/>
        <v>342296</v>
      </c>
      <c r="BJ25" s="133">
        <f>ROUND(BI25*(1+取值表!$D$6)*取值表!$H$6,0)</f>
        <v>339499</v>
      </c>
      <c r="BK25" s="133">
        <f t="shared" ref="BK25:BM25" si="654">BJ25</f>
        <v>339499</v>
      </c>
      <c r="BL25" s="133">
        <f t="shared" si="654"/>
        <v>339499</v>
      </c>
      <c r="BM25" s="133">
        <f t="shared" si="654"/>
        <v>339499</v>
      </c>
      <c r="BN25" s="133">
        <f>ROUND(BM25*(1+取值表!$D$6)*取值表!$H$6,0)</f>
        <v>336725</v>
      </c>
      <c r="BO25" s="133">
        <f t="shared" ref="BO25:BQ25" si="655">BN25</f>
        <v>336725</v>
      </c>
      <c r="BP25" s="133">
        <f t="shared" si="655"/>
        <v>336725</v>
      </c>
      <c r="BQ25" s="133">
        <f t="shared" si="655"/>
        <v>336725</v>
      </c>
      <c r="BR25" s="133">
        <f>ROUND(BQ25*(1+取值表!$D$6)*取值表!$H$6,0)</f>
        <v>333974</v>
      </c>
      <c r="BS25" s="133">
        <f t="shared" ref="BS25:BU25" si="656">BR25</f>
        <v>333974</v>
      </c>
      <c r="BT25" s="133">
        <f t="shared" si="656"/>
        <v>333974</v>
      </c>
      <c r="BU25" s="133">
        <f t="shared" si="656"/>
        <v>333974</v>
      </c>
      <c r="BV25" s="133">
        <f>ROUND(BU25*(1+取值表!$D$6)*取值表!$H$6,0)</f>
        <v>331245</v>
      </c>
      <c r="BW25" s="133">
        <f t="shared" ref="BW25:BY25" si="657">BV25</f>
        <v>331245</v>
      </c>
      <c r="BX25" s="133">
        <f t="shared" si="657"/>
        <v>331245</v>
      </c>
      <c r="BY25" s="133">
        <f t="shared" si="657"/>
        <v>331245</v>
      </c>
      <c r="BZ25" s="133">
        <f>ROUND(BY25*(1+取值表!$D$6)*取值表!$H$6,0)</f>
        <v>328538</v>
      </c>
      <c r="CA25" s="133">
        <f t="shared" ref="CA25:CC25" si="658">BZ25</f>
        <v>328538</v>
      </c>
      <c r="CB25" s="133">
        <f t="shared" si="658"/>
        <v>328538</v>
      </c>
      <c r="CC25" s="133">
        <f t="shared" si="658"/>
        <v>328538</v>
      </c>
      <c r="CD25" s="133">
        <f>ROUND(CC25*(1+取值表!$D$6)*取值表!$H$6,0)</f>
        <v>325854</v>
      </c>
      <c r="CE25" s="133">
        <f t="shared" ref="CE25:CG25" si="659">CD25</f>
        <v>325854</v>
      </c>
      <c r="CF25" s="133">
        <f t="shared" si="659"/>
        <v>325854</v>
      </c>
      <c r="CG25" s="133">
        <f t="shared" si="659"/>
        <v>325854</v>
      </c>
      <c r="CH25" s="133">
        <f>ROUND(CG25*(1+取值表!$D$6)*取值表!$H$6,0)</f>
        <v>323191</v>
      </c>
      <c r="CI25" s="133">
        <f t="shared" ref="CI25:CK25" si="660">CH25</f>
        <v>323191</v>
      </c>
      <c r="CJ25" s="133">
        <f t="shared" si="660"/>
        <v>323191</v>
      </c>
      <c r="CK25" s="133">
        <f t="shared" si="660"/>
        <v>323191</v>
      </c>
      <c r="CL25" s="133">
        <f>ROUND(CK25*(1+取值表!$D$6)*取值表!$H$6,0)</f>
        <v>320550</v>
      </c>
      <c r="CM25" s="133">
        <f t="shared" ref="CM25:CO25" si="661">CL25</f>
        <v>320550</v>
      </c>
      <c r="CN25" s="133">
        <f t="shared" si="661"/>
        <v>320550</v>
      </c>
      <c r="CO25" s="133">
        <f t="shared" si="661"/>
        <v>320550</v>
      </c>
      <c r="CP25" s="133">
        <f>ROUND(CO25*(1+取值表!$D$6)*取值表!$H$6,0)</f>
        <v>317931</v>
      </c>
      <c r="CQ25" s="133">
        <f t="shared" ref="CQ25" si="662">CP25</f>
        <v>317931</v>
      </c>
      <c r="CR25" s="133">
        <f t="shared" ref="CR25" si="663">CQ25</f>
        <v>317931</v>
      </c>
      <c r="CS25" s="133">
        <f t="shared" ref="CS25" si="664">CR25</f>
        <v>317931</v>
      </c>
      <c r="CT25" s="133">
        <f>ROUND(CS25*(1+取值表!$D$6)*取值表!$H$6,0)</f>
        <v>315333</v>
      </c>
      <c r="CU25" s="133">
        <f t="shared" ref="CU25" si="665">CT25</f>
        <v>315333</v>
      </c>
      <c r="CV25" s="133">
        <f t="shared" ref="CV25" si="666">CU25</f>
        <v>315333</v>
      </c>
      <c r="CW25" s="133">
        <f t="shared" ref="CW25" si="667">CV25</f>
        <v>315333</v>
      </c>
      <c r="CX25" s="133">
        <f>ROUND(CW25*(1+取值表!$D$6)*取值表!$H$6,0)</f>
        <v>312756</v>
      </c>
      <c r="CY25" s="133">
        <f t="shared" ref="CY25" si="668">CX25</f>
        <v>312756</v>
      </c>
      <c r="CZ25" s="133">
        <f t="shared" ref="CZ25" si="669">CY25</f>
        <v>312756</v>
      </c>
      <c r="DA25" s="133">
        <f t="shared" ref="DA25" si="670">CZ25</f>
        <v>312756</v>
      </c>
      <c r="DB25" s="133">
        <f>ROUND(DA25*(1+取值表!$D$6)*取值表!$H$6,0)</f>
        <v>310200</v>
      </c>
      <c r="DC25" s="133">
        <f t="shared" ref="DC25" si="671">DB25</f>
        <v>310200</v>
      </c>
      <c r="DD25" s="133">
        <f t="shared" ref="DD25" si="672">DC25</f>
        <v>310200</v>
      </c>
      <c r="DE25" s="133">
        <f t="shared" ref="DE25" si="673">DD25</f>
        <v>310200</v>
      </c>
      <c r="DF25" s="133">
        <f>ROUND(DE25*(1+取值表!$D$6)*取值表!$H$6,0)</f>
        <v>307665</v>
      </c>
      <c r="DG25" s="133">
        <f t="shared" ref="DG25" si="674">DF25</f>
        <v>307665</v>
      </c>
      <c r="DH25" s="133">
        <f t="shared" ref="DH25" si="675">DG25</f>
        <v>307665</v>
      </c>
      <c r="DI25" s="133">
        <f t="shared" ref="DI25" si="676">DH25</f>
        <v>307665</v>
      </c>
      <c r="DJ25" s="133">
        <f>ROUND(DI25*(1+取值表!$D$6)*取值表!$H$6,0)</f>
        <v>305151</v>
      </c>
      <c r="DK25" s="133">
        <f t="shared" ref="DK25" si="677">DJ25</f>
        <v>305151</v>
      </c>
      <c r="DL25" s="133">
        <f t="shared" ref="DL25" si="678">DK25</f>
        <v>305151</v>
      </c>
      <c r="DM25" s="133">
        <f t="shared" ref="DM25" si="679">DL25</f>
        <v>305151</v>
      </c>
      <c r="DN25" s="133">
        <f>ROUND(DM25*(1+取值表!$D$6)*取值表!$H$6,0)</f>
        <v>302658</v>
      </c>
      <c r="DO25" s="133">
        <f t="shared" ref="DO25" si="680">DN25</f>
        <v>302658</v>
      </c>
      <c r="DP25" s="133">
        <f t="shared" ref="DP25" si="681">DO25</f>
        <v>302658</v>
      </c>
      <c r="DQ25" s="133">
        <f t="shared" ref="DQ25" si="682">DP25</f>
        <v>302658</v>
      </c>
      <c r="DR25" s="133">
        <f>ROUND(DQ25*(1+取值表!$D$6)*取值表!$H$6,0)</f>
        <v>300185</v>
      </c>
      <c r="DS25" s="133">
        <f t="shared" ref="DS25" si="683">DR25</f>
        <v>300185</v>
      </c>
      <c r="DT25" s="133">
        <f t="shared" ref="DT25" si="684">DS25</f>
        <v>300185</v>
      </c>
      <c r="DU25" s="133">
        <f t="shared" ref="DU25" si="685">DT25</f>
        <v>300185</v>
      </c>
      <c r="DV25" s="133">
        <f>ROUND(DU25*(1+取值表!$D$6)*取值表!$H$6,0)</f>
        <v>297732</v>
      </c>
      <c r="DW25" s="133">
        <f t="shared" ref="DW25" si="686">DV25</f>
        <v>297732</v>
      </c>
      <c r="DX25" s="133">
        <f t="shared" ref="DX25" si="687">DW25</f>
        <v>297732</v>
      </c>
      <c r="DY25" s="133">
        <f t="shared" ref="DY25" si="688">DX25</f>
        <v>297732</v>
      </c>
      <c r="DZ25" s="133">
        <f>ROUND(DY25*(1+取值表!$D$6)*取值表!$H$6,0)</f>
        <v>295299</v>
      </c>
      <c r="EA25" s="133">
        <f t="shared" ref="EA25" si="689">DZ25</f>
        <v>295299</v>
      </c>
      <c r="EB25" s="133">
        <f t="shared" ref="EB25" si="690">EA25</f>
        <v>295299</v>
      </c>
      <c r="EC25" s="133">
        <f t="shared" ref="EC25" si="691">EB25</f>
        <v>295299</v>
      </c>
      <c r="ED25" s="133">
        <f>ROUND(EC25*(1+取值表!$D$6)*取值表!$H$6,0)</f>
        <v>292886</v>
      </c>
      <c r="EE25" s="133">
        <f t="shared" ref="EE25" si="692">ED25</f>
        <v>292886</v>
      </c>
      <c r="EF25" s="133">
        <f t="shared" ref="EF25" si="693">EE25</f>
        <v>292886</v>
      </c>
      <c r="EG25" s="133">
        <f t="shared" ref="EG25" si="694">EF25</f>
        <v>292886</v>
      </c>
      <c r="EH25" s="133">
        <f>ROUND(EG25*(1+取值表!$D$6)*取值表!$H$6,0)</f>
        <v>290493</v>
      </c>
      <c r="EI25" s="133">
        <f t="shared" ref="EI25" si="695">EH25</f>
        <v>290493</v>
      </c>
      <c r="EJ25" s="133">
        <f t="shared" ref="EJ25" si="696">EI25</f>
        <v>290493</v>
      </c>
      <c r="EK25" s="133">
        <f t="shared" ref="EK25" si="697">EJ25</f>
        <v>290493</v>
      </c>
      <c r="EL25" s="133">
        <f>ROUND(EK25*(1+取值表!$D$6)*取值表!$H$6,0)</f>
        <v>288119</v>
      </c>
      <c r="EM25" s="133">
        <f t="shared" ref="EM25" si="698">EL25</f>
        <v>288119</v>
      </c>
      <c r="EN25" s="133">
        <f t="shared" ref="EN25" si="699">EM25</f>
        <v>288119</v>
      </c>
      <c r="EO25" s="133">
        <f t="shared" ref="EO25" si="700">EN25</f>
        <v>288119</v>
      </c>
      <c r="EP25" s="133">
        <f>ROUND(EO25*(1+取值表!$D$6)*取值表!$H$6,0)</f>
        <v>285765</v>
      </c>
      <c r="EQ25" s="133">
        <f t="shared" ref="EQ25" si="701">EP25</f>
        <v>285765</v>
      </c>
      <c r="ER25" s="133">
        <f t="shared" ref="ER25" si="702">EQ25</f>
        <v>285765</v>
      </c>
      <c r="ES25" s="133">
        <f t="shared" ref="ES25" si="703">ER25</f>
        <v>285765</v>
      </c>
      <c r="ET25" s="133">
        <f t="shared" si="39"/>
        <v>46153340</v>
      </c>
    </row>
    <row r="26" spans="1:150">
      <c r="A26" s="402"/>
      <c r="B26" s="414"/>
      <c r="C26" s="400"/>
      <c r="D26" s="401"/>
      <c r="E26" s="398"/>
      <c r="F26" s="399"/>
      <c r="G26" s="399"/>
      <c r="H26" s="482"/>
      <c r="I26" s="129"/>
      <c r="J26" s="131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/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33"/>
      <c r="DU26" s="133"/>
      <c r="DV26" s="133"/>
      <c r="DW26" s="133"/>
      <c r="DX26" s="133"/>
      <c r="DY26" s="133"/>
      <c r="DZ26" s="133"/>
      <c r="EA26" s="133"/>
      <c r="EB26" s="133"/>
      <c r="EC26" s="133"/>
      <c r="ED26" s="133"/>
      <c r="EE26" s="133"/>
      <c r="EF26" s="133"/>
      <c r="EG26" s="133"/>
      <c r="EH26" s="133"/>
      <c r="EI26" s="133"/>
      <c r="EJ26" s="133"/>
      <c r="EK26" s="133"/>
      <c r="EL26" s="133"/>
      <c r="EM26" s="133"/>
      <c r="EN26" s="133"/>
      <c r="EO26" s="133"/>
      <c r="EP26" s="133"/>
      <c r="EQ26" s="133"/>
      <c r="ER26" s="133"/>
      <c r="ES26" s="133"/>
      <c r="ET26" s="133">
        <f t="shared" si="39"/>
        <v>0</v>
      </c>
    </row>
    <row r="27" spans="1:150" ht="12" customHeight="1">
      <c r="A27" s="402">
        <v>13</v>
      </c>
      <c r="B27" s="406" t="s">
        <v>1080</v>
      </c>
      <c r="C27" s="400" t="s">
        <v>1081</v>
      </c>
      <c r="D27" s="401" t="s">
        <v>427</v>
      </c>
      <c r="E27" s="398" t="s">
        <v>422</v>
      </c>
      <c r="F27" s="399">
        <v>129.53</v>
      </c>
      <c r="G27" s="399">
        <v>14</v>
      </c>
      <c r="H27" s="482">
        <f>F27*G27*365</f>
        <v>661898.30000000005</v>
      </c>
      <c r="I27" s="129">
        <v>165474.57</v>
      </c>
      <c r="J27" s="132">
        <f>ROUND(G27*F27*365/4,0)</f>
        <v>165475</v>
      </c>
      <c r="K27" s="133">
        <f>J27</f>
        <v>165475</v>
      </c>
      <c r="L27" s="133">
        <f>K27</f>
        <v>165475</v>
      </c>
      <c r="M27" s="133">
        <f>L27</f>
        <v>165475</v>
      </c>
      <c r="N27" s="133">
        <f>ROUND(M27*(1+取值表!$D$6)*取值表!$H$6,0)</f>
        <v>164123</v>
      </c>
      <c r="O27" s="133">
        <f>N27</f>
        <v>164123</v>
      </c>
      <c r="P27" s="133">
        <f>O27</f>
        <v>164123</v>
      </c>
      <c r="Q27" s="133">
        <f>P27</f>
        <v>164123</v>
      </c>
      <c r="R27" s="133">
        <f>ROUND(Q27*(1+取值表!$D$6)*取值表!$H$6,0)</f>
        <v>162782</v>
      </c>
      <c r="S27" s="133">
        <f t="shared" ref="S27:U27" si="704">R27</f>
        <v>162782</v>
      </c>
      <c r="T27" s="133">
        <f t="shared" si="704"/>
        <v>162782</v>
      </c>
      <c r="U27" s="133">
        <f t="shared" si="704"/>
        <v>162782</v>
      </c>
      <c r="V27" s="133">
        <f>ROUND(U27*(1+取值表!$D$6)*取值表!$H$6,0)</f>
        <v>161452</v>
      </c>
      <c r="W27" s="133">
        <f t="shared" ref="W27:Y27" si="705">V27</f>
        <v>161452</v>
      </c>
      <c r="X27" s="133">
        <f t="shared" si="705"/>
        <v>161452</v>
      </c>
      <c r="Y27" s="133">
        <f t="shared" si="705"/>
        <v>161452</v>
      </c>
      <c r="Z27" s="133">
        <f>ROUND(Y27*(1+取值表!$D$6)*取值表!$H$6,0)</f>
        <v>160133</v>
      </c>
      <c r="AA27" s="133">
        <f t="shared" ref="AA27:AC27" si="706">Z27</f>
        <v>160133</v>
      </c>
      <c r="AB27" s="133">
        <f t="shared" si="706"/>
        <v>160133</v>
      </c>
      <c r="AC27" s="133">
        <f t="shared" si="706"/>
        <v>160133</v>
      </c>
      <c r="AD27" s="133">
        <f>ROUND(AC27*(1+取值表!$D$6)*取值表!$H$6,0)</f>
        <v>158825</v>
      </c>
      <c r="AE27" s="133">
        <f t="shared" ref="AE27:AG27" si="707">AD27</f>
        <v>158825</v>
      </c>
      <c r="AF27" s="133">
        <f t="shared" si="707"/>
        <v>158825</v>
      </c>
      <c r="AG27" s="133">
        <f t="shared" si="707"/>
        <v>158825</v>
      </c>
      <c r="AH27" s="133">
        <f>ROUND(AG27*(1+取值表!$D$6)*取值表!$H$6,0)</f>
        <v>157527</v>
      </c>
      <c r="AI27" s="133">
        <f t="shared" ref="AI27:AK27" si="708">AH27</f>
        <v>157527</v>
      </c>
      <c r="AJ27" s="133">
        <f t="shared" si="708"/>
        <v>157527</v>
      </c>
      <c r="AK27" s="133">
        <f t="shared" si="708"/>
        <v>157527</v>
      </c>
      <c r="AL27" s="133">
        <f>ROUND(AK27*(1+取值表!$D$6)*取值表!$H$6,0)</f>
        <v>156240</v>
      </c>
      <c r="AM27" s="133">
        <f t="shared" ref="AM27:AO27" si="709">AL27</f>
        <v>156240</v>
      </c>
      <c r="AN27" s="133">
        <f t="shared" si="709"/>
        <v>156240</v>
      </c>
      <c r="AO27" s="133">
        <f t="shared" si="709"/>
        <v>156240</v>
      </c>
      <c r="AP27" s="133">
        <f>ROUND(AO27*(1+取值表!$D$6)*取值表!$H$6,0)</f>
        <v>154963</v>
      </c>
      <c r="AQ27" s="133">
        <f t="shared" ref="AQ27:AS27" si="710">AP27</f>
        <v>154963</v>
      </c>
      <c r="AR27" s="133">
        <f t="shared" si="710"/>
        <v>154963</v>
      </c>
      <c r="AS27" s="133">
        <f t="shared" si="710"/>
        <v>154963</v>
      </c>
      <c r="AT27" s="133">
        <f>ROUND(AS27*(1+取值表!$D$6)*取值表!$H$6,0)</f>
        <v>153697</v>
      </c>
      <c r="AU27" s="133">
        <f t="shared" ref="AU27:AW27" si="711">AT27</f>
        <v>153697</v>
      </c>
      <c r="AV27" s="133">
        <f t="shared" si="711"/>
        <v>153697</v>
      </c>
      <c r="AW27" s="133">
        <f t="shared" si="711"/>
        <v>153697</v>
      </c>
      <c r="AX27" s="133">
        <f>ROUND(AW27*(1+取值表!$D$6)*取值表!$H$6,0)</f>
        <v>152441</v>
      </c>
      <c r="AY27" s="133">
        <f t="shared" ref="AY27:BA27" si="712">AX27</f>
        <v>152441</v>
      </c>
      <c r="AZ27" s="133">
        <f t="shared" si="712"/>
        <v>152441</v>
      </c>
      <c r="BA27" s="133">
        <f t="shared" si="712"/>
        <v>152441</v>
      </c>
      <c r="BB27" s="133">
        <f>ROUND(BA27*(1+取值表!$D$6)*取值表!$H$6,0)</f>
        <v>151195</v>
      </c>
      <c r="BC27" s="133">
        <f t="shared" ref="BC27:BE27" si="713">BB27</f>
        <v>151195</v>
      </c>
      <c r="BD27" s="133">
        <f t="shared" si="713"/>
        <v>151195</v>
      </c>
      <c r="BE27" s="133">
        <f t="shared" si="713"/>
        <v>151195</v>
      </c>
      <c r="BF27" s="133">
        <f>ROUND(BE27*(1+取值表!$D$6)*取值表!$H$6,0)</f>
        <v>149960</v>
      </c>
      <c r="BG27" s="133">
        <f t="shared" ref="BG27:BI27" si="714">BF27</f>
        <v>149960</v>
      </c>
      <c r="BH27" s="133">
        <f t="shared" si="714"/>
        <v>149960</v>
      </c>
      <c r="BI27" s="133">
        <f t="shared" si="714"/>
        <v>149960</v>
      </c>
      <c r="BJ27" s="133">
        <f>ROUND(BI27*(1+取值表!$D$6)*取值表!$H$6,0)</f>
        <v>148735</v>
      </c>
      <c r="BK27" s="133">
        <f t="shared" ref="BK27:BM27" si="715">BJ27</f>
        <v>148735</v>
      </c>
      <c r="BL27" s="133">
        <f t="shared" si="715"/>
        <v>148735</v>
      </c>
      <c r="BM27" s="133">
        <f t="shared" si="715"/>
        <v>148735</v>
      </c>
      <c r="BN27" s="133">
        <f>ROUND(BM27*(1+取值表!$D$6)*取值表!$H$6,0)</f>
        <v>147520</v>
      </c>
      <c r="BO27" s="133">
        <f t="shared" ref="BO27:BQ27" si="716">BN27</f>
        <v>147520</v>
      </c>
      <c r="BP27" s="133">
        <f t="shared" si="716"/>
        <v>147520</v>
      </c>
      <c r="BQ27" s="133">
        <f t="shared" si="716"/>
        <v>147520</v>
      </c>
      <c r="BR27" s="133">
        <f>ROUND(BQ27*(1+取值表!$D$6)*取值表!$H$6,0)</f>
        <v>146315</v>
      </c>
      <c r="BS27" s="133">
        <f t="shared" ref="BS27:BU27" si="717">BR27</f>
        <v>146315</v>
      </c>
      <c r="BT27" s="133">
        <f t="shared" si="717"/>
        <v>146315</v>
      </c>
      <c r="BU27" s="133">
        <f t="shared" si="717"/>
        <v>146315</v>
      </c>
      <c r="BV27" s="133">
        <f>ROUND(BU27*(1+取值表!$D$6)*取值表!$H$6,0)</f>
        <v>145119</v>
      </c>
      <c r="BW27" s="133">
        <f t="shared" ref="BW27:BY27" si="718">BV27</f>
        <v>145119</v>
      </c>
      <c r="BX27" s="133">
        <f t="shared" si="718"/>
        <v>145119</v>
      </c>
      <c r="BY27" s="133">
        <f t="shared" si="718"/>
        <v>145119</v>
      </c>
      <c r="BZ27" s="133">
        <f>ROUND(BY27*(1+取值表!$D$6)*取值表!$H$6,0)</f>
        <v>143933</v>
      </c>
      <c r="CA27" s="133">
        <f t="shared" ref="CA27:CC27" si="719">BZ27</f>
        <v>143933</v>
      </c>
      <c r="CB27" s="133">
        <f t="shared" si="719"/>
        <v>143933</v>
      </c>
      <c r="CC27" s="133">
        <f t="shared" si="719"/>
        <v>143933</v>
      </c>
      <c r="CD27" s="133">
        <f>ROUND(CC27*(1+取值表!$D$6)*取值表!$H$6,0)</f>
        <v>142757</v>
      </c>
      <c r="CE27" s="133">
        <f t="shared" ref="CE27:CG27" si="720">CD27</f>
        <v>142757</v>
      </c>
      <c r="CF27" s="133">
        <f t="shared" si="720"/>
        <v>142757</v>
      </c>
      <c r="CG27" s="133">
        <f t="shared" si="720"/>
        <v>142757</v>
      </c>
      <c r="CH27" s="133">
        <f>ROUND(CG27*(1+取值表!$D$6)*取值表!$H$6,0)</f>
        <v>141591</v>
      </c>
      <c r="CI27" s="133">
        <f t="shared" ref="CI27:CK27" si="721">CH27</f>
        <v>141591</v>
      </c>
      <c r="CJ27" s="133">
        <f t="shared" si="721"/>
        <v>141591</v>
      </c>
      <c r="CK27" s="133">
        <f t="shared" si="721"/>
        <v>141591</v>
      </c>
      <c r="CL27" s="133">
        <f>ROUND(CK27*(1+取值表!$D$6)*取值表!$H$6,0)</f>
        <v>140434</v>
      </c>
      <c r="CM27" s="133">
        <f t="shared" ref="CM27:CO27" si="722">CL27</f>
        <v>140434</v>
      </c>
      <c r="CN27" s="133">
        <f t="shared" si="722"/>
        <v>140434</v>
      </c>
      <c r="CO27" s="133">
        <f t="shared" si="722"/>
        <v>140434</v>
      </c>
      <c r="CP27" s="133">
        <f>ROUND(CO27*(1+取值表!$D$6)*取值表!$H$6,0)</f>
        <v>139287</v>
      </c>
      <c r="CQ27" s="133">
        <f t="shared" ref="CQ27" si="723">CP27</f>
        <v>139287</v>
      </c>
      <c r="CR27" s="133">
        <f t="shared" ref="CR27" si="724">CQ27</f>
        <v>139287</v>
      </c>
      <c r="CS27" s="133">
        <f t="shared" ref="CS27" si="725">CR27</f>
        <v>139287</v>
      </c>
      <c r="CT27" s="133">
        <f>ROUND(CS27*(1+取值表!$D$6)*取值表!$H$6,0)</f>
        <v>138149</v>
      </c>
      <c r="CU27" s="133">
        <f t="shared" ref="CU27" si="726">CT27</f>
        <v>138149</v>
      </c>
      <c r="CV27" s="133">
        <f t="shared" ref="CV27" si="727">CU27</f>
        <v>138149</v>
      </c>
      <c r="CW27" s="133">
        <f t="shared" ref="CW27" si="728">CV27</f>
        <v>138149</v>
      </c>
      <c r="CX27" s="133">
        <f>ROUND(CW27*(1+取值表!$D$6)*取值表!$H$6,0)</f>
        <v>137020</v>
      </c>
      <c r="CY27" s="133">
        <f t="shared" ref="CY27" si="729">CX27</f>
        <v>137020</v>
      </c>
      <c r="CZ27" s="133">
        <f t="shared" ref="CZ27" si="730">CY27</f>
        <v>137020</v>
      </c>
      <c r="DA27" s="133">
        <f t="shared" ref="DA27" si="731">CZ27</f>
        <v>137020</v>
      </c>
      <c r="DB27" s="133">
        <f>ROUND(DA27*(1+取值表!$D$6)*取值表!$H$6,0)</f>
        <v>135900</v>
      </c>
      <c r="DC27" s="133">
        <f t="shared" ref="DC27" si="732">DB27</f>
        <v>135900</v>
      </c>
      <c r="DD27" s="133">
        <f t="shared" ref="DD27" si="733">DC27</f>
        <v>135900</v>
      </c>
      <c r="DE27" s="133">
        <f t="shared" ref="DE27" si="734">DD27</f>
        <v>135900</v>
      </c>
      <c r="DF27" s="133">
        <f>ROUND(DE27*(1+取值表!$D$6)*取值表!$H$6,0)</f>
        <v>134790</v>
      </c>
      <c r="DG27" s="133">
        <f t="shared" ref="DG27" si="735">DF27</f>
        <v>134790</v>
      </c>
      <c r="DH27" s="133">
        <f t="shared" ref="DH27" si="736">DG27</f>
        <v>134790</v>
      </c>
      <c r="DI27" s="133">
        <f t="shared" ref="DI27" si="737">DH27</f>
        <v>134790</v>
      </c>
      <c r="DJ27" s="133">
        <f>ROUND(DI27*(1+取值表!$D$6)*取值表!$H$6,0)</f>
        <v>133689</v>
      </c>
      <c r="DK27" s="133">
        <f t="shared" ref="DK27" si="738">DJ27</f>
        <v>133689</v>
      </c>
      <c r="DL27" s="133">
        <f t="shared" ref="DL27" si="739">DK27</f>
        <v>133689</v>
      </c>
      <c r="DM27" s="133">
        <f t="shared" ref="DM27" si="740">DL27</f>
        <v>133689</v>
      </c>
      <c r="DN27" s="133">
        <f>ROUND(DM27*(1+取值表!$D$6)*取值表!$H$6,0)</f>
        <v>132597</v>
      </c>
      <c r="DO27" s="133">
        <f t="shared" ref="DO27" si="741">DN27</f>
        <v>132597</v>
      </c>
      <c r="DP27" s="133">
        <f t="shared" ref="DP27" si="742">DO27</f>
        <v>132597</v>
      </c>
      <c r="DQ27" s="133">
        <f t="shared" ref="DQ27" si="743">DP27</f>
        <v>132597</v>
      </c>
      <c r="DR27" s="133">
        <f>ROUND(DQ27*(1+取值表!$D$6)*取值表!$H$6,0)</f>
        <v>131514</v>
      </c>
      <c r="DS27" s="133">
        <f t="shared" ref="DS27" si="744">DR27</f>
        <v>131514</v>
      </c>
      <c r="DT27" s="133">
        <f t="shared" ref="DT27" si="745">DS27</f>
        <v>131514</v>
      </c>
      <c r="DU27" s="133">
        <f t="shared" ref="DU27" si="746">DT27</f>
        <v>131514</v>
      </c>
      <c r="DV27" s="133">
        <f>ROUND(DU27*(1+取值表!$D$6)*取值表!$H$6,0)</f>
        <v>130439</v>
      </c>
      <c r="DW27" s="133">
        <f t="shared" ref="DW27" si="747">DV27</f>
        <v>130439</v>
      </c>
      <c r="DX27" s="133">
        <f t="shared" ref="DX27" si="748">DW27</f>
        <v>130439</v>
      </c>
      <c r="DY27" s="133">
        <f t="shared" ref="DY27" si="749">DX27</f>
        <v>130439</v>
      </c>
      <c r="DZ27" s="133">
        <f>ROUND(DY27*(1+取值表!$D$6)*取值表!$H$6,0)</f>
        <v>129373</v>
      </c>
      <c r="EA27" s="133">
        <f t="shared" ref="EA27" si="750">DZ27</f>
        <v>129373</v>
      </c>
      <c r="EB27" s="133">
        <f t="shared" ref="EB27" si="751">EA27</f>
        <v>129373</v>
      </c>
      <c r="EC27" s="133">
        <f t="shared" ref="EC27" si="752">EB27</f>
        <v>129373</v>
      </c>
      <c r="ED27" s="133">
        <f>ROUND(EC27*(1+取值表!$D$6)*取值表!$H$6,0)</f>
        <v>128316</v>
      </c>
      <c r="EE27" s="133">
        <f t="shared" ref="EE27" si="753">ED27</f>
        <v>128316</v>
      </c>
      <c r="EF27" s="133">
        <f t="shared" ref="EF27" si="754">EE27</f>
        <v>128316</v>
      </c>
      <c r="EG27" s="133">
        <f t="shared" ref="EG27" si="755">EF27</f>
        <v>128316</v>
      </c>
      <c r="EH27" s="133">
        <f>ROUND(EG27*(1+取值表!$D$6)*取值表!$H$6,0)</f>
        <v>127268</v>
      </c>
      <c r="EI27" s="133">
        <f t="shared" ref="EI27" si="756">EH27</f>
        <v>127268</v>
      </c>
      <c r="EJ27" s="133">
        <f t="shared" ref="EJ27" si="757">EI27</f>
        <v>127268</v>
      </c>
      <c r="EK27" s="133">
        <f t="shared" ref="EK27" si="758">EJ27</f>
        <v>127268</v>
      </c>
      <c r="EL27" s="133">
        <f>ROUND(EK27*(1+取值表!$D$6)*取值表!$H$6,0)</f>
        <v>126228</v>
      </c>
      <c r="EM27" s="133">
        <f t="shared" ref="EM27" si="759">EL27</f>
        <v>126228</v>
      </c>
      <c r="EN27" s="133">
        <f t="shared" ref="EN27" si="760">EM27</f>
        <v>126228</v>
      </c>
      <c r="EO27" s="133">
        <f t="shared" ref="EO27" si="761">EN27</f>
        <v>126228</v>
      </c>
      <c r="EP27" s="133">
        <f>ROUND(EO27*(1+取值表!$D$6)*取值表!$H$6,0)</f>
        <v>125197</v>
      </c>
      <c r="EQ27" s="133">
        <f t="shared" ref="EQ27" si="762">EP27</f>
        <v>125197</v>
      </c>
      <c r="ER27" s="133">
        <f t="shared" ref="ER27" si="763">EQ27</f>
        <v>125197</v>
      </c>
      <c r="ES27" s="133">
        <f t="shared" ref="ES27" si="764">ER27</f>
        <v>125197</v>
      </c>
      <c r="ET27" s="133">
        <f t="shared" si="39"/>
        <v>20219936</v>
      </c>
    </row>
    <row r="28" spans="1:150">
      <c r="A28" s="402"/>
      <c r="B28" s="406"/>
      <c r="C28" s="400"/>
      <c r="D28" s="401"/>
      <c r="E28" s="398"/>
      <c r="F28" s="399"/>
      <c r="G28" s="399"/>
      <c r="H28" s="482"/>
      <c r="I28" s="129"/>
      <c r="J28" s="131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3"/>
      <c r="DV28" s="133"/>
      <c r="DW28" s="133"/>
      <c r="DX28" s="133"/>
      <c r="DY28" s="133"/>
      <c r="DZ28" s="133"/>
      <c r="EA28" s="133"/>
      <c r="EB28" s="133"/>
      <c r="EC28" s="133"/>
      <c r="ED28" s="133"/>
      <c r="EE28" s="133"/>
      <c r="EF28" s="133"/>
      <c r="EG28" s="133"/>
      <c r="EH28" s="133"/>
      <c r="EI28" s="133"/>
      <c r="EJ28" s="133"/>
      <c r="EK28" s="133"/>
      <c r="EL28" s="133"/>
      <c r="EM28" s="133"/>
      <c r="EN28" s="133"/>
      <c r="EO28" s="133"/>
      <c r="EP28" s="133"/>
      <c r="EQ28" s="133"/>
      <c r="ER28" s="133"/>
      <c r="ES28" s="133"/>
      <c r="ET28" s="133">
        <f t="shared" si="39"/>
        <v>0</v>
      </c>
    </row>
    <row r="29" spans="1:150">
      <c r="A29" s="402">
        <v>14</v>
      </c>
      <c r="B29" s="406" t="s">
        <v>1082</v>
      </c>
      <c r="C29" s="400" t="s">
        <v>1083</v>
      </c>
      <c r="D29" s="401" t="s">
        <v>428</v>
      </c>
      <c r="E29" s="398" t="s">
        <v>422</v>
      </c>
      <c r="F29" s="399">
        <v>18</v>
      </c>
      <c r="G29" s="399">
        <f>H29/F29/365</f>
        <v>14.611872146118721</v>
      </c>
      <c r="H29" s="482">
        <f>8000*12</f>
        <v>96000</v>
      </c>
      <c r="I29" s="129">
        <v>0</v>
      </c>
      <c r="J29" s="132">
        <f>8000*3</f>
        <v>24000</v>
      </c>
      <c r="K29" s="133">
        <f>J29</f>
        <v>24000</v>
      </c>
      <c r="L29" s="133">
        <f>K29</f>
        <v>24000</v>
      </c>
      <c r="M29" s="133">
        <f>L29</f>
        <v>24000</v>
      </c>
      <c r="N29" s="133">
        <f>ROUND(M29*(1+取值表!$D$6)*取值表!$H$6,0)</f>
        <v>23804</v>
      </c>
      <c r="O29" s="133">
        <f>N29</f>
        <v>23804</v>
      </c>
      <c r="P29" s="133">
        <f>O29</f>
        <v>23804</v>
      </c>
      <c r="Q29" s="133">
        <f>P29</f>
        <v>23804</v>
      </c>
      <c r="R29" s="133">
        <f>ROUND(Q29*(1+取值表!$D$6)*取值表!$H$6,0)</f>
        <v>23609</v>
      </c>
      <c r="S29" s="133">
        <f t="shared" ref="S29:U29" si="765">R29</f>
        <v>23609</v>
      </c>
      <c r="T29" s="133">
        <f t="shared" si="765"/>
        <v>23609</v>
      </c>
      <c r="U29" s="133">
        <f t="shared" si="765"/>
        <v>23609</v>
      </c>
      <c r="V29" s="133">
        <f>ROUND(U29*(1+取值表!$D$6)*取值表!$H$6,0)</f>
        <v>23416</v>
      </c>
      <c r="W29" s="133">
        <f t="shared" ref="W29:Y29" si="766">V29</f>
        <v>23416</v>
      </c>
      <c r="X29" s="133">
        <f t="shared" si="766"/>
        <v>23416</v>
      </c>
      <c r="Y29" s="133">
        <f t="shared" si="766"/>
        <v>23416</v>
      </c>
      <c r="Z29" s="133">
        <f>ROUND(Y29*(1+取值表!$D$6)*取值表!$H$6,0)</f>
        <v>23225</v>
      </c>
      <c r="AA29" s="133">
        <f t="shared" ref="AA29:AC29" si="767">Z29</f>
        <v>23225</v>
      </c>
      <c r="AB29" s="133">
        <f t="shared" si="767"/>
        <v>23225</v>
      </c>
      <c r="AC29" s="133">
        <f t="shared" si="767"/>
        <v>23225</v>
      </c>
      <c r="AD29" s="133">
        <f>ROUND(AC29*(1+取值表!$D$6)*取值表!$H$6,0)</f>
        <v>23035</v>
      </c>
      <c r="AE29" s="133">
        <f t="shared" ref="AE29:AG29" si="768">AD29</f>
        <v>23035</v>
      </c>
      <c r="AF29" s="133">
        <f t="shared" si="768"/>
        <v>23035</v>
      </c>
      <c r="AG29" s="133">
        <f t="shared" si="768"/>
        <v>23035</v>
      </c>
      <c r="AH29" s="133">
        <f>ROUND(AG29*(1+取值表!$D$6)*取值表!$H$6,0)</f>
        <v>22847</v>
      </c>
      <c r="AI29" s="133">
        <f t="shared" ref="AI29:AK29" si="769">AH29</f>
        <v>22847</v>
      </c>
      <c r="AJ29" s="133">
        <f t="shared" si="769"/>
        <v>22847</v>
      </c>
      <c r="AK29" s="133">
        <f t="shared" si="769"/>
        <v>22847</v>
      </c>
      <c r="AL29" s="133">
        <f>ROUND(AK29*(1+取值表!$D$6)*取值表!$H$6,0)</f>
        <v>22660</v>
      </c>
      <c r="AM29" s="133">
        <f t="shared" ref="AM29:AO29" si="770">AL29</f>
        <v>22660</v>
      </c>
      <c r="AN29" s="133">
        <f t="shared" si="770"/>
        <v>22660</v>
      </c>
      <c r="AO29" s="133">
        <f t="shared" si="770"/>
        <v>22660</v>
      </c>
      <c r="AP29" s="133">
        <f>ROUND(AO29*(1+取值表!$D$6)*取值表!$H$6,0)</f>
        <v>22475</v>
      </c>
      <c r="AQ29" s="133">
        <f t="shared" ref="AQ29:AS29" si="771">AP29</f>
        <v>22475</v>
      </c>
      <c r="AR29" s="133">
        <f t="shared" si="771"/>
        <v>22475</v>
      </c>
      <c r="AS29" s="133">
        <f t="shared" si="771"/>
        <v>22475</v>
      </c>
      <c r="AT29" s="133">
        <f>ROUND(AS29*(1+取值表!$D$6)*取值表!$H$6,0)</f>
        <v>22291</v>
      </c>
      <c r="AU29" s="133">
        <f t="shared" ref="AU29:AW29" si="772">AT29</f>
        <v>22291</v>
      </c>
      <c r="AV29" s="133">
        <f t="shared" si="772"/>
        <v>22291</v>
      </c>
      <c r="AW29" s="133">
        <f t="shared" si="772"/>
        <v>22291</v>
      </c>
      <c r="AX29" s="133">
        <f>ROUND(AW29*(1+取值表!$D$6)*取值表!$H$6,0)</f>
        <v>22109</v>
      </c>
      <c r="AY29" s="133">
        <f t="shared" ref="AY29:BA29" si="773">AX29</f>
        <v>22109</v>
      </c>
      <c r="AZ29" s="133">
        <f t="shared" si="773"/>
        <v>22109</v>
      </c>
      <c r="BA29" s="133">
        <f t="shared" si="773"/>
        <v>22109</v>
      </c>
      <c r="BB29" s="133">
        <f>ROUND(BA29*(1+取值表!$D$6)*取值表!$H$6,0)</f>
        <v>21928</v>
      </c>
      <c r="BC29" s="133">
        <f t="shared" ref="BC29:BE29" si="774">BB29</f>
        <v>21928</v>
      </c>
      <c r="BD29" s="133">
        <f t="shared" si="774"/>
        <v>21928</v>
      </c>
      <c r="BE29" s="133">
        <f t="shared" si="774"/>
        <v>21928</v>
      </c>
      <c r="BF29" s="133">
        <f>ROUND(BE29*(1+取值表!$D$6)*取值表!$H$6,0)</f>
        <v>21749</v>
      </c>
      <c r="BG29" s="133">
        <f t="shared" ref="BG29:BI29" si="775">BF29</f>
        <v>21749</v>
      </c>
      <c r="BH29" s="133">
        <f t="shared" si="775"/>
        <v>21749</v>
      </c>
      <c r="BI29" s="133">
        <f t="shared" si="775"/>
        <v>21749</v>
      </c>
      <c r="BJ29" s="133">
        <f>ROUND(BI29*(1+取值表!$D$6)*取值表!$H$6,0)</f>
        <v>21571</v>
      </c>
      <c r="BK29" s="133">
        <f t="shared" ref="BK29:BM29" si="776">BJ29</f>
        <v>21571</v>
      </c>
      <c r="BL29" s="133">
        <f t="shared" si="776"/>
        <v>21571</v>
      </c>
      <c r="BM29" s="133">
        <f t="shared" si="776"/>
        <v>21571</v>
      </c>
      <c r="BN29" s="133">
        <f>ROUND(BM29*(1+取值表!$D$6)*取值表!$H$6,0)</f>
        <v>21395</v>
      </c>
      <c r="BO29" s="133">
        <f t="shared" ref="BO29:BQ29" si="777">BN29</f>
        <v>21395</v>
      </c>
      <c r="BP29" s="133">
        <f t="shared" si="777"/>
        <v>21395</v>
      </c>
      <c r="BQ29" s="133">
        <f t="shared" si="777"/>
        <v>21395</v>
      </c>
      <c r="BR29" s="133">
        <f>ROUND(BQ29*(1+取值表!$D$6)*取值表!$H$6,0)</f>
        <v>21220</v>
      </c>
      <c r="BS29" s="133">
        <f t="shared" ref="BS29:BU29" si="778">BR29</f>
        <v>21220</v>
      </c>
      <c r="BT29" s="133">
        <f t="shared" si="778"/>
        <v>21220</v>
      </c>
      <c r="BU29" s="133">
        <f t="shared" si="778"/>
        <v>21220</v>
      </c>
      <c r="BV29" s="133">
        <f>ROUND(BU29*(1+取值表!$D$6)*取值表!$H$6,0)</f>
        <v>21047</v>
      </c>
      <c r="BW29" s="133">
        <f t="shared" ref="BW29:BY29" si="779">BV29</f>
        <v>21047</v>
      </c>
      <c r="BX29" s="133">
        <f t="shared" si="779"/>
        <v>21047</v>
      </c>
      <c r="BY29" s="133">
        <f t="shared" si="779"/>
        <v>21047</v>
      </c>
      <c r="BZ29" s="133">
        <f>ROUND(BY29*(1+取值表!$D$6)*取值表!$H$6,0)</f>
        <v>20875</v>
      </c>
      <c r="CA29" s="133">
        <f t="shared" ref="CA29:CC29" si="780">BZ29</f>
        <v>20875</v>
      </c>
      <c r="CB29" s="133">
        <f t="shared" si="780"/>
        <v>20875</v>
      </c>
      <c r="CC29" s="133">
        <f t="shared" si="780"/>
        <v>20875</v>
      </c>
      <c r="CD29" s="133">
        <f>ROUND(CC29*(1+取值表!$D$6)*取值表!$H$6,0)</f>
        <v>20704</v>
      </c>
      <c r="CE29" s="133">
        <f t="shared" ref="CE29:CG29" si="781">CD29</f>
        <v>20704</v>
      </c>
      <c r="CF29" s="133">
        <f t="shared" si="781"/>
        <v>20704</v>
      </c>
      <c r="CG29" s="133">
        <f t="shared" si="781"/>
        <v>20704</v>
      </c>
      <c r="CH29" s="133">
        <f>ROUND(CG29*(1+取值表!$D$6)*取值表!$H$6,0)</f>
        <v>20535</v>
      </c>
      <c r="CI29" s="133">
        <f t="shared" ref="CI29:CK29" si="782">CH29</f>
        <v>20535</v>
      </c>
      <c r="CJ29" s="133">
        <f t="shared" si="782"/>
        <v>20535</v>
      </c>
      <c r="CK29" s="133">
        <f t="shared" si="782"/>
        <v>20535</v>
      </c>
      <c r="CL29" s="133">
        <f>ROUND(CK29*(1+取值表!$D$6)*取值表!$H$6,0)</f>
        <v>20367</v>
      </c>
      <c r="CM29" s="133">
        <f t="shared" ref="CM29:CO29" si="783">CL29</f>
        <v>20367</v>
      </c>
      <c r="CN29" s="133">
        <f t="shared" si="783"/>
        <v>20367</v>
      </c>
      <c r="CO29" s="133">
        <f t="shared" si="783"/>
        <v>20367</v>
      </c>
      <c r="CP29" s="133">
        <f>ROUND(CO29*(1+取值表!$D$6)*取值表!$H$6,0)</f>
        <v>20201</v>
      </c>
      <c r="CQ29" s="133">
        <f t="shared" ref="CQ29" si="784">CP29</f>
        <v>20201</v>
      </c>
      <c r="CR29" s="133">
        <f t="shared" ref="CR29" si="785">CQ29</f>
        <v>20201</v>
      </c>
      <c r="CS29" s="133">
        <f t="shared" ref="CS29" si="786">CR29</f>
        <v>20201</v>
      </c>
      <c r="CT29" s="133">
        <f>ROUND(CS29*(1+取值表!$D$6)*取值表!$H$6,0)</f>
        <v>20036</v>
      </c>
      <c r="CU29" s="133">
        <f t="shared" ref="CU29" si="787">CT29</f>
        <v>20036</v>
      </c>
      <c r="CV29" s="133">
        <f t="shared" ref="CV29" si="788">CU29</f>
        <v>20036</v>
      </c>
      <c r="CW29" s="133">
        <f t="shared" ref="CW29" si="789">CV29</f>
        <v>20036</v>
      </c>
      <c r="CX29" s="133">
        <f>ROUND(CW29*(1+取值表!$D$6)*取值表!$H$6,0)</f>
        <v>19872</v>
      </c>
      <c r="CY29" s="133">
        <f t="shared" ref="CY29" si="790">CX29</f>
        <v>19872</v>
      </c>
      <c r="CZ29" s="133">
        <f t="shared" ref="CZ29" si="791">CY29</f>
        <v>19872</v>
      </c>
      <c r="DA29" s="133">
        <f t="shared" ref="DA29" si="792">CZ29</f>
        <v>19872</v>
      </c>
      <c r="DB29" s="133">
        <f>ROUND(DA29*(1+取值表!$D$6)*取值表!$H$6,0)</f>
        <v>19710</v>
      </c>
      <c r="DC29" s="133">
        <f t="shared" ref="DC29" si="793">DB29</f>
        <v>19710</v>
      </c>
      <c r="DD29" s="133">
        <f t="shared" ref="DD29" si="794">DC29</f>
        <v>19710</v>
      </c>
      <c r="DE29" s="133">
        <f t="shared" ref="DE29" si="795">DD29</f>
        <v>19710</v>
      </c>
      <c r="DF29" s="133">
        <f>ROUND(DE29*(1+取值表!$D$6)*取值表!$H$6,0)</f>
        <v>19549</v>
      </c>
      <c r="DG29" s="133">
        <f t="shared" ref="DG29" si="796">DF29</f>
        <v>19549</v>
      </c>
      <c r="DH29" s="133">
        <f t="shared" ref="DH29" si="797">DG29</f>
        <v>19549</v>
      </c>
      <c r="DI29" s="133">
        <f t="shared" ref="DI29" si="798">DH29</f>
        <v>19549</v>
      </c>
      <c r="DJ29" s="133">
        <f>ROUND(DI29*(1+取值表!$D$6)*取值表!$H$6,0)</f>
        <v>19389</v>
      </c>
      <c r="DK29" s="133">
        <f t="shared" ref="DK29" si="799">DJ29</f>
        <v>19389</v>
      </c>
      <c r="DL29" s="133">
        <f t="shared" ref="DL29" si="800">DK29</f>
        <v>19389</v>
      </c>
      <c r="DM29" s="133">
        <f t="shared" ref="DM29" si="801">DL29</f>
        <v>19389</v>
      </c>
      <c r="DN29" s="133">
        <f>ROUND(DM29*(1+取值表!$D$6)*取值表!$H$6,0)</f>
        <v>19231</v>
      </c>
      <c r="DO29" s="133">
        <f t="shared" ref="DO29" si="802">DN29</f>
        <v>19231</v>
      </c>
      <c r="DP29" s="133">
        <f t="shared" ref="DP29" si="803">DO29</f>
        <v>19231</v>
      </c>
      <c r="DQ29" s="133">
        <f t="shared" ref="DQ29" si="804">DP29</f>
        <v>19231</v>
      </c>
      <c r="DR29" s="133">
        <f>ROUND(DQ29*(1+取值表!$D$6)*取值表!$H$6,0)</f>
        <v>19074</v>
      </c>
      <c r="DS29" s="133">
        <f t="shared" ref="DS29" si="805">DR29</f>
        <v>19074</v>
      </c>
      <c r="DT29" s="133">
        <f t="shared" ref="DT29" si="806">DS29</f>
        <v>19074</v>
      </c>
      <c r="DU29" s="133">
        <f t="shared" ref="DU29" si="807">DT29</f>
        <v>19074</v>
      </c>
      <c r="DV29" s="133">
        <f>ROUND(DU29*(1+取值表!$D$6)*取值表!$H$6,0)</f>
        <v>18918</v>
      </c>
      <c r="DW29" s="133">
        <f t="shared" ref="DW29" si="808">DV29</f>
        <v>18918</v>
      </c>
      <c r="DX29" s="133">
        <f t="shared" ref="DX29" si="809">DW29</f>
        <v>18918</v>
      </c>
      <c r="DY29" s="133">
        <f t="shared" ref="DY29" si="810">DX29</f>
        <v>18918</v>
      </c>
      <c r="DZ29" s="133">
        <f>ROUND(DY29*(1+取值表!$D$6)*取值表!$H$6,0)</f>
        <v>18763</v>
      </c>
      <c r="EA29" s="133">
        <f t="shared" ref="EA29" si="811">DZ29</f>
        <v>18763</v>
      </c>
      <c r="EB29" s="133">
        <f t="shared" ref="EB29" si="812">EA29</f>
        <v>18763</v>
      </c>
      <c r="EC29" s="133">
        <f t="shared" ref="EC29" si="813">EB29</f>
        <v>18763</v>
      </c>
      <c r="ED29" s="133">
        <f>ROUND(EC29*(1+取值表!$D$6)*取值表!$H$6,0)</f>
        <v>18610</v>
      </c>
      <c r="EE29" s="133">
        <f t="shared" ref="EE29" si="814">ED29</f>
        <v>18610</v>
      </c>
      <c r="EF29" s="133">
        <f t="shared" ref="EF29" si="815">EE29</f>
        <v>18610</v>
      </c>
      <c r="EG29" s="133">
        <f t="shared" ref="EG29" si="816">EF29</f>
        <v>18610</v>
      </c>
      <c r="EH29" s="133">
        <f>ROUND(EG29*(1+取值表!$D$6)*取值表!$H$6,0)</f>
        <v>18458</v>
      </c>
      <c r="EI29" s="133">
        <f t="shared" ref="EI29" si="817">EH29</f>
        <v>18458</v>
      </c>
      <c r="EJ29" s="133">
        <f t="shared" ref="EJ29" si="818">EI29</f>
        <v>18458</v>
      </c>
      <c r="EK29" s="133">
        <f t="shared" ref="EK29" si="819">EJ29</f>
        <v>18458</v>
      </c>
      <c r="EL29" s="133">
        <f>ROUND(EK29*(1+取值表!$D$6)*取值表!$H$6,0)</f>
        <v>18307</v>
      </c>
      <c r="EM29" s="133">
        <f t="shared" ref="EM29" si="820">EL29</f>
        <v>18307</v>
      </c>
      <c r="EN29" s="133">
        <f t="shared" ref="EN29" si="821">EM29</f>
        <v>18307</v>
      </c>
      <c r="EO29" s="133">
        <f t="shared" ref="EO29" si="822">EN29</f>
        <v>18307</v>
      </c>
      <c r="EP29" s="133">
        <f>ROUND(EO29*(1+取值表!$D$6)*取值表!$H$6,0)</f>
        <v>18157</v>
      </c>
      <c r="EQ29" s="133">
        <f t="shared" ref="EQ29" si="823">EP29</f>
        <v>18157</v>
      </c>
      <c r="ER29" s="133">
        <f t="shared" ref="ER29" si="824">EQ29</f>
        <v>18157</v>
      </c>
      <c r="ES29" s="133">
        <f t="shared" ref="ES29" si="825">ER29</f>
        <v>18157</v>
      </c>
      <c r="ET29" s="133">
        <f t="shared" si="39"/>
        <v>2932548</v>
      </c>
    </row>
    <row r="30" spans="1:150">
      <c r="A30" s="402"/>
      <c r="B30" s="406"/>
      <c r="C30" s="400"/>
      <c r="D30" s="401"/>
      <c r="E30" s="398"/>
      <c r="F30" s="399"/>
      <c r="G30" s="399"/>
      <c r="H30" s="482"/>
      <c r="I30" s="129"/>
      <c r="J30" s="131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  <c r="EL30" s="133"/>
      <c r="EM30" s="133"/>
      <c r="EN30" s="133"/>
      <c r="EO30" s="133"/>
      <c r="EP30" s="133"/>
      <c r="EQ30" s="133"/>
      <c r="ER30" s="133"/>
      <c r="ES30" s="133"/>
      <c r="ET30" s="133">
        <f t="shared" si="39"/>
        <v>0</v>
      </c>
    </row>
    <row r="31" spans="1:150" ht="12" customHeight="1">
      <c r="A31" s="402">
        <v>15</v>
      </c>
      <c r="B31" s="406" t="s">
        <v>1084</v>
      </c>
      <c r="C31" s="400" t="s">
        <v>1085</v>
      </c>
      <c r="D31" s="401" t="s">
        <v>429</v>
      </c>
      <c r="E31" s="398" t="s">
        <v>422</v>
      </c>
      <c r="F31" s="399">
        <v>22.09</v>
      </c>
      <c r="G31" s="399">
        <v>33</v>
      </c>
      <c r="H31" s="482">
        <f>F31*G31*365</f>
        <v>266074.05</v>
      </c>
      <c r="I31" s="129">
        <v>74581.36</v>
      </c>
      <c r="J31" s="131">
        <f>ROUND(24860.45*3,0)</f>
        <v>74581</v>
      </c>
      <c r="K31" s="132">
        <f>J31</f>
        <v>74581</v>
      </c>
      <c r="L31" s="133">
        <f>K31</f>
        <v>74581</v>
      </c>
      <c r="M31" s="133">
        <f>L31</f>
        <v>74581</v>
      </c>
      <c r="N31" s="133">
        <f>ROUND(M31*(1+取值表!$D$6)*取值表!$H$6,0)</f>
        <v>73972</v>
      </c>
      <c r="O31" s="133">
        <f>N31</f>
        <v>73972</v>
      </c>
      <c r="P31" s="133">
        <f>O31</f>
        <v>73972</v>
      </c>
      <c r="Q31" s="133">
        <f>P31</f>
        <v>73972</v>
      </c>
      <c r="R31" s="133">
        <f>ROUND(Q31*(1+取值表!$D$6)*取值表!$H$6,0)</f>
        <v>73368</v>
      </c>
      <c r="S31" s="133">
        <f t="shared" ref="S31:U31" si="826">R31</f>
        <v>73368</v>
      </c>
      <c r="T31" s="133">
        <f t="shared" si="826"/>
        <v>73368</v>
      </c>
      <c r="U31" s="133">
        <f t="shared" si="826"/>
        <v>73368</v>
      </c>
      <c r="V31" s="133">
        <f>ROUND(U31*(1+取值表!$D$6)*取值表!$H$6,0)</f>
        <v>72769</v>
      </c>
      <c r="W31" s="133">
        <f t="shared" ref="W31:Y31" si="827">V31</f>
        <v>72769</v>
      </c>
      <c r="X31" s="133">
        <f t="shared" si="827"/>
        <v>72769</v>
      </c>
      <c r="Y31" s="133">
        <f t="shared" si="827"/>
        <v>72769</v>
      </c>
      <c r="Z31" s="133">
        <f>ROUND(Y31*(1+取值表!$D$6)*取值表!$H$6,0)</f>
        <v>72174</v>
      </c>
      <c r="AA31" s="133">
        <f t="shared" ref="AA31:AC31" si="828">Z31</f>
        <v>72174</v>
      </c>
      <c r="AB31" s="133">
        <f t="shared" si="828"/>
        <v>72174</v>
      </c>
      <c r="AC31" s="133">
        <f t="shared" si="828"/>
        <v>72174</v>
      </c>
      <c r="AD31" s="133">
        <f>ROUND(AC31*(1+取值表!$D$6)*取值表!$H$6,0)</f>
        <v>71584</v>
      </c>
      <c r="AE31" s="133">
        <f t="shared" ref="AE31:AG31" si="829">AD31</f>
        <v>71584</v>
      </c>
      <c r="AF31" s="133">
        <f t="shared" si="829"/>
        <v>71584</v>
      </c>
      <c r="AG31" s="133">
        <f t="shared" si="829"/>
        <v>71584</v>
      </c>
      <c r="AH31" s="133">
        <f>ROUND(AG31*(1+取值表!$D$6)*取值表!$H$6,0)</f>
        <v>70999</v>
      </c>
      <c r="AI31" s="133">
        <f t="shared" ref="AI31:AK31" si="830">AH31</f>
        <v>70999</v>
      </c>
      <c r="AJ31" s="133">
        <f t="shared" si="830"/>
        <v>70999</v>
      </c>
      <c r="AK31" s="133">
        <f t="shared" si="830"/>
        <v>70999</v>
      </c>
      <c r="AL31" s="133">
        <f>ROUND(AK31*(1+取值表!$D$6)*取值表!$H$6,0)</f>
        <v>70419</v>
      </c>
      <c r="AM31" s="133">
        <f t="shared" ref="AM31:AO31" si="831">AL31</f>
        <v>70419</v>
      </c>
      <c r="AN31" s="133">
        <f t="shared" si="831"/>
        <v>70419</v>
      </c>
      <c r="AO31" s="133">
        <f t="shared" si="831"/>
        <v>70419</v>
      </c>
      <c r="AP31" s="133">
        <f>ROUND(AO31*(1+取值表!$D$6)*取值表!$H$6,0)</f>
        <v>69844</v>
      </c>
      <c r="AQ31" s="133">
        <f t="shared" ref="AQ31:AS31" si="832">AP31</f>
        <v>69844</v>
      </c>
      <c r="AR31" s="133">
        <f t="shared" si="832"/>
        <v>69844</v>
      </c>
      <c r="AS31" s="133">
        <f t="shared" si="832"/>
        <v>69844</v>
      </c>
      <c r="AT31" s="133">
        <f>ROUND(AS31*(1+取值表!$D$6)*取值表!$H$6,0)</f>
        <v>69273</v>
      </c>
      <c r="AU31" s="133">
        <f t="shared" ref="AU31:AW31" si="833">AT31</f>
        <v>69273</v>
      </c>
      <c r="AV31" s="133">
        <f t="shared" si="833"/>
        <v>69273</v>
      </c>
      <c r="AW31" s="133">
        <f t="shared" si="833"/>
        <v>69273</v>
      </c>
      <c r="AX31" s="133">
        <f>ROUND(AW31*(1+取值表!$D$6)*取值表!$H$6,0)</f>
        <v>68707</v>
      </c>
      <c r="AY31" s="133">
        <f t="shared" ref="AY31:BA31" si="834">AX31</f>
        <v>68707</v>
      </c>
      <c r="AZ31" s="133">
        <f t="shared" si="834"/>
        <v>68707</v>
      </c>
      <c r="BA31" s="133">
        <f t="shared" si="834"/>
        <v>68707</v>
      </c>
      <c r="BB31" s="133">
        <f>ROUND(BA31*(1+取值表!$D$6)*取值表!$H$6,0)</f>
        <v>68146</v>
      </c>
      <c r="BC31" s="133">
        <f t="shared" ref="BC31:BE31" si="835">BB31</f>
        <v>68146</v>
      </c>
      <c r="BD31" s="133">
        <f t="shared" si="835"/>
        <v>68146</v>
      </c>
      <c r="BE31" s="133">
        <f t="shared" si="835"/>
        <v>68146</v>
      </c>
      <c r="BF31" s="133">
        <f>ROUND(BE31*(1+取值表!$D$6)*取值表!$H$6,0)</f>
        <v>67589</v>
      </c>
      <c r="BG31" s="133">
        <f t="shared" ref="BG31:BI31" si="836">BF31</f>
        <v>67589</v>
      </c>
      <c r="BH31" s="133">
        <f t="shared" si="836"/>
        <v>67589</v>
      </c>
      <c r="BI31" s="133">
        <f t="shared" si="836"/>
        <v>67589</v>
      </c>
      <c r="BJ31" s="133">
        <f>ROUND(BI31*(1+取值表!$D$6)*取值表!$H$6,0)</f>
        <v>67037</v>
      </c>
      <c r="BK31" s="133">
        <f t="shared" ref="BK31:BM31" si="837">BJ31</f>
        <v>67037</v>
      </c>
      <c r="BL31" s="133">
        <f t="shared" si="837"/>
        <v>67037</v>
      </c>
      <c r="BM31" s="133">
        <f t="shared" si="837"/>
        <v>67037</v>
      </c>
      <c r="BN31" s="133">
        <f>ROUND(BM31*(1+取值表!$D$6)*取值表!$H$6,0)</f>
        <v>66489</v>
      </c>
      <c r="BO31" s="133">
        <f t="shared" ref="BO31:BQ31" si="838">BN31</f>
        <v>66489</v>
      </c>
      <c r="BP31" s="133">
        <f t="shared" si="838"/>
        <v>66489</v>
      </c>
      <c r="BQ31" s="133">
        <f t="shared" si="838"/>
        <v>66489</v>
      </c>
      <c r="BR31" s="133">
        <f>ROUND(BQ31*(1+取值表!$D$6)*取值表!$H$6,0)</f>
        <v>65946</v>
      </c>
      <c r="BS31" s="133">
        <f t="shared" ref="BS31:BU31" si="839">BR31</f>
        <v>65946</v>
      </c>
      <c r="BT31" s="133">
        <f t="shared" si="839"/>
        <v>65946</v>
      </c>
      <c r="BU31" s="133">
        <f t="shared" si="839"/>
        <v>65946</v>
      </c>
      <c r="BV31" s="133">
        <f>ROUND(BU31*(1+取值表!$D$6)*取值表!$H$6,0)</f>
        <v>65407</v>
      </c>
      <c r="BW31" s="133">
        <f t="shared" ref="BW31:BY31" si="840">BV31</f>
        <v>65407</v>
      </c>
      <c r="BX31" s="133">
        <f t="shared" si="840"/>
        <v>65407</v>
      </c>
      <c r="BY31" s="133">
        <f t="shared" si="840"/>
        <v>65407</v>
      </c>
      <c r="BZ31" s="133">
        <f>ROUND(BY31*(1+取值表!$D$6)*取值表!$H$6,0)</f>
        <v>64873</v>
      </c>
      <c r="CA31" s="133">
        <f t="shared" ref="CA31:CC31" si="841">BZ31</f>
        <v>64873</v>
      </c>
      <c r="CB31" s="133">
        <f t="shared" si="841"/>
        <v>64873</v>
      </c>
      <c r="CC31" s="133">
        <f t="shared" si="841"/>
        <v>64873</v>
      </c>
      <c r="CD31" s="133">
        <f>ROUND(CC31*(1+取值表!$D$6)*取值表!$H$6,0)</f>
        <v>64343</v>
      </c>
      <c r="CE31" s="133">
        <f t="shared" ref="CE31:CG31" si="842">CD31</f>
        <v>64343</v>
      </c>
      <c r="CF31" s="133">
        <f t="shared" si="842"/>
        <v>64343</v>
      </c>
      <c r="CG31" s="133">
        <f t="shared" si="842"/>
        <v>64343</v>
      </c>
      <c r="CH31" s="133">
        <f>ROUND(CG31*(1+取值表!$D$6)*取值表!$H$6,0)</f>
        <v>63817</v>
      </c>
      <c r="CI31" s="133">
        <f t="shared" ref="CI31:CK31" si="843">CH31</f>
        <v>63817</v>
      </c>
      <c r="CJ31" s="133">
        <f t="shared" si="843"/>
        <v>63817</v>
      </c>
      <c r="CK31" s="133">
        <f t="shared" si="843"/>
        <v>63817</v>
      </c>
      <c r="CL31" s="133">
        <f>ROUND(CK31*(1+取值表!$D$6)*取值表!$H$6,0)</f>
        <v>63296</v>
      </c>
      <c r="CM31" s="133">
        <f t="shared" ref="CM31:CO31" si="844">CL31</f>
        <v>63296</v>
      </c>
      <c r="CN31" s="133">
        <f t="shared" si="844"/>
        <v>63296</v>
      </c>
      <c r="CO31" s="133">
        <f t="shared" si="844"/>
        <v>63296</v>
      </c>
      <c r="CP31" s="133">
        <f>ROUND(CO31*(1+取值表!$D$6)*取值表!$H$6,0)</f>
        <v>62779</v>
      </c>
      <c r="CQ31" s="133">
        <f t="shared" ref="CQ31" si="845">CP31</f>
        <v>62779</v>
      </c>
      <c r="CR31" s="133">
        <f t="shared" ref="CR31" si="846">CQ31</f>
        <v>62779</v>
      </c>
      <c r="CS31" s="133">
        <f t="shared" ref="CS31" si="847">CR31</f>
        <v>62779</v>
      </c>
      <c r="CT31" s="133">
        <f>ROUND(CS31*(1+取值表!$D$6)*取值表!$H$6,0)</f>
        <v>62266</v>
      </c>
      <c r="CU31" s="133">
        <f t="shared" ref="CU31" si="848">CT31</f>
        <v>62266</v>
      </c>
      <c r="CV31" s="133">
        <f t="shared" ref="CV31" si="849">CU31</f>
        <v>62266</v>
      </c>
      <c r="CW31" s="133">
        <f t="shared" ref="CW31" si="850">CV31</f>
        <v>62266</v>
      </c>
      <c r="CX31" s="133">
        <f>ROUND(CW31*(1+取值表!$D$6)*取值表!$H$6,0)</f>
        <v>61757</v>
      </c>
      <c r="CY31" s="133">
        <f t="shared" ref="CY31" si="851">CX31</f>
        <v>61757</v>
      </c>
      <c r="CZ31" s="133">
        <f t="shared" ref="CZ31" si="852">CY31</f>
        <v>61757</v>
      </c>
      <c r="DA31" s="133">
        <f t="shared" ref="DA31" si="853">CZ31</f>
        <v>61757</v>
      </c>
      <c r="DB31" s="133">
        <f>ROUND(DA31*(1+取值表!$D$6)*取值表!$H$6,0)</f>
        <v>61252</v>
      </c>
      <c r="DC31" s="133">
        <f t="shared" ref="DC31" si="854">DB31</f>
        <v>61252</v>
      </c>
      <c r="DD31" s="133">
        <f t="shared" ref="DD31" si="855">DC31</f>
        <v>61252</v>
      </c>
      <c r="DE31" s="133">
        <f t="shared" ref="DE31" si="856">DD31</f>
        <v>61252</v>
      </c>
      <c r="DF31" s="133">
        <f>ROUND(DE31*(1+取值表!$D$6)*取值表!$H$6,0)</f>
        <v>60752</v>
      </c>
      <c r="DG31" s="133">
        <f t="shared" ref="DG31" si="857">DF31</f>
        <v>60752</v>
      </c>
      <c r="DH31" s="133">
        <f t="shared" ref="DH31" si="858">DG31</f>
        <v>60752</v>
      </c>
      <c r="DI31" s="133">
        <f t="shared" ref="DI31" si="859">DH31</f>
        <v>60752</v>
      </c>
      <c r="DJ31" s="133">
        <f>ROUND(DI31*(1+取值表!$D$6)*取值表!$H$6,0)</f>
        <v>60256</v>
      </c>
      <c r="DK31" s="133">
        <f t="shared" ref="DK31" si="860">DJ31</f>
        <v>60256</v>
      </c>
      <c r="DL31" s="133">
        <f t="shared" ref="DL31" si="861">DK31</f>
        <v>60256</v>
      </c>
      <c r="DM31" s="133">
        <f t="shared" ref="DM31" si="862">DL31</f>
        <v>60256</v>
      </c>
      <c r="DN31" s="133">
        <f>ROUND(DM31*(1+取值表!$D$6)*取值表!$H$6,0)</f>
        <v>59764</v>
      </c>
      <c r="DO31" s="133">
        <f t="shared" ref="DO31" si="863">DN31</f>
        <v>59764</v>
      </c>
      <c r="DP31" s="133">
        <f t="shared" ref="DP31" si="864">DO31</f>
        <v>59764</v>
      </c>
      <c r="DQ31" s="133">
        <f t="shared" ref="DQ31" si="865">DP31</f>
        <v>59764</v>
      </c>
      <c r="DR31" s="133">
        <f>ROUND(DQ31*(1+取值表!$D$6)*取值表!$H$6,0)</f>
        <v>59276</v>
      </c>
      <c r="DS31" s="133">
        <f t="shared" ref="DS31" si="866">DR31</f>
        <v>59276</v>
      </c>
      <c r="DT31" s="133">
        <f t="shared" ref="DT31" si="867">DS31</f>
        <v>59276</v>
      </c>
      <c r="DU31" s="133">
        <f t="shared" ref="DU31" si="868">DT31</f>
        <v>59276</v>
      </c>
      <c r="DV31" s="133">
        <f>ROUND(DU31*(1+取值表!$D$6)*取值表!$H$6,0)</f>
        <v>58792</v>
      </c>
      <c r="DW31" s="133">
        <f t="shared" ref="DW31" si="869">DV31</f>
        <v>58792</v>
      </c>
      <c r="DX31" s="133">
        <f t="shared" ref="DX31" si="870">DW31</f>
        <v>58792</v>
      </c>
      <c r="DY31" s="133">
        <f t="shared" ref="DY31" si="871">DX31</f>
        <v>58792</v>
      </c>
      <c r="DZ31" s="133">
        <f>ROUND(DY31*(1+取值表!$D$6)*取值表!$H$6,0)</f>
        <v>58312</v>
      </c>
      <c r="EA31" s="133">
        <f t="shared" ref="EA31" si="872">DZ31</f>
        <v>58312</v>
      </c>
      <c r="EB31" s="133">
        <f t="shared" ref="EB31" si="873">EA31</f>
        <v>58312</v>
      </c>
      <c r="EC31" s="133">
        <f t="shared" ref="EC31" si="874">EB31</f>
        <v>58312</v>
      </c>
      <c r="ED31" s="133">
        <f>ROUND(EC31*(1+取值表!$D$6)*取值表!$H$6,0)</f>
        <v>57836</v>
      </c>
      <c r="EE31" s="133">
        <f t="shared" ref="EE31" si="875">ED31</f>
        <v>57836</v>
      </c>
      <c r="EF31" s="133">
        <f t="shared" ref="EF31" si="876">EE31</f>
        <v>57836</v>
      </c>
      <c r="EG31" s="133">
        <f t="shared" ref="EG31" si="877">EF31</f>
        <v>57836</v>
      </c>
      <c r="EH31" s="133">
        <f>ROUND(EG31*(1+取值表!$D$6)*取值表!$H$6,0)</f>
        <v>57363</v>
      </c>
      <c r="EI31" s="133">
        <f t="shared" ref="EI31" si="878">EH31</f>
        <v>57363</v>
      </c>
      <c r="EJ31" s="133">
        <f t="shared" ref="EJ31" si="879">EI31</f>
        <v>57363</v>
      </c>
      <c r="EK31" s="133">
        <f t="shared" ref="EK31" si="880">EJ31</f>
        <v>57363</v>
      </c>
      <c r="EL31" s="133">
        <f>ROUND(EK31*(1+取值表!$D$6)*取值表!$H$6,0)</f>
        <v>56894</v>
      </c>
      <c r="EM31" s="133">
        <f t="shared" ref="EM31" si="881">EL31</f>
        <v>56894</v>
      </c>
      <c r="EN31" s="133">
        <f t="shared" ref="EN31" si="882">EM31</f>
        <v>56894</v>
      </c>
      <c r="EO31" s="133">
        <f t="shared" ref="EO31" si="883">EN31</f>
        <v>56894</v>
      </c>
      <c r="EP31" s="133">
        <f>ROUND(EO31*(1+取值表!$D$6)*取值表!$H$6,0)</f>
        <v>56429</v>
      </c>
      <c r="EQ31" s="133">
        <f t="shared" ref="EQ31" si="884">EP31</f>
        <v>56429</v>
      </c>
      <c r="ER31" s="133">
        <f t="shared" ref="ER31" si="885">EQ31</f>
        <v>56429</v>
      </c>
      <c r="ES31" s="133">
        <f t="shared" ref="ES31" si="886">ER31</f>
        <v>56429</v>
      </c>
      <c r="ET31" s="133">
        <f t="shared" si="39"/>
        <v>9113444</v>
      </c>
    </row>
    <row r="32" spans="1:150">
      <c r="A32" s="402"/>
      <c r="B32" s="406"/>
      <c r="C32" s="400"/>
      <c r="D32" s="401"/>
      <c r="E32" s="398"/>
      <c r="F32" s="399"/>
      <c r="G32" s="399"/>
      <c r="H32" s="482"/>
      <c r="I32" s="129"/>
      <c r="J32" s="131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  <c r="DY32" s="133"/>
      <c r="DZ32" s="133"/>
      <c r="EA32" s="133"/>
      <c r="EB32" s="133"/>
      <c r="EC32" s="133"/>
      <c r="ED32" s="133"/>
      <c r="EE32" s="133"/>
      <c r="EF32" s="133"/>
      <c r="EG32" s="133"/>
      <c r="EH32" s="133"/>
      <c r="EI32" s="133"/>
      <c r="EJ32" s="133"/>
      <c r="EK32" s="133"/>
      <c r="EL32" s="133"/>
      <c r="EM32" s="133"/>
      <c r="EN32" s="133"/>
      <c r="EO32" s="133"/>
      <c r="EP32" s="133"/>
      <c r="EQ32" s="133"/>
      <c r="ER32" s="133"/>
      <c r="ES32" s="133"/>
      <c r="ET32" s="133">
        <f t="shared" si="39"/>
        <v>0</v>
      </c>
    </row>
    <row r="33" spans="1:151">
      <c r="A33" s="402">
        <v>16</v>
      </c>
      <c r="B33" s="406" t="s">
        <v>1086</v>
      </c>
      <c r="C33" s="400" t="s">
        <v>1087</v>
      </c>
      <c r="D33" s="401" t="s">
        <v>430</v>
      </c>
      <c r="E33" s="398" t="s">
        <v>422</v>
      </c>
      <c r="F33" s="399">
        <v>24.39</v>
      </c>
      <c r="G33" s="399">
        <v>33</v>
      </c>
      <c r="H33" s="482">
        <f>F33*G33*365</f>
        <v>293777.55</v>
      </c>
      <c r="I33" s="129">
        <v>75669.98</v>
      </c>
      <c r="J33" s="131">
        <f>ROUND(24481.46*3,0)</f>
        <v>73444</v>
      </c>
      <c r="K33" s="133">
        <f t="shared" ref="K33:Q33" si="887">J33</f>
        <v>73444</v>
      </c>
      <c r="L33" s="133">
        <f t="shared" si="887"/>
        <v>73444</v>
      </c>
      <c r="M33" s="133">
        <f t="shared" si="887"/>
        <v>73444</v>
      </c>
      <c r="N33" s="133">
        <f t="shared" si="887"/>
        <v>73444</v>
      </c>
      <c r="O33" s="132">
        <f t="shared" si="887"/>
        <v>73444</v>
      </c>
      <c r="P33" s="133">
        <f t="shared" si="887"/>
        <v>73444</v>
      </c>
      <c r="Q33" s="133">
        <f t="shared" si="887"/>
        <v>73444</v>
      </c>
      <c r="R33" s="133">
        <f>ROUND(Q33*(1+取值表!$D$6)*取值表!$H$6,0)</f>
        <v>72844</v>
      </c>
      <c r="S33" s="133">
        <f>R33</f>
        <v>72844</v>
      </c>
      <c r="T33" s="133">
        <f>S33</f>
        <v>72844</v>
      </c>
      <c r="U33" s="133">
        <f>T33</f>
        <v>72844</v>
      </c>
      <c r="V33" s="133">
        <f>ROUND(U33*(1+取值表!$D$6)*取值表!$H$6,0)</f>
        <v>72249</v>
      </c>
      <c r="W33" s="133">
        <f t="shared" ref="W33:Y33" si="888">V33</f>
        <v>72249</v>
      </c>
      <c r="X33" s="133">
        <f t="shared" si="888"/>
        <v>72249</v>
      </c>
      <c r="Y33" s="133">
        <f t="shared" si="888"/>
        <v>72249</v>
      </c>
      <c r="Z33" s="133">
        <f>ROUND(Y33*(1+取值表!$D$6)*取值表!$H$6,0)</f>
        <v>71659</v>
      </c>
      <c r="AA33" s="133">
        <f t="shared" ref="AA33:AC33" si="889">Z33</f>
        <v>71659</v>
      </c>
      <c r="AB33" s="133">
        <f t="shared" si="889"/>
        <v>71659</v>
      </c>
      <c r="AC33" s="133">
        <f t="shared" si="889"/>
        <v>71659</v>
      </c>
      <c r="AD33" s="133">
        <f>ROUND(AC33*(1+取值表!$D$6)*取值表!$H$6,0)</f>
        <v>71073</v>
      </c>
      <c r="AE33" s="133">
        <f t="shared" ref="AE33:AG33" si="890">AD33</f>
        <v>71073</v>
      </c>
      <c r="AF33" s="133">
        <f t="shared" si="890"/>
        <v>71073</v>
      </c>
      <c r="AG33" s="133">
        <f t="shared" si="890"/>
        <v>71073</v>
      </c>
      <c r="AH33" s="133">
        <f>ROUND(AG33*(1+取值表!$D$6)*取值表!$H$6,0)</f>
        <v>70492</v>
      </c>
      <c r="AI33" s="133">
        <f t="shared" ref="AI33:AK33" si="891">AH33</f>
        <v>70492</v>
      </c>
      <c r="AJ33" s="133">
        <f t="shared" si="891"/>
        <v>70492</v>
      </c>
      <c r="AK33" s="133">
        <f t="shared" si="891"/>
        <v>70492</v>
      </c>
      <c r="AL33" s="133">
        <f>ROUND(AK33*(1+取值表!$D$6)*取值表!$H$6,0)</f>
        <v>69916</v>
      </c>
      <c r="AM33" s="133">
        <f t="shared" ref="AM33:AO33" si="892">AL33</f>
        <v>69916</v>
      </c>
      <c r="AN33" s="133">
        <f t="shared" si="892"/>
        <v>69916</v>
      </c>
      <c r="AO33" s="133">
        <f t="shared" si="892"/>
        <v>69916</v>
      </c>
      <c r="AP33" s="133">
        <f>ROUND(AO33*(1+取值表!$D$6)*取值表!$H$6,0)</f>
        <v>69345</v>
      </c>
      <c r="AQ33" s="133">
        <f t="shared" ref="AQ33:AS33" si="893">AP33</f>
        <v>69345</v>
      </c>
      <c r="AR33" s="133">
        <f t="shared" si="893"/>
        <v>69345</v>
      </c>
      <c r="AS33" s="133">
        <f t="shared" si="893"/>
        <v>69345</v>
      </c>
      <c r="AT33" s="133">
        <f>ROUND(AS33*(1+取值表!$D$6)*取值表!$H$6,0)</f>
        <v>68778</v>
      </c>
      <c r="AU33" s="133">
        <f t="shared" ref="AU33:AW33" si="894">AT33</f>
        <v>68778</v>
      </c>
      <c r="AV33" s="133">
        <f t="shared" si="894"/>
        <v>68778</v>
      </c>
      <c r="AW33" s="133">
        <f t="shared" si="894"/>
        <v>68778</v>
      </c>
      <c r="AX33" s="133">
        <f>ROUND(AW33*(1+取值表!$D$6)*取值表!$H$6,0)</f>
        <v>68216</v>
      </c>
      <c r="AY33" s="133">
        <f t="shared" ref="AY33:BA33" si="895">AX33</f>
        <v>68216</v>
      </c>
      <c r="AZ33" s="133">
        <f t="shared" si="895"/>
        <v>68216</v>
      </c>
      <c r="BA33" s="133">
        <f t="shared" si="895"/>
        <v>68216</v>
      </c>
      <c r="BB33" s="133">
        <f>ROUND(BA33*(1+取值表!$D$6)*取值表!$H$6,0)</f>
        <v>67659</v>
      </c>
      <c r="BC33" s="133">
        <f t="shared" ref="BC33:BE33" si="896">BB33</f>
        <v>67659</v>
      </c>
      <c r="BD33" s="133">
        <f t="shared" si="896"/>
        <v>67659</v>
      </c>
      <c r="BE33" s="133">
        <f t="shared" si="896"/>
        <v>67659</v>
      </c>
      <c r="BF33" s="133">
        <f>ROUND(BE33*(1+取值表!$D$6)*取值表!$H$6,0)</f>
        <v>67106</v>
      </c>
      <c r="BG33" s="133">
        <f t="shared" ref="BG33:BI33" si="897">BF33</f>
        <v>67106</v>
      </c>
      <c r="BH33" s="133">
        <f t="shared" si="897"/>
        <v>67106</v>
      </c>
      <c r="BI33" s="133">
        <f t="shared" si="897"/>
        <v>67106</v>
      </c>
      <c r="BJ33" s="133">
        <f>ROUND(BI33*(1+取值表!$D$6)*取值表!$H$6,0)</f>
        <v>66558</v>
      </c>
      <c r="BK33" s="133">
        <f t="shared" ref="BK33:BM33" si="898">BJ33</f>
        <v>66558</v>
      </c>
      <c r="BL33" s="133">
        <f t="shared" si="898"/>
        <v>66558</v>
      </c>
      <c r="BM33" s="133">
        <f t="shared" si="898"/>
        <v>66558</v>
      </c>
      <c r="BN33" s="133">
        <f>ROUND(BM33*(1+取值表!$D$6)*取值表!$H$6,0)</f>
        <v>66014</v>
      </c>
      <c r="BO33" s="133">
        <f t="shared" ref="BO33:BQ33" si="899">BN33</f>
        <v>66014</v>
      </c>
      <c r="BP33" s="133">
        <f t="shared" si="899"/>
        <v>66014</v>
      </c>
      <c r="BQ33" s="133">
        <f t="shared" si="899"/>
        <v>66014</v>
      </c>
      <c r="BR33" s="133">
        <f>ROUND(BQ33*(1+取值表!$D$6)*取值表!$H$6,0)</f>
        <v>65475</v>
      </c>
      <c r="BS33" s="133">
        <f t="shared" ref="BS33:BU33" si="900">BR33</f>
        <v>65475</v>
      </c>
      <c r="BT33" s="133">
        <f t="shared" si="900"/>
        <v>65475</v>
      </c>
      <c r="BU33" s="133">
        <f t="shared" si="900"/>
        <v>65475</v>
      </c>
      <c r="BV33" s="133">
        <f>ROUND(BU33*(1+取值表!$D$6)*取值表!$H$6,0)</f>
        <v>64940</v>
      </c>
      <c r="BW33" s="133">
        <f t="shared" ref="BW33:BY33" si="901">BV33</f>
        <v>64940</v>
      </c>
      <c r="BX33" s="133">
        <f t="shared" si="901"/>
        <v>64940</v>
      </c>
      <c r="BY33" s="133">
        <f t="shared" si="901"/>
        <v>64940</v>
      </c>
      <c r="BZ33" s="133">
        <f>ROUND(BY33*(1+取值表!$D$6)*取值表!$H$6,0)</f>
        <v>64409</v>
      </c>
      <c r="CA33" s="133">
        <f t="shared" ref="CA33:CC33" si="902">BZ33</f>
        <v>64409</v>
      </c>
      <c r="CB33" s="133">
        <f t="shared" si="902"/>
        <v>64409</v>
      </c>
      <c r="CC33" s="133">
        <f t="shared" si="902"/>
        <v>64409</v>
      </c>
      <c r="CD33" s="133">
        <f>ROUND(CC33*(1+取值表!$D$6)*取值表!$H$6,0)</f>
        <v>63883</v>
      </c>
      <c r="CE33" s="133">
        <f t="shared" ref="CE33:CG33" si="903">CD33</f>
        <v>63883</v>
      </c>
      <c r="CF33" s="133">
        <f t="shared" si="903"/>
        <v>63883</v>
      </c>
      <c r="CG33" s="133">
        <f t="shared" si="903"/>
        <v>63883</v>
      </c>
      <c r="CH33" s="133">
        <f>ROUND(CG33*(1+取值表!$D$6)*取值表!$H$6,0)</f>
        <v>63361</v>
      </c>
      <c r="CI33" s="133">
        <f t="shared" ref="CI33:CK33" si="904">CH33</f>
        <v>63361</v>
      </c>
      <c r="CJ33" s="133">
        <f t="shared" si="904"/>
        <v>63361</v>
      </c>
      <c r="CK33" s="133">
        <f t="shared" si="904"/>
        <v>63361</v>
      </c>
      <c r="CL33" s="133">
        <f>ROUND(CK33*(1+取值表!$D$6)*取值表!$H$6,0)</f>
        <v>62843</v>
      </c>
      <c r="CM33" s="133">
        <f t="shared" ref="CM33:CO33" si="905">CL33</f>
        <v>62843</v>
      </c>
      <c r="CN33" s="133">
        <f t="shared" si="905"/>
        <v>62843</v>
      </c>
      <c r="CO33" s="133">
        <f t="shared" si="905"/>
        <v>62843</v>
      </c>
      <c r="CP33" s="133">
        <f>ROUND(CO33*(1+取值表!$D$6)*取值表!$H$6,0)</f>
        <v>62330</v>
      </c>
      <c r="CQ33" s="133">
        <f t="shared" ref="CQ33" si="906">CP33</f>
        <v>62330</v>
      </c>
      <c r="CR33" s="133">
        <f t="shared" ref="CR33" si="907">CQ33</f>
        <v>62330</v>
      </c>
      <c r="CS33" s="133">
        <f t="shared" ref="CS33" si="908">CR33</f>
        <v>62330</v>
      </c>
      <c r="CT33" s="133">
        <f>ROUND(CS33*(1+取值表!$D$6)*取值表!$H$6,0)</f>
        <v>61821</v>
      </c>
      <c r="CU33" s="133">
        <f t="shared" ref="CU33" si="909">CT33</f>
        <v>61821</v>
      </c>
      <c r="CV33" s="133">
        <f t="shared" ref="CV33" si="910">CU33</f>
        <v>61821</v>
      </c>
      <c r="CW33" s="133">
        <f t="shared" ref="CW33" si="911">CV33</f>
        <v>61821</v>
      </c>
      <c r="CX33" s="133">
        <f>ROUND(CW33*(1+取值表!$D$6)*取值表!$H$6,0)</f>
        <v>61316</v>
      </c>
      <c r="CY33" s="133">
        <f t="shared" ref="CY33" si="912">CX33</f>
        <v>61316</v>
      </c>
      <c r="CZ33" s="133">
        <f t="shared" ref="CZ33" si="913">CY33</f>
        <v>61316</v>
      </c>
      <c r="DA33" s="133">
        <f t="shared" ref="DA33" si="914">CZ33</f>
        <v>61316</v>
      </c>
      <c r="DB33" s="133">
        <f>ROUND(DA33*(1+取值表!$D$6)*取值表!$H$6,0)</f>
        <v>60815</v>
      </c>
      <c r="DC33" s="133">
        <f t="shared" ref="DC33" si="915">DB33</f>
        <v>60815</v>
      </c>
      <c r="DD33" s="133">
        <f t="shared" ref="DD33" si="916">DC33</f>
        <v>60815</v>
      </c>
      <c r="DE33" s="133">
        <f t="shared" ref="DE33" si="917">DD33</f>
        <v>60815</v>
      </c>
      <c r="DF33" s="133">
        <f>ROUND(DE33*(1+取值表!$D$6)*取值表!$H$6,0)</f>
        <v>60318</v>
      </c>
      <c r="DG33" s="133">
        <f t="shared" ref="DG33" si="918">DF33</f>
        <v>60318</v>
      </c>
      <c r="DH33" s="133">
        <f t="shared" ref="DH33" si="919">DG33</f>
        <v>60318</v>
      </c>
      <c r="DI33" s="133">
        <f t="shared" ref="DI33" si="920">DH33</f>
        <v>60318</v>
      </c>
      <c r="DJ33" s="133">
        <f>ROUND(DI33*(1+取值表!$D$6)*取值表!$H$6,0)</f>
        <v>59825</v>
      </c>
      <c r="DK33" s="133">
        <f t="shared" ref="DK33" si="921">DJ33</f>
        <v>59825</v>
      </c>
      <c r="DL33" s="133">
        <f t="shared" ref="DL33" si="922">DK33</f>
        <v>59825</v>
      </c>
      <c r="DM33" s="133">
        <f t="shared" ref="DM33" si="923">DL33</f>
        <v>59825</v>
      </c>
      <c r="DN33" s="133">
        <f>ROUND(DM33*(1+取值表!$D$6)*取值表!$H$6,0)</f>
        <v>59336</v>
      </c>
      <c r="DO33" s="133">
        <f t="shared" ref="DO33" si="924">DN33</f>
        <v>59336</v>
      </c>
      <c r="DP33" s="133">
        <f t="shared" ref="DP33" si="925">DO33</f>
        <v>59336</v>
      </c>
      <c r="DQ33" s="133">
        <f t="shared" ref="DQ33" si="926">DP33</f>
        <v>59336</v>
      </c>
      <c r="DR33" s="133">
        <f>ROUND(DQ33*(1+取值表!$D$6)*取值表!$H$6,0)</f>
        <v>58851</v>
      </c>
      <c r="DS33" s="133">
        <f t="shared" ref="DS33" si="927">DR33</f>
        <v>58851</v>
      </c>
      <c r="DT33" s="133">
        <f t="shared" ref="DT33" si="928">DS33</f>
        <v>58851</v>
      </c>
      <c r="DU33" s="133">
        <f t="shared" ref="DU33" si="929">DT33</f>
        <v>58851</v>
      </c>
      <c r="DV33" s="133">
        <f>ROUND(DU33*(1+取值表!$D$6)*取值表!$H$6,0)</f>
        <v>58370</v>
      </c>
      <c r="DW33" s="133">
        <f t="shared" ref="DW33" si="930">DV33</f>
        <v>58370</v>
      </c>
      <c r="DX33" s="133">
        <f t="shared" ref="DX33" si="931">DW33</f>
        <v>58370</v>
      </c>
      <c r="DY33" s="133">
        <f t="shared" ref="DY33" si="932">DX33</f>
        <v>58370</v>
      </c>
      <c r="DZ33" s="133">
        <f>ROUND(DY33*(1+取值表!$D$6)*取值表!$H$6,0)</f>
        <v>57893</v>
      </c>
      <c r="EA33" s="133">
        <f t="shared" ref="EA33" si="933">DZ33</f>
        <v>57893</v>
      </c>
      <c r="EB33" s="133">
        <f t="shared" ref="EB33" si="934">EA33</f>
        <v>57893</v>
      </c>
      <c r="EC33" s="133">
        <f t="shared" ref="EC33" si="935">EB33</f>
        <v>57893</v>
      </c>
      <c r="ED33" s="133">
        <f>ROUND(EC33*(1+取值表!$D$6)*取值表!$H$6,0)</f>
        <v>57420</v>
      </c>
      <c r="EE33" s="133">
        <f t="shared" ref="EE33" si="936">ED33</f>
        <v>57420</v>
      </c>
      <c r="EF33" s="133">
        <f t="shared" ref="EF33" si="937">EE33</f>
        <v>57420</v>
      </c>
      <c r="EG33" s="133">
        <f t="shared" ref="EG33" si="938">EF33</f>
        <v>57420</v>
      </c>
      <c r="EH33" s="133">
        <f>ROUND(EG33*(1+取值表!$D$6)*取值表!$H$6,0)</f>
        <v>56951</v>
      </c>
      <c r="EI33" s="133">
        <f t="shared" ref="EI33" si="939">EH33</f>
        <v>56951</v>
      </c>
      <c r="EJ33" s="133">
        <f t="shared" ref="EJ33" si="940">EI33</f>
        <v>56951</v>
      </c>
      <c r="EK33" s="133">
        <f t="shared" ref="EK33" si="941">EJ33</f>
        <v>56951</v>
      </c>
      <c r="EL33" s="133">
        <f>ROUND(EK33*(1+取值表!$D$6)*取值表!$H$6,0)</f>
        <v>56486</v>
      </c>
      <c r="EM33" s="133">
        <f t="shared" ref="EM33" si="942">EL33</f>
        <v>56486</v>
      </c>
      <c r="EN33" s="133">
        <f t="shared" ref="EN33" si="943">EM33</f>
        <v>56486</v>
      </c>
      <c r="EO33" s="133">
        <f t="shared" ref="EO33" si="944">EN33</f>
        <v>56486</v>
      </c>
      <c r="EP33" s="133">
        <f>ROUND(EO33*(1+取值表!$D$6)*取值表!$H$6,0)</f>
        <v>56024</v>
      </c>
      <c r="EQ33" s="133">
        <f t="shared" ref="EQ33" si="945">EP33</f>
        <v>56024</v>
      </c>
      <c r="ER33" s="133">
        <f t="shared" ref="ER33" si="946">EQ33</f>
        <v>56024</v>
      </c>
      <c r="ES33" s="133">
        <f t="shared" ref="ES33" si="947">ER33</f>
        <v>56024</v>
      </c>
      <c r="ET33" s="133">
        <f t="shared" si="39"/>
        <v>9045856</v>
      </c>
    </row>
    <row r="34" spans="1:151">
      <c r="A34" s="402"/>
      <c r="B34" s="406"/>
      <c r="C34" s="400"/>
      <c r="D34" s="401"/>
      <c r="E34" s="398"/>
      <c r="F34" s="399"/>
      <c r="G34" s="399"/>
      <c r="H34" s="482"/>
      <c r="I34" s="129"/>
      <c r="J34" s="131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33"/>
      <c r="ES34" s="133"/>
      <c r="ET34" s="133">
        <f t="shared" si="39"/>
        <v>0</v>
      </c>
    </row>
    <row r="35" spans="1:151" ht="12" customHeight="1">
      <c r="A35" s="402">
        <v>17</v>
      </c>
      <c r="B35" s="406" t="s">
        <v>1088</v>
      </c>
      <c r="C35" s="400" t="s">
        <v>1089</v>
      </c>
      <c r="D35" s="401" t="s">
        <v>431</v>
      </c>
      <c r="E35" s="398" t="s">
        <v>422</v>
      </c>
      <c r="F35" s="399">
        <v>25.62</v>
      </c>
      <c r="G35" s="399">
        <v>39</v>
      </c>
      <c r="H35" s="482">
        <f>F35*G35*365</f>
        <v>364700.7</v>
      </c>
      <c r="I35" s="129">
        <v>84161.7</v>
      </c>
      <c r="J35" s="131">
        <f>ROUND(30391.73*3,0)</f>
        <v>91175</v>
      </c>
      <c r="K35" s="132">
        <f>J35</f>
        <v>91175</v>
      </c>
      <c r="L35" s="133">
        <f>K35</f>
        <v>91175</v>
      </c>
      <c r="M35" s="133">
        <f>L35</f>
        <v>91175</v>
      </c>
      <c r="N35" s="133">
        <f>ROUND(M35*(1+取值表!$D$6)*取值表!$H$6,0)</f>
        <v>90430</v>
      </c>
      <c r="O35" s="133">
        <f>N35</f>
        <v>90430</v>
      </c>
      <c r="P35" s="133">
        <f>O35</f>
        <v>90430</v>
      </c>
      <c r="Q35" s="133">
        <f>P35</f>
        <v>90430</v>
      </c>
      <c r="R35" s="133">
        <f>ROUND(Q35*(1+取值表!$D$6)*取值表!$H$6,0)</f>
        <v>89691</v>
      </c>
      <c r="S35" s="133">
        <f t="shared" ref="S35:U35" si="948">R35</f>
        <v>89691</v>
      </c>
      <c r="T35" s="133">
        <f t="shared" si="948"/>
        <v>89691</v>
      </c>
      <c r="U35" s="133">
        <f t="shared" si="948"/>
        <v>89691</v>
      </c>
      <c r="V35" s="133">
        <f>ROUND(U35*(1+取值表!$D$6)*取值表!$H$6,0)</f>
        <v>88958</v>
      </c>
      <c r="W35" s="133">
        <f t="shared" ref="W35:Y35" si="949">V35</f>
        <v>88958</v>
      </c>
      <c r="X35" s="133">
        <f t="shared" si="949"/>
        <v>88958</v>
      </c>
      <c r="Y35" s="133">
        <f t="shared" si="949"/>
        <v>88958</v>
      </c>
      <c r="Z35" s="133">
        <f>ROUND(Y35*(1+取值表!$D$6)*取值表!$H$6,0)</f>
        <v>88231</v>
      </c>
      <c r="AA35" s="133">
        <f t="shared" ref="AA35:AC35" si="950">Z35</f>
        <v>88231</v>
      </c>
      <c r="AB35" s="133">
        <f t="shared" si="950"/>
        <v>88231</v>
      </c>
      <c r="AC35" s="133">
        <f t="shared" si="950"/>
        <v>88231</v>
      </c>
      <c r="AD35" s="133">
        <f>ROUND(AC35*(1+取值表!$D$6)*取值表!$H$6,0)</f>
        <v>87510</v>
      </c>
      <c r="AE35" s="133">
        <f t="shared" ref="AE35:AG35" si="951">AD35</f>
        <v>87510</v>
      </c>
      <c r="AF35" s="133">
        <f t="shared" si="951"/>
        <v>87510</v>
      </c>
      <c r="AG35" s="133">
        <f t="shared" si="951"/>
        <v>87510</v>
      </c>
      <c r="AH35" s="133">
        <f>ROUND(AG35*(1+取值表!$D$6)*取值表!$H$6,0)</f>
        <v>86795</v>
      </c>
      <c r="AI35" s="133">
        <f t="shared" ref="AI35:AK35" si="952">AH35</f>
        <v>86795</v>
      </c>
      <c r="AJ35" s="133">
        <f t="shared" si="952"/>
        <v>86795</v>
      </c>
      <c r="AK35" s="133">
        <f t="shared" si="952"/>
        <v>86795</v>
      </c>
      <c r="AL35" s="133">
        <f>ROUND(AK35*(1+取值表!$D$6)*取值表!$H$6,0)</f>
        <v>86086</v>
      </c>
      <c r="AM35" s="133">
        <f t="shared" ref="AM35:AO35" si="953">AL35</f>
        <v>86086</v>
      </c>
      <c r="AN35" s="133">
        <f t="shared" si="953"/>
        <v>86086</v>
      </c>
      <c r="AO35" s="133">
        <f t="shared" si="953"/>
        <v>86086</v>
      </c>
      <c r="AP35" s="133">
        <f>ROUND(AO35*(1+取值表!$D$6)*取值表!$H$6,0)</f>
        <v>85383</v>
      </c>
      <c r="AQ35" s="133">
        <f t="shared" ref="AQ35:AS35" si="954">AP35</f>
        <v>85383</v>
      </c>
      <c r="AR35" s="133">
        <f t="shared" si="954"/>
        <v>85383</v>
      </c>
      <c r="AS35" s="133">
        <f t="shared" si="954"/>
        <v>85383</v>
      </c>
      <c r="AT35" s="133">
        <f>ROUND(AS35*(1+取值表!$D$6)*取值表!$H$6,0)</f>
        <v>84685</v>
      </c>
      <c r="AU35" s="133">
        <f t="shared" ref="AU35:AW35" si="955">AT35</f>
        <v>84685</v>
      </c>
      <c r="AV35" s="133">
        <f t="shared" si="955"/>
        <v>84685</v>
      </c>
      <c r="AW35" s="133">
        <f t="shared" si="955"/>
        <v>84685</v>
      </c>
      <c r="AX35" s="133">
        <f>ROUND(AW35*(1+取值表!$D$6)*取值表!$H$6,0)</f>
        <v>83993</v>
      </c>
      <c r="AY35" s="133">
        <f t="shared" ref="AY35:BA35" si="956">AX35</f>
        <v>83993</v>
      </c>
      <c r="AZ35" s="133">
        <f t="shared" si="956"/>
        <v>83993</v>
      </c>
      <c r="BA35" s="133">
        <f t="shared" si="956"/>
        <v>83993</v>
      </c>
      <c r="BB35" s="133">
        <f>ROUND(BA35*(1+取值表!$D$6)*取值表!$H$6,0)</f>
        <v>83307</v>
      </c>
      <c r="BC35" s="133">
        <f t="shared" ref="BC35:BE35" si="957">BB35</f>
        <v>83307</v>
      </c>
      <c r="BD35" s="133">
        <f t="shared" si="957"/>
        <v>83307</v>
      </c>
      <c r="BE35" s="133">
        <f t="shared" si="957"/>
        <v>83307</v>
      </c>
      <c r="BF35" s="133">
        <f>ROUND(BE35*(1+取值表!$D$6)*取值表!$H$6,0)</f>
        <v>82626</v>
      </c>
      <c r="BG35" s="133">
        <f t="shared" ref="BG35:BI35" si="958">BF35</f>
        <v>82626</v>
      </c>
      <c r="BH35" s="133">
        <f t="shared" si="958"/>
        <v>82626</v>
      </c>
      <c r="BI35" s="133">
        <f t="shared" si="958"/>
        <v>82626</v>
      </c>
      <c r="BJ35" s="133">
        <f>ROUND(BI35*(1+取值表!$D$6)*取值表!$H$6,0)</f>
        <v>81951</v>
      </c>
      <c r="BK35" s="133">
        <f t="shared" ref="BK35:BM35" si="959">BJ35</f>
        <v>81951</v>
      </c>
      <c r="BL35" s="133">
        <f t="shared" si="959"/>
        <v>81951</v>
      </c>
      <c r="BM35" s="133">
        <f t="shared" si="959"/>
        <v>81951</v>
      </c>
      <c r="BN35" s="133">
        <f>ROUND(BM35*(1+取值表!$D$6)*取值表!$H$6,0)</f>
        <v>81281</v>
      </c>
      <c r="BO35" s="133">
        <f t="shared" ref="BO35:BQ35" si="960">BN35</f>
        <v>81281</v>
      </c>
      <c r="BP35" s="133">
        <f t="shared" si="960"/>
        <v>81281</v>
      </c>
      <c r="BQ35" s="133">
        <f t="shared" si="960"/>
        <v>81281</v>
      </c>
      <c r="BR35" s="133">
        <f>ROUND(BQ35*(1+取值表!$D$6)*取值表!$H$6,0)</f>
        <v>80617</v>
      </c>
      <c r="BS35" s="133">
        <f t="shared" ref="BS35:BU35" si="961">BR35</f>
        <v>80617</v>
      </c>
      <c r="BT35" s="133">
        <f t="shared" si="961"/>
        <v>80617</v>
      </c>
      <c r="BU35" s="133">
        <f t="shared" si="961"/>
        <v>80617</v>
      </c>
      <c r="BV35" s="133">
        <f>ROUND(BU35*(1+取值表!$D$6)*取值表!$H$6,0)</f>
        <v>79958</v>
      </c>
      <c r="BW35" s="133">
        <f t="shared" ref="BW35:BY35" si="962">BV35</f>
        <v>79958</v>
      </c>
      <c r="BX35" s="133">
        <f t="shared" si="962"/>
        <v>79958</v>
      </c>
      <c r="BY35" s="133">
        <f t="shared" si="962"/>
        <v>79958</v>
      </c>
      <c r="BZ35" s="133">
        <f>ROUND(BY35*(1+取值表!$D$6)*取值表!$H$6,0)</f>
        <v>79305</v>
      </c>
      <c r="CA35" s="133">
        <f t="shared" ref="CA35:CC35" si="963">BZ35</f>
        <v>79305</v>
      </c>
      <c r="CB35" s="133">
        <f t="shared" si="963"/>
        <v>79305</v>
      </c>
      <c r="CC35" s="133">
        <f t="shared" si="963"/>
        <v>79305</v>
      </c>
      <c r="CD35" s="133">
        <f>ROUND(CC35*(1+取值表!$D$6)*取值表!$H$6,0)</f>
        <v>78657</v>
      </c>
      <c r="CE35" s="133">
        <f t="shared" ref="CE35:CG35" si="964">CD35</f>
        <v>78657</v>
      </c>
      <c r="CF35" s="133">
        <f t="shared" si="964"/>
        <v>78657</v>
      </c>
      <c r="CG35" s="133">
        <f t="shared" si="964"/>
        <v>78657</v>
      </c>
      <c r="CH35" s="133">
        <f>ROUND(CG35*(1+取值表!$D$6)*取值表!$H$6,0)</f>
        <v>78014</v>
      </c>
      <c r="CI35" s="133">
        <f t="shared" ref="CI35:CK35" si="965">CH35</f>
        <v>78014</v>
      </c>
      <c r="CJ35" s="133">
        <f t="shared" si="965"/>
        <v>78014</v>
      </c>
      <c r="CK35" s="133">
        <f t="shared" si="965"/>
        <v>78014</v>
      </c>
      <c r="CL35" s="133">
        <f>ROUND(CK35*(1+取值表!$D$6)*取值表!$H$6,0)</f>
        <v>77377</v>
      </c>
      <c r="CM35" s="133">
        <f t="shared" ref="CM35:CO35" si="966">CL35</f>
        <v>77377</v>
      </c>
      <c r="CN35" s="133">
        <f t="shared" si="966"/>
        <v>77377</v>
      </c>
      <c r="CO35" s="133">
        <f t="shared" si="966"/>
        <v>77377</v>
      </c>
      <c r="CP35" s="133">
        <f>ROUND(CO35*(1+取值表!$D$6)*取值表!$H$6,0)</f>
        <v>76745</v>
      </c>
      <c r="CQ35" s="133">
        <f t="shared" ref="CQ35" si="967">CP35</f>
        <v>76745</v>
      </c>
      <c r="CR35" s="133">
        <f t="shared" ref="CR35" si="968">CQ35</f>
        <v>76745</v>
      </c>
      <c r="CS35" s="133">
        <f t="shared" ref="CS35" si="969">CR35</f>
        <v>76745</v>
      </c>
      <c r="CT35" s="133">
        <f>ROUND(CS35*(1+取值表!$D$6)*取值表!$H$6,0)</f>
        <v>76118</v>
      </c>
      <c r="CU35" s="133">
        <f t="shared" ref="CU35" si="970">CT35</f>
        <v>76118</v>
      </c>
      <c r="CV35" s="133">
        <f t="shared" ref="CV35" si="971">CU35</f>
        <v>76118</v>
      </c>
      <c r="CW35" s="133">
        <f t="shared" ref="CW35" si="972">CV35</f>
        <v>76118</v>
      </c>
      <c r="CX35" s="133">
        <f>ROUND(CW35*(1+取值表!$D$6)*取值表!$H$6,0)</f>
        <v>75496</v>
      </c>
      <c r="CY35" s="133">
        <f t="shared" ref="CY35" si="973">CX35</f>
        <v>75496</v>
      </c>
      <c r="CZ35" s="133">
        <f t="shared" ref="CZ35" si="974">CY35</f>
        <v>75496</v>
      </c>
      <c r="DA35" s="133">
        <f t="shared" ref="DA35" si="975">CZ35</f>
        <v>75496</v>
      </c>
      <c r="DB35" s="133">
        <f>ROUND(DA35*(1+取值表!$D$6)*取值表!$H$6,0)</f>
        <v>74879</v>
      </c>
      <c r="DC35" s="133">
        <f t="shared" ref="DC35" si="976">DB35</f>
        <v>74879</v>
      </c>
      <c r="DD35" s="133">
        <f t="shared" ref="DD35" si="977">DC35</f>
        <v>74879</v>
      </c>
      <c r="DE35" s="133">
        <f t="shared" ref="DE35" si="978">DD35</f>
        <v>74879</v>
      </c>
      <c r="DF35" s="133">
        <f>ROUND(DE35*(1+取值表!$D$6)*取值表!$H$6,0)</f>
        <v>74267</v>
      </c>
      <c r="DG35" s="133">
        <f t="shared" ref="DG35" si="979">DF35</f>
        <v>74267</v>
      </c>
      <c r="DH35" s="133">
        <f t="shared" ref="DH35" si="980">DG35</f>
        <v>74267</v>
      </c>
      <c r="DI35" s="133">
        <f t="shared" ref="DI35" si="981">DH35</f>
        <v>74267</v>
      </c>
      <c r="DJ35" s="133">
        <f>ROUND(DI35*(1+取值表!$D$6)*取值表!$H$6,0)</f>
        <v>73660</v>
      </c>
      <c r="DK35" s="133">
        <f t="shared" ref="DK35" si="982">DJ35</f>
        <v>73660</v>
      </c>
      <c r="DL35" s="133">
        <f t="shared" ref="DL35" si="983">DK35</f>
        <v>73660</v>
      </c>
      <c r="DM35" s="133">
        <f t="shared" ref="DM35" si="984">DL35</f>
        <v>73660</v>
      </c>
      <c r="DN35" s="133">
        <f>ROUND(DM35*(1+取值表!$D$6)*取值表!$H$6,0)</f>
        <v>73058</v>
      </c>
      <c r="DO35" s="133">
        <f t="shared" ref="DO35" si="985">DN35</f>
        <v>73058</v>
      </c>
      <c r="DP35" s="133">
        <f t="shared" ref="DP35" si="986">DO35</f>
        <v>73058</v>
      </c>
      <c r="DQ35" s="133">
        <f t="shared" ref="DQ35" si="987">DP35</f>
        <v>73058</v>
      </c>
      <c r="DR35" s="133">
        <f>ROUND(DQ35*(1+取值表!$D$6)*取值表!$H$6,0)</f>
        <v>72461</v>
      </c>
      <c r="DS35" s="133">
        <f t="shared" ref="DS35" si="988">DR35</f>
        <v>72461</v>
      </c>
      <c r="DT35" s="133">
        <f t="shared" ref="DT35" si="989">DS35</f>
        <v>72461</v>
      </c>
      <c r="DU35" s="133">
        <f t="shared" ref="DU35" si="990">DT35</f>
        <v>72461</v>
      </c>
      <c r="DV35" s="133">
        <f>ROUND(DU35*(1+取值表!$D$6)*取值表!$H$6,0)</f>
        <v>71869</v>
      </c>
      <c r="DW35" s="133">
        <f t="shared" ref="DW35" si="991">DV35</f>
        <v>71869</v>
      </c>
      <c r="DX35" s="133">
        <f t="shared" ref="DX35" si="992">DW35</f>
        <v>71869</v>
      </c>
      <c r="DY35" s="133">
        <f t="shared" ref="DY35" si="993">DX35</f>
        <v>71869</v>
      </c>
      <c r="DZ35" s="133">
        <f>ROUND(DY35*(1+取值表!$D$6)*取值表!$H$6,0)</f>
        <v>71282</v>
      </c>
      <c r="EA35" s="133">
        <f t="shared" ref="EA35" si="994">DZ35</f>
        <v>71282</v>
      </c>
      <c r="EB35" s="133">
        <f t="shared" ref="EB35" si="995">EA35</f>
        <v>71282</v>
      </c>
      <c r="EC35" s="133">
        <f t="shared" ref="EC35" si="996">EB35</f>
        <v>71282</v>
      </c>
      <c r="ED35" s="133">
        <f>ROUND(EC35*(1+取值表!$D$6)*取值表!$H$6,0)</f>
        <v>70700</v>
      </c>
      <c r="EE35" s="133">
        <f t="shared" ref="EE35" si="997">ED35</f>
        <v>70700</v>
      </c>
      <c r="EF35" s="133">
        <f t="shared" ref="EF35" si="998">EE35</f>
        <v>70700</v>
      </c>
      <c r="EG35" s="133">
        <f t="shared" ref="EG35" si="999">EF35</f>
        <v>70700</v>
      </c>
      <c r="EH35" s="133">
        <f>ROUND(EG35*(1+取值表!$D$6)*取值表!$H$6,0)</f>
        <v>70122</v>
      </c>
      <c r="EI35" s="133">
        <f t="shared" ref="EI35" si="1000">EH35</f>
        <v>70122</v>
      </c>
      <c r="EJ35" s="133">
        <f t="shared" ref="EJ35" si="1001">EI35</f>
        <v>70122</v>
      </c>
      <c r="EK35" s="133">
        <f t="shared" ref="EK35" si="1002">EJ35</f>
        <v>70122</v>
      </c>
      <c r="EL35" s="133">
        <f>ROUND(EK35*(1+取值表!$D$6)*取值表!$H$6,0)</f>
        <v>69549</v>
      </c>
      <c r="EM35" s="133">
        <f t="shared" ref="EM35" si="1003">EL35</f>
        <v>69549</v>
      </c>
      <c r="EN35" s="133">
        <f t="shared" ref="EN35" si="1004">EM35</f>
        <v>69549</v>
      </c>
      <c r="EO35" s="133">
        <f t="shared" ref="EO35" si="1005">EN35</f>
        <v>69549</v>
      </c>
      <c r="EP35" s="133">
        <f>ROUND(EO35*(1+取值表!$D$6)*取值表!$H$6,0)</f>
        <v>68981</v>
      </c>
      <c r="EQ35" s="133">
        <f t="shared" ref="EQ35" si="1006">EP35</f>
        <v>68981</v>
      </c>
      <c r="ER35" s="133">
        <f t="shared" ref="ER35" si="1007">EQ35</f>
        <v>68981</v>
      </c>
      <c r="ES35" s="133">
        <f t="shared" ref="ES35" si="1008">ER35</f>
        <v>68981</v>
      </c>
      <c r="ET35" s="133">
        <f t="shared" si="39"/>
        <v>11140868</v>
      </c>
    </row>
    <row r="36" spans="1:151">
      <c r="A36" s="402"/>
      <c r="B36" s="406"/>
      <c r="C36" s="400"/>
      <c r="D36" s="401"/>
      <c r="E36" s="398"/>
      <c r="F36" s="399"/>
      <c r="G36" s="399"/>
      <c r="H36" s="482"/>
      <c r="I36" s="129"/>
      <c r="J36" s="131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>
        <f t="shared" si="39"/>
        <v>0</v>
      </c>
    </row>
    <row r="37" spans="1:151">
      <c r="A37" s="402">
        <v>18</v>
      </c>
      <c r="B37" s="406" t="s">
        <v>1090</v>
      </c>
      <c r="C37" s="400" t="s">
        <v>1091</v>
      </c>
      <c r="D37" s="401" t="s">
        <v>432</v>
      </c>
      <c r="E37" s="398" t="s">
        <v>422</v>
      </c>
      <c r="F37" s="399">
        <v>101.84</v>
      </c>
      <c r="G37" s="399">
        <f>AVERAGE(23)</f>
        <v>23</v>
      </c>
      <c r="H37" s="482">
        <f>F37*G37*365</f>
        <v>854946.8</v>
      </c>
      <c r="I37" s="129">
        <v>209090.25</v>
      </c>
      <c r="J37" s="131">
        <f>ROUND(G37*365*F37/4,0)</f>
        <v>213737</v>
      </c>
      <c r="K37" s="133">
        <f>J37</f>
        <v>213737</v>
      </c>
      <c r="L37" s="133">
        <f>K37</f>
        <v>213737</v>
      </c>
      <c r="M37" s="132">
        <f>L37</f>
        <v>213737</v>
      </c>
      <c r="N37" s="133">
        <f>ROUND(M37*(1+取值表!$D$6)*取值表!$H$6,0)</f>
        <v>211991</v>
      </c>
      <c r="O37" s="133">
        <f>N37</f>
        <v>211991</v>
      </c>
      <c r="P37" s="133">
        <f>O37</f>
        <v>211991</v>
      </c>
      <c r="Q37" s="133">
        <f>P37</f>
        <v>211991</v>
      </c>
      <c r="R37" s="133">
        <f>ROUND(Q37*(1+取值表!$D$6)*取值表!$H$6,0)</f>
        <v>210259</v>
      </c>
      <c r="S37" s="133">
        <f>R37</f>
        <v>210259</v>
      </c>
      <c r="T37" s="133">
        <f>S37</f>
        <v>210259</v>
      </c>
      <c r="U37" s="133">
        <f>T37</f>
        <v>210259</v>
      </c>
      <c r="V37" s="133">
        <f>ROUND(U37*(1+取值表!$D$6)*取值表!$H$6,0)</f>
        <v>208541</v>
      </c>
      <c r="W37" s="133">
        <f t="shared" ref="W37:Y37" si="1009">V37</f>
        <v>208541</v>
      </c>
      <c r="X37" s="133">
        <f t="shared" si="1009"/>
        <v>208541</v>
      </c>
      <c r="Y37" s="133">
        <f t="shared" si="1009"/>
        <v>208541</v>
      </c>
      <c r="Z37" s="133">
        <f>ROUND(Y37*(1+取值表!$D$6)*取值表!$H$6,0)</f>
        <v>206837</v>
      </c>
      <c r="AA37" s="133">
        <f t="shared" ref="AA37:AC37" si="1010">Z37</f>
        <v>206837</v>
      </c>
      <c r="AB37" s="133">
        <f t="shared" si="1010"/>
        <v>206837</v>
      </c>
      <c r="AC37" s="133">
        <f t="shared" si="1010"/>
        <v>206837</v>
      </c>
      <c r="AD37" s="133">
        <f>ROUND(AC37*(1+取值表!$D$6)*取值表!$H$6,0)</f>
        <v>205147</v>
      </c>
      <c r="AE37" s="133">
        <f t="shared" ref="AE37:AG37" si="1011">AD37</f>
        <v>205147</v>
      </c>
      <c r="AF37" s="133">
        <f t="shared" si="1011"/>
        <v>205147</v>
      </c>
      <c r="AG37" s="133">
        <f t="shared" si="1011"/>
        <v>205147</v>
      </c>
      <c r="AH37" s="133">
        <f>ROUND(AG37*(1+取值表!$D$6)*取值表!$H$6,0)</f>
        <v>203471</v>
      </c>
      <c r="AI37" s="133">
        <f t="shared" ref="AI37:AK37" si="1012">AH37</f>
        <v>203471</v>
      </c>
      <c r="AJ37" s="133">
        <f t="shared" si="1012"/>
        <v>203471</v>
      </c>
      <c r="AK37" s="133">
        <f t="shared" si="1012"/>
        <v>203471</v>
      </c>
      <c r="AL37" s="133">
        <f>ROUND(AK37*(1+取值表!$D$6)*取值表!$H$6,0)</f>
        <v>201808</v>
      </c>
      <c r="AM37" s="133">
        <f t="shared" ref="AM37:AO37" si="1013">AL37</f>
        <v>201808</v>
      </c>
      <c r="AN37" s="133">
        <f t="shared" si="1013"/>
        <v>201808</v>
      </c>
      <c r="AO37" s="133">
        <f t="shared" si="1013"/>
        <v>201808</v>
      </c>
      <c r="AP37" s="133">
        <f>ROUND(AO37*(1+取值表!$D$6)*取值表!$H$6,0)</f>
        <v>200159</v>
      </c>
      <c r="AQ37" s="133">
        <f t="shared" ref="AQ37:AS37" si="1014">AP37</f>
        <v>200159</v>
      </c>
      <c r="AR37" s="133">
        <f t="shared" si="1014"/>
        <v>200159</v>
      </c>
      <c r="AS37" s="133">
        <f t="shared" si="1014"/>
        <v>200159</v>
      </c>
      <c r="AT37" s="133">
        <f>ROUND(AS37*(1+取值表!$D$6)*取值表!$H$6,0)</f>
        <v>198523</v>
      </c>
      <c r="AU37" s="133">
        <f t="shared" ref="AU37:AW37" si="1015">AT37</f>
        <v>198523</v>
      </c>
      <c r="AV37" s="133">
        <f t="shared" si="1015"/>
        <v>198523</v>
      </c>
      <c r="AW37" s="133">
        <f t="shared" si="1015"/>
        <v>198523</v>
      </c>
      <c r="AX37" s="133">
        <f>ROUND(AW37*(1+取值表!$D$6)*取值表!$H$6,0)</f>
        <v>196901</v>
      </c>
      <c r="AY37" s="133">
        <f t="shared" ref="AY37:BA37" si="1016">AX37</f>
        <v>196901</v>
      </c>
      <c r="AZ37" s="133">
        <f t="shared" si="1016"/>
        <v>196901</v>
      </c>
      <c r="BA37" s="133">
        <f t="shared" si="1016"/>
        <v>196901</v>
      </c>
      <c r="BB37" s="133">
        <f>ROUND(BA37*(1+取值表!$D$6)*取值表!$H$6,0)</f>
        <v>195292</v>
      </c>
      <c r="BC37" s="133">
        <f t="shared" ref="BC37:BE37" si="1017">BB37</f>
        <v>195292</v>
      </c>
      <c r="BD37" s="133">
        <f t="shared" si="1017"/>
        <v>195292</v>
      </c>
      <c r="BE37" s="133">
        <f t="shared" si="1017"/>
        <v>195292</v>
      </c>
      <c r="BF37" s="133">
        <f>ROUND(BE37*(1+取值表!$D$6)*取值表!$H$6,0)</f>
        <v>193696</v>
      </c>
      <c r="BG37" s="133">
        <f t="shared" ref="BG37:BI37" si="1018">BF37</f>
        <v>193696</v>
      </c>
      <c r="BH37" s="133">
        <f t="shared" si="1018"/>
        <v>193696</v>
      </c>
      <c r="BI37" s="133">
        <f t="shared" si="1018"/>
        <v>193696</v>
      </c>
      <c r="BJ37" s="133">
        <f>ROUND(BI37*(1+取值表!$D$6)*取值表!$H$6,0)</f>
        <v>192113</v>
      </c>
      <c r="BK37" s="133">
        <f t="shared" ref="BK37:BM37" si="1019">BJ37</f>
        <v>192113</v>
      </c>
      <c r="BL37" s="133">
        <f t="shared" si="1019"/>
        <v>192113</v>
      </c>
      <c r="BM37" s="133">
        <f t="shared" si="1019"/>
        <v>192113</v>
      </c>
      <c r="BN37" s="133">
        <f>ROUND(BM37*(1+取值表!$D$6)*取值表!$H$6,0)</f>
        <v>190543</v>
      </c>
      <c r="BO37" s="133">
        <f t="shared" ref="BO37:BQ37" si="1020">BN37</f>
        <v>190543</v>
      </c>
      <c r="BP37" s="133">
        <f t="shared" si="1020"/>
        <v>190543</v>
      </c>
      <c r="BQ37" s="133">
        <f t="shared" si="1020"/>
        <v>190543</v>
      </c>
      <c r="BR37" s="133">
        <f>ROUND(BQ37*(1+取值表!$D$6)*取值表!$H$6,0)</f>
        <v>188986</v>
      </c>
      <c r="BS37" s="133">
        <f t="shared" ref="BS37:BU37" si="1021">BR37</f>
        <v>188986</v>
      </c>
      <c r="BT37" s="133">
        <f t="shared" si="1021"/>
        <v>188986</v>
      </c>
      <c r="BU37" s="133">
        <f t="shared" si="1021"/>
        <v>188986</v>
      </c>
      <c r="BV37" s="133">
        <f>ROUND(BU37*(1+取值表!$D$6)*取值表!$H$6,0)</f>
        <v>187442</v>
      </c>
      <c r="BW37" s="133">
        <f t="shared" ref="BW37:BY37" si="1022">BV37</f>
        <v>187442</v>
      </c>
      <c r="BX37" s="133">
        <f t="shared" si="1022"/>
        <v>187442</v>
      </c>
      <c r="BY37" s="133">
        <f t="shared" si="1022"/>
        <v>187442</v>
      </c>
      <c r="BZ37" s="133">
        <f>ROUND(BY37*(1+取值表!$D$6)*取值表!$H$6,0)</f>
        <v>185910</v>
      </c>
      <c r="CA37" s="133">
        <f t="shared" ref="CA37:CC37" si="1023">BZ37</f>
        <v>185910</v>
      </c>
      <c r="CB37" s="133">
        <f t="shared" si="1023"/>
        <v>185910</v>
      </c>
      <c r="CC37" s="133">
        <f t="shared" si="1023"/>
        <v>185910</v>
      </c>
      <c r="CD37" s="133">
        <f>ROUND(CC37*(1+取值表!$D$6)*取值表!$H$6,0)</f>
        <v>184391</v>
      </c>
      <c r="CE37" s="133">
        <f t="shared" ref="CE37:CG37" si="1024">CD37</f>
        <v>184391</v>
      </c>
      <c r="CF37" s="133">
        <f t="shared" si="1024"/>
        <v>184391</v>
      </c>
      <c r="CG37" s="133">
        <f t="shared" si="1024"/>
        <v>184391</v>
      </c>
      <c r="CH37" s="133">
        <f>ROUND(CG37*(1+取值表!$D$6)*取值表!$H$6,0)</f>
        <v>182884</v>
      </c>
      <c r="CI37" s="133">
        <f t="shared" ref="CI37:CK37" si="1025">CH37</f>
        <v>182884</v>
      </c>
      <c r="CJ37" s="133">
        <f t="shared" si="1025"/>
        <v>182884</v>
      </c>
      <c r="CK37" s="133">
        <f t="shared" si="1025"/>
        <v>182884</v>
      </c>
      <c r="CL37" s="133">
        <f>ROUND(CK37*(1+取值表!$D$6)*取值表!$H$6,0)</f>
        <v>181390</v>
      </c>
      <c r="CM37" s="133">
        <f t="shared" ref="CM37:CO37" si="1026">CL37</f>
        <v>181390</v>
      </c>
      <c r="CN37" s="133">
        <f t="shared" si="1026"/>
        <v>181390</v>
      </c>
      <c r="CO37" s="133">
        <f t="shared" si="1026"/>
        <v>181390</v>
      </c>
      <c r="CP37" s="133">
        <f>ROUND(CO37*(1+取值表!$D$6)*取值表!$H$6,0)</f>
        <v>179908</v>
      </c>
      <c r="CQ37" s="133">
        <f t="shared" ref="CQ37" si="1027">CP37</f>
        <v>179908</v>
      </c>
      <c r="CR37" s="133">
        <f t="shared" ref="CR37" si="1028">CQ37</f>
        <v>179908</v>
      </c>
      <c r="CS37" s="133">
        <f t="shared" ref="CS37" si="1029">CR37</f>
        <v>179908</v>
      </c>
      <c r="CT37" s="133">
        <f>ROUND(CS37*(1+取值表!$D$6)*取值表!$H$6,0)</f>
        <v>178438</v>
      </c>
      <c r="CU37" s="133">
        <f t="shared" ref="CU37" si="1030">CT37</f>
        <v>178438</v>
      </c>
      <c r="CV37" s="133">
        <f t="shared" ref="CV37" si="1031">CU37</f>
        <v>178438</v>
      </c>
      <c r="CW37" s="133">
        <f t="shared" ref="CW37" si="1032">CV37</f>
        <v>178438</v>
      </c>
      <c r="CX37" s="133">
        <f>ROUND(CW37*(1+取值表!$D$6)*取值表!$H$6,0)</f>
        <v>176980</v>
      </c>
      <c r="CY37" s="133">
        <f t="shared" ref="CY37" si="1033">CX37</f>
        <v>176980</v>
      </c>
      <c r="CZ37" s="133">
        <f t="shared" ref="CZ37" si="1034">CY37</f>
        <v>176980</v>
      </c>
      <c r="DA37" s="133">
        <f t="shared" ref="DA37" si="1035">CZ37</f>
        <v>176980</v>
      </c>
      <c r="DB37" s="133">
        <f>ROUND(DA37*(1+取值表!$D$6)*取值表!$H$6,0)</f>
        <v>175534</v>
      </c>
      <c r="DC37" s="133">
        <f t="shared" ref="DC37" si="1036">DB37</f>
        <v>175534</v>
      </c>
      <c r="DD37" s="133">
        <f t="shared" ref="DD37" si="1037">DC37</f>
        <v>175534</v>
      </c>
      <c r="DE37" s="133">
        <f t="shared" ref="DE37" si="1038">DD37</f>
        <v>175534</v>
      </c>
      <c r="DF37" s="133">
        <f>ROUND(DE37*(1+取值表!$D$6)*取值表!$H$6,0)</f>
        <v>174100</v>
      </c>
      <c r="DG37" s="133">
        <f t="shared" ref="DG37" si="1039">DF37</f>
        <v>174100</v>
      </c>
      <c r="DH37" s="133">
        <f t="shared" ref="DH37" si="1040">DG37</f>
        <v>174100</v>
      </c>
      <c r="DI37" s="133">
        <f t="shared" ref="DI37" si="1041">DH37</f>
        <v>174100</v>
      </c>
      <c r="DJ37" s="133">
        <f>ROUND(DI37*(1+取值表!$D$6)*取值表!$H$6,0)</f>
        <v>172677</v>
      </c>
      <c r="DK37" s="133">
        <f t="shared" ref="DK37" si="1042">DJ37</f>
        <v>172677</v>
      </c>
      <c r="DL37" s="133">
        <f t="shared" ref="DL37" si="1043">DK37</f>
        <v>172677</v>
      </c>
      <c r="DM37" s="133">
        <f t="shared" ref="DM37" si="1044">DL37</f>
        <v>172677</v>
      </c>
      <c r="DN37" s="133">
        <f>ROUND(DM37*(1+取值表!$D$6)*取值表!$H$6,0)</f>
        <v>171266</v>
      </c>
      <c r="DO37" s="133">
        <f t="shared" ref="DO37" si="1045">DN37</f>
        <v>171266</v>
      </c>
      <c r="DP37" s="133">
        <f t="shared" ref="DP37" si="1046">DO37</f>
        <v>171266</v>
      </c>
      <c r="DQ37" s="133">
        <f t="shared" ref="DQ37" si="1047">DP37</f>
        <v>171266</v>
      </c>
      <c r="DR37" s="133">
        <f>ROUND(DQ37*(1+取值表!$D$6)*取值表!$H$6,0)</f>
        <v>169867</v>
      </c>
      <c r="DS37" s="133">
        <f t="shared" ref="DS37" si="1048">DR37</f>
        <v>169867</v>
      </c>
      <c r="DT37" s="133">
        <f t="shared" ref="DT37" si="1049">DS37</f>
        <v>169867</v>
      </c>
      <c r="DU37" s="133">
        <f t="shared" ref="DU37" si="1050">DT37</f>
        <v>169867</v>
      </c>
      <c r="DV37" s="133">
        <f>ROUND(DU37*(1+取值表!$D$6)*取值表!$H$6,0)</f>
        <v>168479</v>
      </c>
      <c r="DW37" s="133">
        <f t="shared" ref="DW37" si="1051">DV37</f>
        <v>168479</v>
      </c>
      <c r="DX37" s="133">
        <f t="shared" ref="DX37" si="1052">DW37</f>
        <v>168479</v>
      </c>
      <c r="DY37" s="133">
        <f t="shared" ref="DY37" si="1053">DX37</f>
        <v>168479</v>
      </c>
      <c r="DZ37" s="133">
        <f>ROUND(DY37*(1+取值表!$D$6)*取值表!$H$6,0)</f>
        <v>167102</v>
      </c>
      <c r="EA37" s="133">
        <f t="shared" ref="EA37" si="1054">DZ37</f>
        <v>167102</v>
      </c>
      <c r="EB37" s="133">
        <f t="shared" ref="EB37" si="1055">EA37</f>
        <v>167102</v>
      </c>
      <c r="EC37" s="133">
        <f t="shared" ref="EC37" si="1056">EB37</f>
        <v>167102</v>
      </c>
      <c r="ED37" s="133">
        <f>ROUND(EC37*(1+取值表!$D$6)*取值表!$H$6,0)</f>
        <v>165737</v>
      </c>
      <c r="EE37" s="133">
        <f t="shared" ref="EE37" si="1057">ED37</f>
        <v>165737</v>
      </c>
      <c r="EF37" s="133">
        <f t="shared" ref="EF37" si="1058">EE37</f>
        <v>165737</v>
      </c>
      <c r="EG37" s="133">
        <f t="shared" ref="EG37" si="1059">EF37</f>
        <v>165737</v>
      </c>
      <c r="EH37" s="133">
        <f>ROUND(EG37*(1+取值表!$D$6)*取值表!$H$6,0)</f>
        <v>164383</v>
      </c>
      <c r="EI37" s="133">
        <f t="shared" ref="EI37" si="1060">EH37</f>
        <v>164383</v>
      </c>
      <c r="EJ37" s="133">
        <f t="shared" ref="EJ37" si="1061">EI37</f>
        <v>164383</v>
      </c>
      <c r="EK37" s="133">
        <f t="shared" ref="EK37" si="1062">EJ37</f>
        <v>164383</v>
      </c>
      <c r="EL37" s="133">
        <f>ROUND(EK37*(1+取值表!$D$6)*取值表!$H$6,0)</f>
        <v>163040</v>
      </c>
      <c r="EM37" s="133">
        <f t="shared" ref="EM37" si="1063">EL37</f>
        <v>163040</v>
      </c>
      <c r="EN37" s="133">
        <f t="shared" ref="EN37" si="1064">EM37</f>
        <v>163040</v>
      </c>
      <c r="EO37" s="133">
        <f t="shared" ref="EO37" si="1065">EN37</f>
        <v>163040</v>
      </c>
      <c r="EP37" s="133">
        <f>ROUND(EO37*(1+取值表!$D$6)*取值表!$H$6,0)</f>
        <v>161708</v>
      </c>
      <c r="EQ37" s="133">
        <f t="shared" ref="EQ37" si="1066">EP37</f>
        <v>161708</v>
      </c>
      <c r="ER37" s="133">
        <f t="shared" ref="ER37" si="1067">EQ37</f>
        <v>161708</v>
      </c>
      <c r="ES37" s="133">
        <f t="shared" ref="ES37" si="1068">ER37</f>
        <v>161708</v>
      </c>
      <c r="ET37" s="133">
        <f t="shared" si="39"/>
        <v>26116960</v>
      </c>
    </row>
    <row r="38" spans="1:151">
      <c r="A38" s="402"/>
      <c r="B38" s="406"/>
      <c r="C38" s="400"/>
      <c r="D38" s="401"/>
      <c r="E38" s="398"/>
      <c r="F38" s="399"/>
      <c r="G38" s="399"/>
      <c r="H38" s="482"/>
      <c r="I38" s="129"/>
      <c r="J38" s="131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>
        <f t="shared" si="39"/>
        <v>0</v>
      </c>
    </row>
    <row r="39" spans="1:151" s="179" customFormat="1" ht="12" customHeight="1">
      <c r="A39" s="402">
        <v>19</v>
      </c>
      <c r="B39" s="406" t="s">
        <v>1092</v>
      </c>
      <c r="C39" s="400" t="s">
        <v>1093</v>
      </c>
      <c r="D39" s="401" t="s">
        <v>433</v>
      </c>
      <c r="E39" s="398" t="s">
        <v>422</v>
      </c>
      <c r="F39" s="399">
        <v>52.9</v>
      </c>
      <c r="G39" s="399">
        <f>AVERAGE(28,30,32)</f>
        <v>30</v>
      </c>
      <c r="H39" s="482">
        <f>F39*G39*365</f>
        <v>579255</v>
      </c>
      <c r="I39" s="129">
        <v>12067.809999999998</v>
      </c>
      <c r="J39" s="131">
        <f>ROUND(48271.25*3,0)</f>
        <v>144814</v>
      </c>
      <c r="K39" s="133">
        <f>J39</f>
        <v>144814</v>
      </c>
      <c r="L39" s="133">
        <f>ROUND(32*F39*365/4,0)</f>
        <v>154468</v>
      </c>
      <c r="M39" s="133">
        <f>L39</f>
        <v>154468</v>
      </c>
      <c r="N39" s="133">
        <f>M39</f>
        <v>154468</v>
      </c>
      <c r="O39" s="132">
        <f>N39</f>
        <v>154468</v>
      </c>
      <c r="P39" s="133">
        <f>O39</f>
        <v>154468</v>
      </c>
      <c r="Q39" s="133">
        <f>P39</f>
        <v>154468</v>
      </c>
      <c r="R39" s="133">
        <f>ROUND(Q39*(1+取值表!$D$6)*取值表!$H$6,0)</f>
        <v>153206</v>
      </c>
      <c r="S39" s="133">
        <f>R39</f>
        <v>153206</v>
      </c>
      <c r="T39" s="133">
        <f>S39</f>
        <v>153206</v>
      </c>
      <c r="U39" s="133">
        <f>T39</f>
        <v>153206</v>
      </c>
      <c r="V39" s="133">
        <f>ROUND(U39*(1+取值表!$D$6)*取值表!$H$6,0)</f>
        <v>151954</v>
      </c>
      <c r="W39" s="133">
        <f t="shared" ref="W39:Y39" si="1069">V39</f>
        <v>151954</v>
      </c>
      <c r="X39" s="133">
        <f t="shared" si="1069"/>
        <v>151954</v>
      </c>
      <c r="Y39" s="133">
        <f t="shared" si="1069"/>
        <v>151954</v>
      </c>
      <c r="Z39" s="133">
        <f>ROUND(Y39*(1+取值表!$D$6)*取值表!$H$6,0)</f>
        <v>150712</v>
      </c>
      <c r="AA39" s="133">
        <f t="shared" ref="AA39:AC39" si="1070">Z39</f>
        <v>150712</v>
      </c>
      <c r="AB39" s="133">
        <f t="shared" si="1070"/>
        <v>150712</v>
      </c>
      <c r="AC39" s="133">
        <f t="shared" si="1070"/>
        <v>150712</v>
      </c>
      <c r="AD39" s="133">
        <f>ROUND(AC39*(1+取值表!$D$6)*取值表!$H$6,0)</f>
        <v>149481</v>
      </c>
      <c r="AE39" s="133">
        <f t="shared" ref="AE39:AG39" si="1071">AD39</f>
        <v>149481</v>
      </c>
      <c r="AF39" s="133">
        <f t="shared" si="1071"/>
        <v>149481</v>
      </c>
      <c r="AG39" s="133">
        <f t="shared" si="1071"/>
        <v>149481</v>
      </c>
      <c r="AH39" s="133">
        <f>ROUND(AG39*(1+取值表!$D$6)*取值表!$H$6,0)</f>
        <v>148260</v>
      </c>
      <c r="AI39" s="133">
        <f t="shared" ref="AI39:AK39" si="1072">AH39</f>
        <v>148260</v>
      </c>
      <c r="AJ39" s="133">
        <f t="shared" si="1072"/>
        <v>148260</v>
      </c>
      <c r="AK39" s="133">
        <f t="shared" si="1072"/>
        <v>148260</v>
      </c>
      <c r="AL39" s="133">
        <f>ROUND(AK39*(1+取值表!$D$6)*取值表!$H$6,0)</f>
        <v>147049</v>
      </c>
      <c r="AM39" s="133">
        <f t="shared" ref="AM39:AO39" si="1073">AL39</f>
        <v>147049</v>
      </c>
      <c r="AN39" s="133">
        <f t="shared" si="1073"/>
        <v>147049</v>
      </c>
      <c r="AO39" s="133">
        <f t="shared" si="1073"/>
        <v>147049</v>
      </c>
      <c r="AP39" s="133">
        <f>ROUND(AO39*(1+取值表!$D$6)*取值表!$H$6,0)</f>
        <v>145847</v>
      </c>
      <c r="AQ39" s="133">
        <f t="shared" ref="AQ39:AS39" si="1074">AP39</f>
        <v>145847</v>
      </c>
      <c r="AR39" s="133">
        <f t="shared" si="1074"/>
        <v>145847</v>
      </c>
      <c r="AS39" s="133">
        <f t="shared" si="1074"/>
        <v>145847</v>
      </c>
      <c r="AT39" s="133">
        <f>ROUND(AS39*(1+取值表!$D$6)*取值表!$H$6,0)</f>
        <v>144655</v>
      </c>
      <c r="AU39" s="133">
        <f t="shared" ref="AU39:AW39" si="1075">AT39</f>
        <v>144655</v>
      </c>
      <c r="AV39" s="133">
        <f t="shared" si="1075"/>
        <v>144655</v>
      </c>
      <c r="AW39" s="133">
        <f t="shared" si="1075"/>
        <v>144655</v>
      </c>
      <c r="AX39" s="133">
        <f>ROUND(AW39*(1+取值表!$D$6)*取值表!$H$6,0)</f>
        <v>143473</v>
      </c>
      <c r="AY39" s="133">
        <f t="shared" ref="AY39:BA39" si="1076">AX39</f>
        <v>143473</v>
      </c>
      <c r="AZ39" s="133">
        <f t="shared" si="1076"/>
        <v>143473</v>
      </c>
      <c r="BA39" s="133">
        <f t="shared" si="1076"/>
        <v>143473</v>
      </c>
      <c r="BB39" s="133">
        <f>ROUND(BA39*(1+取值表!$D$6)*取值表!$H$6,0)</f>
        <v>142301</v>
      </c>
      <c r="BC39" s="133">
        <f t="shared" ref="BC39:BE39" si="1077">BB39</f>
        <v>142301</v>
      </c>
      <c r="BD39" s="133">
        <f t="shared" si="1077"/>
        <v>142301</v>
      </c>
      <c r="BE39" s="133">
        <f t="shared" si="1077"/>
        <v>142301</v>
      </c>
      <c r="BF39" s="133">
        <f>ROUND(BE39*(1+取值表!$D$6)*取值表!$H$6,0)</f>
        <v>141138</v>
      </c>
      <c r="BG39" s="133">
        <f t="shared" ref="BG39:BI39" si="1078">BF39</f>
        <v>141138</v>
      </c>
      <c r="BH39" s="133">
        <f t="shared" si="1078"/>
        <v>141138</v>
      </c>
      <c r="BI39" s="133">
        <f t="shared" si="1078"/>
        <v>141138</v>
      </c>
      <c r="BJ39" s="133">
        <f>ROUND(BI39*(1+取值表!$D$6)*取值表!$H$6,0)</f>
        <v>139985</v>
      </c>
      <c r="BK39" s="133">
        <f t="shared" ref="BK39:BM39" si="1079">BJ39</f>
        <v>139985</v>
      </c>
      <c r="BL39" s="133">
        <f t="shared" si="1079"/>
        <v>139985</v>
      </c>
      <c r="BM39" s="133">
        <f t="shared" si="1079"/>
        <v>139985</v>
      </c>
      <c r="BN39" s="133">
        <f>ROUND(BM39*(1+取值表!$D$6)*取值表!$H$6,0)</f>
        <v>138841</v>
      </c>
      <c r="BO39" s="133">
        <f t="shared" ref="BO39:BQ39" si="1080">BN39</f>
        <v>138841</v>
      </c>
      <c r="BP39" s="133">
        <f t="shared" si="1080"/>
        <v>138841</v>
      </c>
      <c r="BQ39" s="133">
        <f t="shared" si="1080"/>
        <v>138841</v>
      </c>
      <c r="BR39" s="133">
        <f>ROUND(BQ39*(1+取值表!$D$6)*取值表!$H$6,0)</f>
        <v>137707</v>
      </c>
      <c r="BS39" s="133">
        <f t="shared" ref="BS39:BU39" si="1081">BR39</f>
        <v>137707</v>
      </c>
      <c r="BT39" s="133">
        <f t="shared" si="1081"/>
        <v>137707</v>
      </c>
      <c r="BU39" s="133">
        <f t="shared" si="1081"/>
        <v>137707</v>
      </c>
      <c r="BV39" s="133">
        <f>ROUND(BU39*(1+取值表!$D$6)*取值表!$H$6,0)</f>
        <v>136582</v>
      </c>
      <c r="BW39" s="133">
        <f t="shared" ref="BW39:BY39" si="1082">BV39</f>
        <v>136582</v>
      </c>
      <c r="BX39" s="133">
        <f t="shared" si="1082"/>
        <v>136582</v>
      </c>
      <c r="BY39" s="133">
        <f t="shared" si="1082"/>
        <v>136582</v>
      </c>
      <c r="BZ39" s="133">
        <f>ROUND(BY39*(1+取值表!$D$6)*取值表!$H$6,0)</f>
        <v>135466</v>
      </c>
      <c r="CA39" s="133">
        <f t="shared" ref="CA39:CC39" si="1083">BZ39</f>
        <v>135466</v>
      </c>
      <c r="CB39" s="133">
        <f t="shared" si="1083"/>
        <v>135466</v>
      </c>
      <c r="CC39" s="133">
        <f t="shared" si="1083"/>
        <v>135466</v>
      </c>
      <c r="CD39" s="133">
        <f>ROUND(CC39*(1+取值表!$D$6)*取值表!$H$6,0)</f>
        <v>134359</v>
      </c>
      <c r="CE39" s="133">
        <f t="shared" ref="CE39:CG39" si="1084">CD39</f>
        <v>134359</v>
      </c>
      <c r="CF39" s="133">
        <f t="shared" si="1084"/>
        <v>134359</v>
      </c>
      <c r="CG39" s="133">
        <f t="shared" si="1084"/>
        <v>134359</v>
      </c>
      <c r="CH39" s="133">
        <f>ROUND(CG39*(1+取值表!$D$6)*取值表!$H$6,0)</f>
        <v>133261</v>
      </c>
      <c r="CI39" s="133">
        <f t="shared" ref="CI39:CK39" si="1085">CH39</f>
        <v>133261</v>
      </c>
      <c r="CJ39" s="133">
        <f t="shared" si="1085"/>
        <v>133261</v>
      </c>
      <c r="CK39" s="133">
        <f t="shared" si="1085"/>
        <v>133261</v>
      </c>
      <c r="CL39" s="133">
        <f>ROUND(CK39*(1+取值表!$D$6)*取值表!$H$6,0)</f>
        <v>132172</v>
      </c>
      <c r="CM39" s="133">
        <f t="shared" ref="CM39:CO39" si="1086">CL39</f>
        <v>132172</v>
      </c>
      <c r="CN39" s="133">
        <f t="shared" si="1086"/>
        <v>132172</v>
      </c>
      <c r="CO39" s="133">
        <f t="shared" si="1086"/>
        <v>132172</v>
      </c>
      <c r="CP39" s="133">
        <f>ROUND(CO39*(1+取值表!$D$6)*取值表!$H$6,0)</f>
        <v>131092</v>
      </c>
      <c r="CQ39" s="133">
        <f t="shared" ref="CQ39" si="1087">CP39</f>
        <v>131092</v>
      </c>
      <c r="CR39" s="133">
        <f t="shared" ref="CR39" si="1088">CQ39</f>
        <v>131092</v>
      </c>
      <c r="CS39" s="133">
        <f t="shared" ref="CS39" si="1089">CR39</f>
        <v>131092</v>
      </c>
      <c r="CT39" s="133">
        <f>ROUND(CS39*(1+取值表!$D$6)*取值表!$H$6,0)</f>
        <v>130021</v>
      </c>
      <c r="CU39" s="133">
        <f t="shared" ref="CU39" si="1090">CT39</f>
        <v>130021</v>
      </c>
      <c r="CV39" s="133">
        <f t="shared" ref="CV39" si="1091">CU39</f>
        <v>130021</v>
      </c>
      <c r="CW39" s="133">
        <f t="shared" ref="CW39" si="1092">CV39</f>
        <v>130021</v>
      </c>
      <c r="CX39" s="133">
        <f>ROUND(CW39*(1+取值表!$D$6)*取值表!$H$6,0)</f>
        <v>128959</v>
      </c>
      <c r="CY39" s="133">
        <f t="shared" ref="CY39" si="1093">CX39</f>
        <v>128959</v>
      </c>
      <c r="CZ39" s="133">
        <f t="shared" ref="CZ39" si="1094">CY39</f>
        <v>128959</v>
      </c>
      <c r="DA39" s="133">
        <f t="shared" ref="DA39" si="1095">CZ39</f>
        <v>128959</v>
      </c>
      <c r="DB39" s="133">
        <f>ROUND(DA39*(1+取值表!$D$6)*取值表!$H$6,0)</f>
        <v>127905</v>
      </c>
      <c r="DC39" s="133">
        <f t="shared" ref="DC39" si="1096">DB39</f>
        <v>127905</v>
      </c>
      <c r="DD39" s="133">
        <f t="shared" ref="DD39" si="1097">DC39</f>
        <v>127905</v>
      </c>
      <c r="DE39" s="133">
        <f t="shared" ref="DE39" si="1098">DD39</f>
        <v>127905</v>
      </c>
      <c r="DF39" s="133">
        <f>ROUND(DE39*(1+取值表!$D$6)*取值表!$H$6,0)</f>
        <v>126860</v>
      </c>
      <c r="DG39" s="133">
        <f t="shared" ref="DG39" si="1099">DF39</f>
        <v>126860</v>
      </c>
      <c r="DH39" s="133">
        <f t="shared" ref="DH39" si="1100">DG39</f>
        <v>126860</v>
      </c>
      <c r="DI39" s="133">
        <f t="shared" ref="DI39" si="1101">DH39</f>
        <v>126860</v>
      </c>
      <c r="DJ39" s="133">
        <f>ROUND(DI39*(1+取值表!$D$6)*取值表!$H$6,0)</f>
        <v>125823</v>
      </c>
      <c r="DK39" s="133">
        <f t="shared" ref="DK39" si="1102">DJ39</f>
        <v>125823</v>
      </c>
      <c r="DL39" s="133">
        <f t="shared" ref="DL39" si="1103">DK39</f>
        <v>125823</v>
      </c>
      <c r="DM39" s="133">
        <f t="shared" ref="DM39" si="1104">DL39</f>
        <v>125823</v>
      </c>
      <c r="DN39" s="133">
        <f>ROUND(DM39*(1+取值表!$D$6)*取值表!$H$6,0)</f>
        <v>124795</v>
      </c>
      <c r="DO39" s="133">
        <f t="shared" ref="DO39" si="1105">DN39</f>
        <v>124795</v>
      </c>
      <c r="DP39" s="133">
        <f t="shared" ref="DP39" si="1106">DO39</f>
        <v>124795</v>
      </c>
      <c r="DQ39" s="133">
        <f t="shared" ref="DQ39" si="1107">DP39</f>
        <v>124795</v>
      </c>
      <c r="DR39" s="133">
        <f>ROUND(DQ39*(1+取值表!$D$6)*取值表!$H$6,0)</f>
        <v>123775</v>
      </c>
      <c r="DS39" s="133">
        <f t="shared" ref="DS39" si="1108">DR39</f>
        <v>123775</v>
      </c>
      <c r="DT39" s="133">
        <f t="shared" ref="DT39" si="1109">DS39</f>
        <v>123775</v>
      </c>
      <c r="DU39" s="133">
        <f t="shared" ref="DU39" si="1110">DT39</f>
        <v>123775</v>
      </c>
      <c r="DV39" s="133">
        <f>ROUND(DU39*(1+取值表!$D$6)*取值表!$H$6,0)</f>
        <v>122764</v>
      </c>
      <c r="DW39" s="133">
        <f t="shared" ref="DW39" si="1111">DV39</f>
        <v>122764</v>
      </c>
      <c r="DX39" s="133">
        <f t="shared" ref="DX39" si="1112">DW39</f>
        <v>122764</v>
      </c>
      <c r="DY39" s="133">
        <f t="shared" ref="DY39" si="1113">DX39</f>
        <v>122764</v>
      </c>
      <c r="DZ39" s="133">
        <f>ROUND(DY39*(1+取值表!$D$6)*取值表!$H$6,0)</f>
        <v>121761</v>
      </c>
      <c r="EA39" s="133">
        <f t="shared" ref="EA39" si="1114">DZ39</f>
        <v>121761</v>
      </c>
      <c r="EB39" s="133">
        <f t="shared" ref="EB39" si="1115">EA39</f>
        <v>121761</v>
      </c>
      <c r="EC39" s="133">
        <f t="shared" ref="EC39" si="1116">EB39</f>
        <v>121761</v>
      </c>
      <c r="ED39" s="133">
        <f>ROUND(EC39*(1+取值表!$D$6)*取值表!$H$6,0)</f>
        <v>120766</v>
      </c>
      <c r="EE39" s="133">
        <f t="shared" ref="EE39" si="1117">ED39</f>
        <v>120766</v>
      </c>
      <c r="EF39" s="133">
        <f t="shared" ref="EF39" si="1118">EE39</f>
        <v>120766</v>
      </c>
      <c r="EG39" s="133">
        <f t="shared" ref="EG39" si="1119">EF39</f>
        <v>120766</v>
      </c>
      <c r="EH39" s="133">
        <f>ROUND(EG39*(1+取值表!$D$6)*取值表!$H$6,0)</f>
        <v>119779</v>
      </c>
      <c r="EI39" s="133">
        <f t="shared" ref="EI39" si="1120">EH39</f>
        <v>119779</v>
      </c>
      <c r="EJ39" s="133">
        <f t="shared" ref="EJ39" si="1121">EI39</f>
        <v>119779</v>
      </c>
      <c r="EK39" s="133">
        <f t="shared" ref="EK39" si="1122">EJ39</f>
        <v>119779</v>
      </c>
      <c r="EL39" s="133">
        <f>ROUND(EK39*(1+取值表!$D$6)*取值表!$H$6,0)</f>
        <v>118800</v>
      </c>
      <c r="EM39" s="133">
        <f t="shared" ref="EM39" si="1123">EL39</f>
        <v>118800</v>
      </c>
      <c r="EN39" s="133">
        <f t="shared" ref="EN39" si="1124">EM39</f>
        <v>118800</v>
      </c>
      <c r="EO39" s="133">
        <f t="shared" ref="EO39" si="1125">EN39</f>
        <v>118800</v>
      </c>
      <c r="EP39" s="133">
        <f>ROUND(EO39*(1+取值表!$D$6)*取值表!$H$6,0)</f>
        <v>117829</v>
      </c>
      <c r="EQ39" s="133">
        <f t="shared" ref="EQ39" si="1126">EP39</f>
        <v>117829</v>
      </c>
      <c r="ER39" s="133">
        <f t="shared" ref="ER39" si="1127">EQ39</f>
        <v>117829</v>
      </c>
      <c r="ES39" s="133">
        <f t="shared" ref="ES39" si="1128">ER39</f>
        <v>117829</v>
      </c>
      <c r="ET39" s="133">
        <f t="shared" si="39"/>
        <v>19005948</v>
      </c>
      <c r="EU39" s="72"/>
    </row>
    <row r="40" spans="1:151" s="179" customFormat="1">
      <c r="A40" s="402"/>
      <c r="B40" s="406"/>
      <c r="C40" s="400"/>
      <c r="D40" s="401"/>
      <c r="E40" s="398"/>
      <c r="F40" s="399"/>
      <c r="G40" s="399"/>
      <c r="H40" s="482"/>
      <c r="I40" s="129"/>
      <c r="J40" s="131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>
        <f t="shared" si="39"/>
        <v>0</v>
      </c>
      <c r="EU40" s="72"/>
    </row>
    <row r="41" spans="1:151" ht="12" customHeight="1">
      <c r="A41" s="402">
        <v>20</v>
      </c>
      <c r="B41" s="406" t="s">
        <v>1094</v>
      </c>
      <c r="C41" s="400" t="s">
        <v>1095</v>
      </c>
      <c r="D41" s="401" t="s">
        <v>28</v>
      </c>
      <c r="E41" s="398" t="s">
        <v>422</v>
      </c>
      <c r="F41" s="399">
        <v>101.98</v>
      </c>
      <c r="G41" s="399">
        <f>AVERAGE(24)</f>
        <v>24</v>
      </c>
      <c r="H41" s="482">
        <f>F41*G41*365</f>
        <v>893344.8</v>
      </c>
      <c r="I41" s="129">
        <v>218683.36</v>
      </c>
      <c r="J41" s="131">
        <f>K41</f>
        <v>223336</v>
      </c>
      <c r="K41" s="132">
        <f>ROUND(24*F41*365/4,0)</f>
        <v>223336</v>
      </c>
      <c r="L41" s="131">
        <f>K41</f>
        <v>223336</v>
      </c>
      <c r="M41" s="133">
        <f>L41</f>
        <v>223336</v>
      </c>
      <c r="N41" s="133">
        <f>ROUND(M41*(1+取值表!$D$6)*取值表!$H$6,0)</f>
        <v>221511</v>
      </c>
      <c r="O41" s="133">
        <f>N41</f>
        <v>221511</v>
      </c>
      <c r="P41" s="133">
        <f>O41</f>
        <v>221511</v>
      </c>
      <c r="Q41" s="133">
        <f>P41</f>
        <v>221511</v>
      </c>
      <c r="R41" s="133">
        <f>ROUND(Q41*(1+取值表!$D$6)*取值表!$H$6,0)</f>
        <v>219701</v>
      </c>
      <c r="S41" s="133">
        <f t="shared" ref="S41:U41" si="1129">R41</f>
        <v>219701</v>
      </c>
      <c r="T41" s="133">
        <f t="shared" si="1129"/>
        <v>219701</v>
      </c>
      <c r="U41" s="133">
        <f t="shared" si="1129"/>
        <v>219701</v>
      </c>
      <c r="V41" s="133">
        <f>ROUND(U41*(1+取值表!$D$6)*取值表!$H$6,0)</f>
        <v>217906</v>
      </c>
      <c r="W41" s="133">
        <f t="shared" ref="W41:Y41" si="1130">V41</f>
        <v>217906</v>
      </c>
      <c r="X41" s="133">
        <f t="shared" si="1130"/>
        <v>217906</v>
      </c>
      <c r="Y41" s="133">
        <f t="shared" si="1130"/>
        <v>217906</v>
      </c>
      <c r="Z41" s="133">
        <f>ROUND(Y41*(1+取值表!$D$6)*取值表!$H$6,0)</f>
        <v>216125</v>
      </c>
      <c r="AA41" s="133">
        <f t="shared" ref="AA41:AC41" si="1131">Z41</f>
        <v>216125</v>
      </c>
      <c r="AB41" s="133">
        <f t="shared" si="1131"/>
        <v>216125</v>
      </c>
      <c r="AC41" s="133">
        <f t="shared" si="1131"/>
        <v>216125</v>
      </c>
      <c r="AD41" s="133">
        <f>ROUND(AC41*(1+取值表!$D$6)*取值表!$H$6,0)</f>
        <v>214359</v>
      </c>
      <c r="AE41" s="133">
        <f t="shared" ref="AE41:AG41" si="1132">AD41</f>
        <v>214359</v>
      </c>
      <c r="AF41" s="133">
        <f t="shared" si="1132"/>
        <v>214359</v>
      </c>
      <c r="AG41" s="133">
        <f t="shared" si="1132"/>
        <v>214359</v>
      </c>
      <c r="AH41" s="133">
        <f>ROUND(AG41*(1+取值表!$D$6)*取值表!$H$6,0)</f>
        <v>212607</v>
      </c>
      <c r="AI41" s="133">
        <f t="shared" ref="AI41:AK41" si="1133">AH41</f>
        <v>212607</v>
      </c>
      <c r="AJ41" s="133">
        <f t="shared" si="1133"/>
        <v>212607</v>
      </c>
      <c r="AK41" s="133">
        <f t="shared" si="1133"/>
        <v>212607</v>
      </c>
      <c r="AL41" s="133">
        <f>ROUND(AK41*(1+取值表!$D$6)*取值表!$H$6,0)</f>
        <v>210870</v>
      </c>
      <c r="AM41" s="133">
        <f t="shared" ref="AM41:AO41" si="1134">AL41</f>
        <v>210870</v>
      </c>
      <c r="AN41" s="133">
        <f t="shared" si="1134"/>
        <v>210870</v>
      </c>
      <c r="AO41" s="133">
        <f t="shared" si="1134"/>
        <v>210870</v>
      </c>
      <c r="AP41" s="133">
        <f>ROUND(AO41*(1+取值表!$D$6)*取值表!$H$6,0)</f>
        <v>209147</v>
      </c>
      <c r="AQ41" s="133">
        <f t="shared" ref="AQ41:AS41" si="1135">AP41</f>
        <v>209147</v>
      </c>
      <c r="AR41" s="133">
        <f t="shared" si="1135"/>
        <v>209147</v>
      </c>
      <c r="AS41" s="133">
        <f t="shared" si="1135"/>
        <v>209147</v>
      </c>
      <c r="AT41" s="133">
        <f>ROUND(AS41*(1+取值表!$D$6)*取值表!$H$6,0)</f>
        <v>207438</v>
      </c>
      <c r="AU41" s="133">
        <f t="shared" ref="AU41:AW41" si="1136">AT41</f>
        <v>207438</v>
      </c>
      <c r="AV41" s="133">
        <f t="shared" si="1136"/>
        <v>207438</v>
      </c>
      <c r="AW41" s="133">
        <f t="shared" si="1136"/>
        <v>207438</v>
      </c>
      <c r="AX41" s="133">
        <f>ROUND(AW41*(1+取值表!$D$6)*取值表!$H$6,0)</f>
        <v>205743</v>
      </c>
      <c r="AY41" s="133">
        <f t="shared" ref="AY41:BA41" si="1137">AX41</f>
        <v>205743</v>
      </c>
      <c r="AZ41" s="133">
        <f t="shared" si="1137"/>
        <v>205743</v>
      </c>
      <c r="BA41" s="133">
        <f t="shared" si="1137"/>
        <v>205743</v>
      </c>
      <c r="BB41" s="133">
        <f>ROUND(BA41*(1+取值表!$D$6)*取值表!$H$6,0)</f>
        <v>204062</v>
      </c>
      <c r="BC41" s="133">
        <f t="shared" ref="BC41:BE41" si="1138">BB41</f>
        <v>204062</v>
      </c>
      <c r="BD41" s="133">
        <f t="shared" si="1138"/>
        <v>204062</v>
      </c>
      <c r="BE41" s="133">
        <f t="shared" si="1138"/>
        <v>204062</v>
      </c>
      <c r="BF41" s="133">
        <f>ROUND(BE41*(1+取值表!$D$6)*取值表!$H$6,0)</f>
        <v>202395</v>
      </c>
      <c r="BG41" s="133">
        <f t="shared" ref="BG41:BI41" si="1139">BF41</f>
        <v>202395</v>
      </c>
      <c r="BH41" s="133">
        <f t="shared" si="1139"/>
        <v>202395</v>
      </c>
      <c r="BI41" s="133">
        <f t="shared" si="1139"/>
        <v>202395</v>
      </c>
      <c r="BJ41" s="133">
        <f>ROUND(BI41*(1+取值表!$D$6)*取值表!$H$6,0)</f>
        <v>200741</v>
      </c>
      <c r="BK41" s="133">
        <f t="shared" ref="BK41:BM41" si="1140">BJ41</f>
        <v>200741</v>
      </c>
      <c r="BL41" s="133">
        <f t="shared" si="1140"/>
        <v>200741</v>
      </c>
      <c r="BM41" s="133">
        <f t="shared" si="1140"/>
        <v>200741</v>
      </c>
      <c r="BN41" s="133">
        <f>ROUND(BM41*(1+取值表!$D$6)*取值表!$H$6,0)</f>
        <v>199101</v>
      </c>
      <c r="BO41" s="133">
        <f t="shared" ref="BO41:BQ41" si="1141">BN41</f>
        <v>199101</v>
      </c>
      <c r="BP41" s="133">
        <f t="shared" si="1141"/>
        <v>199101</v>
      </c>
      <c r="BQ41" s="133">
        <f t="shared" si="1141"/>
        <v>199101</v>
      </c>
      <c r="BR41" s="133">
        <f>ROUND(BQ41*(1+取值表!$D$6)*取值表!$H$6,0)</f>
        <v>197474</v>
      </c>
      <c r="BS41" s="133">
        <f t="shared" ref="BS41:BU41" si="1142">BR41</f>
        <v>197474</v>
      </c>
      <c r="BT41" s="133">
        <f t="shared" si="1142"/>
        <v>197474</v>
      </c>
      <c r="BU41" s="133">
        <f t="shared" si="1142"/>
        <v>197474</v>
      </c>
      <c r="BV41" s="133">
        <f>ROUND(BU41*(1+取值表!$D$6)*取值表!$H$6,0)</f>
        <v>195860</v>
      </c>
      <c r="BW41" s="133">
        <f t="shared" ref="BW41:BY41" si="1143">BV41</f>
        <v>195860</v>
      </c>
      <c r="BX41" s="133">
        <f t="shared" si="1143"/>
        <v>195860</v>
      </c>
      <c r="BY41" s="133">
        <f t="shared" si="1143"/>
        <v>195860</v>
      </c>
      <c r="BZ41" s="133">
        <f>ROUND(BY41*(1+取值表!$D$6)*取值表!$H$6,0)</f>
        <v>194260</v>
      </c>
      <c r="CA41" s="133">
        <f t="shared" ref="CA41:CC41" si="1144">BZ41</f>
        <v>194260</v>
      </c>
      <c r="CB41" s="133">
        <f t="shared" si="1144"/>
        <v>194260</v>
      </c>
      <c r="CC41" s="133">
        <f t="shared" si="1144"/>
        <v>194260</v>
      </c>
      <c r="CD41" s="133">
        <f>ROUND(CC41*(1+取值表!$D$6)*取值表!$H$6,0)</f>
        <v>192673</v>
      </c>
      <c r="CE41" s="133">
        <f t="shared" ref="CE41:CG41" si="1145">CD41</f>
        <v>192673</v>
      </c>
      <c r="CF41" s="133">
        <f t="shared" si="1145"/>
        <v>192673</v>
      </c>
      <c r="CG41" s="133">
        <f t="shared" si="1145"/>
        <v>192673</v>
      </c>
      <c r="CH41" s="133">
        <f>ROUND(CG41*(1+取值表!$D$6)*取值表!$H$6,0)</f>
        <v>191099</v>
      </c>
      <c r="CI41" s="133">
        <f t="shared" ref="CI41:CK41" si="1146">CH41</f>
        <v>191099</v>
      </c>
      <c r="CJ41" s="133">
        <f t="shared" si="1146"/>
        <v>191099</v>
      </c>
      <c r="CK41" s="133">
        <f t="shared" si="1146"/>
        <v>191099</v>
      </c>
      <c r="CL41" s="133">
        <f>ROUND(CK41*(1+取值表!$D$6)*取值表!$H$6,0)</f>
        <v>189538</v>
      </c>
      <c r="CM41" s="133">
        <f t="shared" ref="CM41:CO41" si="1147">CL41</f>
        <v>189538</v>
      </c>
      <c r="CN41" s="133">
        <f t="shared" si="1147"/>
        <v>189538</v>
      </c>
      <c r="CO41" s="133">
        <f t="shared" si="1147"/>
        <v>189538</v>
      </c>
      <c r="CP41" s="133">
        <f>ROUND(CO41*(1+取值表!$D$6)*取值表!$H$6,0)</f>
        <v>187989</v>
      </c>
      <c r="CQ41" s="133">
        <f t="shared" ref="CQ41" si="1148">CP41</f>
        <v>187989</v>
      </c>
      <c r="CR41" s="133">
        <f t="shared" ref="CR41" si="1149">CQ41</f>
        <v>187989</v>
      </c>
      <c r="CS41" s="133">
        <f t="shared" ref="CS41" si="1150">CR41</f>
        <v>187989</v>
      </c>
      <c r="CT41" s="133">
        <f>ROUND(CS41*(1+取值表!$D$6)*取值表!$H$6,0)</f>
        <v>186453</v>
      </c>
      <c r="CU41" s="133">
        <f t="shared" ref="CU41" si="1151">CT41</f>
        <v>186453</v>
      </c>
      <c r="CV41" s="133">
        <f t="shared" ref="CV41" si="1152">CU41</f>
        <v>186453</v>
      </c>
      <c r="CW41" s="133">
        <f t="shared" ref="CW41" si="1153">CV41</f>
        <v>186453</v>
      </c>
      <c r="CX41" s="133">
        <f>ROUND(CW41*(1+取值表!$D$6)*取值表!$H$6,0)</f>
        <v>184929</v>
      </c>
      <c r="CY41" s="133">
        <f t="shared" ref="CY41" si="1154">CX41</f>
        <v>184929</v>
      </c>
      <c r="CZ41" s="133">
        <f t="shared" ref="CZ41" si="1155">CY41</f>
        <v>184929</v>
      </c>
      <c r="DA41" s="133">
        <f t="shared" ref="DA41" si="1156">CZ41</f>
        <v>184929</v>
      </c>
      <c r="DB41" s="133">
        <f>ROUND(DA41*(1+取值表!$D$6)*取值表!$H$6,0)</f>
        <v>183418</v>
      </c>
      <c r="DC41" s="133">
        <f t="shared" ref="DC41" si="1157">DB41</f>
        <v>183418</v>
      </c>
      <c r="DD41" s="133">
        <f t="shared" ref="DD41" si="1158">DC41</f>
        <v>183418</v>
      </c>
      <c r="DE41" s="133">
        <f t="shared" ref="DE41" si="1159">DD41</f>
        <v>183418</v>
      </c>
      <c r="DF41" s="133">
        <f>ROUND(DE41*(1+取值表!$D$6)*取值表!$H$6,0)</f>
        <v>181919</v>
      </c>
      <c r="DG41" s="133">
        <f t="shared" ref="DG41" si="1160">DF41</f>
        <v>181919</v>
      </c>
      <c r="DH41" s="133">
        <f t="shared" ref="DH41" si="1161">DG41</f>
        <v>181919</v>
      </c>
      <c r="DI41" s="133">
        <f t="shared" ref="DI41" si="1162">DH41</f>
        <v>181919</v>
      </c>
      <c r="DJ41" s="133">
        <f>ROUND(DI41*(1+取值表!$D$6)*取值表!$H$6,0)</f>
        <v>180433</v>
      </c>
      <c r="DK41" s="133">
        <f t="shared" ref="DK41" si="1163">DJ41</f>
        <v>180433</v>
      </c>
      <c r="DL41" s="133">
        <f t="shared" ref="DL41" si="1164">DK41</f>
        <v>180433</v>
      </c>
      <c r="DM41" s="133">
        <f t="shared" ref="DM41" si="1165">DL41</f>
        <v>180433</v>
      </c>
      <c r="DN41" s="133">
        <f>ROUND(DM41*(1+取值表!$D$6)*取值表!$H$6,0)</f>
        <v>178959</v>
      </c>
      <c r="DO41" s="133">
        <f t="shared" ref="DO41" si="1166">DN41</f>
        <v>178959</v>
      </c>
      <c r="DP41" s="133">
        <f t="shared" ref="DP41" si="1167">DO41</f>
        <v>178959</v>
      </c>
      <c r="DQ41" s="133">
        <f t="shared" ref="DQ41" si="1168">DP41</f>
        <v>178959</v>
      </c>
      <c r="DR41" s="133">
        <f>ROUND(DQ41*(1+取值表!$D$6)*取值表!$H$6,0)</f>
        <v>177497</v>
      </c>
      <c r="DS41" s="133">
        <f t="shared" ref="DS41" si="1169">DR41</f>
        <v>177497</v>
      </c>
      <c r="DT41" s="133">
        <f t="shared" ref="DT41" si="1170">DS41</f>
        <v>177497</v>
      </c>
      <c r="DU41" s="133">
        <f t="shared" ref="DU41" si="1171">DT41</f>
        <v>177497</v>
      </c>
      <c r="DV41" s="133">
        <f>ROUND(DU41*(1+取值表!$D$6)*取值表!$H$6,0)</f>
        <v>176047</v>
      </c>
      <c r="DW41" s="133">
        <f t="shared" ref="DW41" si="1172">DV41</f>
        <v>176047</v>
      </c>
      <c r="DX41" s="133">
        <f t="shared" ref="DX41" si="1173">DW41</f>
        <v>176047</v>
      </c>
      <c r="DY41" s="133">
        <f t="shared" ref="DY41" si="1174">DX41</f>
        <v>176047</v>
      </c>
      <c r="DZ41" s="133">
        <f>ROUND(DY41*(1+取值表!$D$6)*取值表!$H$6,0)</f>
        <v>174609</v>
      </c>
      <c r="EA41" s="133">
        <f t="shared" ref="EA41" si="1175">DZ41</f>
        <v>174609</v>
      </c>
      <c r="EB41" s="133">
        <f t="shared" ref="EB41" si="1176">EA41</f>
        <v>174609</v>
      </c>
      <c r="EC41" s="133">
        <f t="shared" ref="EC41" si="1177">EB41</f>
        <v>174609</v>
      </c>
      <c r="ED41" s="133">
        <f>ROUND(EC41*(1+取值表!$D$6)*取值表!$H$6,0)</f>
        <v>173182</v>
      </c>
      <c r="EE41" s="133">
        <f t="shared" ref="EE41" si="1178">ED41</f>
        <v>173182</v>
      </c>
      <c r="EF41" s="133">
        <f t="shared" ref="EF41" si="1179">EE41</f>
        <v>173182</v>
      </c>
      <c r="EG41" s="133">
        <f t="shared" ref="EG41" si="1180">EF41</f>
        <v>173182</v>
      </c>
      <c r="EH41" s="133">
        <f>ROUND(EG41*(1+取值表!$D$6)*取值表!$H$6,0)</f>
        <v>171767</v>
      </c>
      <c r="EI41" s="133">
        <f t="shared" ref="EI41" si="1181">EH41</f>
        <v>171767</v>
      </c>
      <c r="EJ41" s="133">
        <f t="shared" ref="EJ41" si="1182">EI41</f>
        <v>171767</v>
      </c>
      <c r="EK41" s="133">
        <f t="shared" ref="EK41" si="1183">EJ41</f>
        <v>171767</v>
      </c>
      <c r="EL41" s="133">
        <f>ROUND(EK41*(1+取值表!$D$6)*取值表!$H$6,0)</f>
        <v>170363</v>
      </c>
      <c r="EM41" s="133">
        <f t="shared" ref="EM41" si="1184">EL41</f>
        <v>170363</v>
      </c>
      <c r="EN41" s="133">
        <f t="shared" ref="EN41" si="1185">EM41</f>
        <v>170363</v>
      </c>
      <c r="EO41" s="133">
        <f t="shared" ref="EO41" si="1186">EN41</f>
        <v>170363</v>
      </c>
      <c r="EP41" s="133">
        <f>ROUND(EO41*(1+取值表!$D$6)*取值表!$H$6,0)</f>
        <v>168971</v>
      </c>
      <c r="EQ41" s="133">
        <f t="shared" ref="EQ41" si="1187">EP41</f>
        <v>168971</v>
      </c>
      <c r="ER41" s="133">
        <f t="shared" ref="ER41" si="1188">EQ41</f>
        <v>168971</v>
      </c>
      <c r="ES41" s="133">
        <f t="shared" ref="ES41" si="1189">ER41</f>
        <v>168971</v>
      </c>
      <c r="ET41" s="133">
        <f t="shared" si="39"/>
        <v>27289928</v>
      </c>
    </row>
    <row r="42" spans="1:151">
      <c r="A42" s="402"/>
      <c r="B42" s="406"/>
      <c r="C42" s="400"/>
      <c r="D42" s="401"/>
      <c r="E42" s="398"/>
      <c r="F42" s="399"/>
      <c r="G42" s="399"/>
      <c r="H42" s="482"/>
      <c r="I42" s="129"/>
      <c r="J42" s="131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  <c r="DY42" s="133"/>
      <c r="DZ42" s="133"/>
      <c r="EA42" s="133"/>
      <c r="EB42" s="133"/>
      <c r="EC42" s="133"/>
      <c r="ED42" s="133"/>
      <c r="EE42" s="133"/>
      <c r="EF42" s="133"/>
      <c r="EG42" s="133"/>
      <c r="EH42" s="133"/>
      <c r="EI42" s="133"/>
      <c r="EJ42" s="133"/>
      <c r="EK42" s="133"/>
      <c r="EL42" s="133"/>
      <c r="EM42" s="133"/>
      <c r="EN42" s="133"/>
      <c r="EO42" s="133"/>
      <c r="EP42" s="133"/>
      <c r="EQ42" s="133"/>
      <c r="ER42" s="133"/>
      <c r="ES42" s="133"/>
      <c r="ET42" s="133">
        <f t="shared" si="39"/>
        <v>0</v>
      </c>
    </row>
    <row r="43" spans="1:151" ht="12" customHeight="1">
      <c r="A43" s="402">
        <v>21</v>
      </c>
      <c r="B43" s="406" t="s">
        <v>1096</v>
      </c>
      <c r="C43" s="400" t="s">
        <v>1097</v>
      </c>
      <c r="D43" s="401" t="s">
        <v>434</v>
      </c>
      <c r="E43" s="398" t="s">
        <v>422</v>
      </c>
      <c r="F43" s="399">
        <v>9.2799999999999994</v>
      </c>
      <c r="G43" s="399">
        <v>42</v>
      </c>
      <c r="H43" s="482">
        <f>F43*G43*365</f>
        <v>142262.39999999999</v>
      </c>
      <c r="I43" s="129">
        <v>35565.599999999999</v>
      </c>
      <c r="J43" s="132">
        <f>ROUND(G43*F43*365/4,0)</f>
        <v>35566</v>
      </c>
      <c r="K43" s="133">
        <f>J43</f>
        <v>35566</v>
      </c>
      <c r="L43" s="133">
        <f>K43</f>
        <v>35566</v>
      </c>
      <c r="M43" s="133">
        <f>L43</f>
        <v>35566</v>
      </c>
      <c r="N43" s="133">
        <f>ROUND(M43*(1+取值表!$D$6)*取值表!$H$6,0)</f>
        <v>35275</v>
      </c>
      <c r="O43" s="133">
        <f>N43</f>
        <v>35275</v>
      </c>
      <c r="P43" s="133">
        <f>O43</f>
        <v>35275</v>
      </c>
      <c r="Q43" s="133">
        <f>P43</f>
        <v>35275</v>
      </c>
      <c r="R43" s="133">
        <f>ROUND(Q43*(1+取值表!$D$6)*取值表!$H$6,0)</f>
        <v>34987</v>
      </c>
      <c r="S43" s="133">
        <f t="shared" ref="S43:U43" si="1190">R43</f>
        <v>34987</v>
      </c>
      <c r="T43" s="133">
        <f t="shared" si="1190"/>
        <v>34987</v>
      </c>
      <c r="U43" s="133">
        <f t="shared" si="1190"/>
        <v>34987</v>
      </c>
      <c r="V43" s="133">
        <f>ROUND(U43*(1+取值表!$D$6)*取值表!$H$6,0)</f>
        <v>34701</v>
      </c>
      <c r="W43" s="133">
        <f t="shared" ref="W43:Y43" si="1191">V43</f>
        <v>34701</v>
      </c>
      <c r="X43" s="133">
        <f t="shared" si="1191"/>
        <v>34701</v>
      </c>
      <c r="Y43" s="133">
        <f t="shared" si="1191"/>
        <v>34701</v>
      </c>
      <c r="Z43" s="133">
        <f>ROUND(Y43*(1+取值表!$D$6)*取值表!$H$6,0)</f>
        <v>34417</v>
      </c>
      <c r="AA43" s="133">
        <f t="shared" ref="AA43:AC43" si="1192">Z43</f>
        <v>34417</v>
      </c>
      <c r="AB43" s="133">
        <f t="shared" si="1192"/>
        <v>34417</v>
      </c>
      <c r="AC43" s="133">
        <f t="shared" si="1192"/>
        <v>34417</v>
      </c>
      <c r="AD43" s="133">
        <f>ROUND(AC43*(1+取值表!$D$6)*取值表!$H$6,0)</f>
        <v>34136</v>
      </c>
      <c r="AE43" s="133">
        <f t="shared" ref="AE43:AG43" si="1193">AD43</f>
        <v>34136</v>
      </c>
      <c r="AF43" s="133">
        <f t="shared" si="1193"/>
        <v>34136</v>
      </c>
      <c r="AG43" s="133">
        <f t="shared" si="1193"/>
        <v>34136</v>
      </c>
      <c r="AH43" s="133">
        <f>ROUND(AG43*(1+取值表!$D$6)*取值表!$H$6,0)</f>
        <v>33857</v>
      </c>
      <c r="AI43" s="133">
        <f t="shared" ref="AI43:AK43" si="1194">AH43</f>
        <v>33857</v>
      </c>
      <c r="AJ43" s="133">
        <f t="shared" si="1194"/>
        <v>33857</v>
      </c>
      <c r="AK43" s="133">
        <f t="shared" si="1194"/>
        <v>33857</v>
      </c>
      <c r="AL43" s="133">
        <f>ROUND(AK43*(1+取值表!$D$6)*取值表!$H$6,0)</f>
        <v>33580</v>
      </c>
      <c r="AM43" s="133">
        <f t="shared" ref="AM43:AO43" si="1195">AL43</f>
        <v>33580</v>
      </c>
      <c r="AN43" s="133">
        <f t="shared" si="1195"/>
        <v>33580</v>
      </c>
      <c r="AO43" s="133">
        <f t="shared" si="1195"/>
        <v>33580</v>
      </c>
      <c r="AP43" s="133">
        <f>ROUND(AO43*(1+取值表!$D$6)*取值表!$H$6,0)</f>
        <v>33306</v>
      </c>
      <c r="AQ43" s="133">
        <f t="shared" ref="AQ43:AS43" si="1196">AP43</f>
        <v>33306</v>
      </c>
      <c r="AR43" s="133">
        <f t="shared" si="1196"/>
        <v>33306</v>
      </c>
      <c r="AS43" s="133">
        <f t="shared" si="1196"/>
        <v>33306</v>
      </c>
      <c r="AT43" s="133">
        <f>ROUND(AS43*(1+取值表!$D$6)*取值表!$H$6,0)</f>
        <v>33034</v>
      </c>
      <c r="AU43" s="133">
        <f t="shared" ref="AU43:AW43" si="1197">AT43</f>
        <v>33034</v>
      </c>
      <c r="AV43" s="133">
        <f t="shared" si="1197"/>
        <v>33034</v>
      </c>
      <c r="AW43" s="133">
        <f t="shared" si="1197"/>
        <v>33034</v>
      </c>
      <c r="AX43" s="133">
        <f>ROUND(AW43*(1+取值表!$D$6)*取值表!$H$6,0)</f>
        <v>32764</v>
      </c>
      <c r="AY43" s="133">
        <f t="shared" ref="AY43:BA43" si="1198">AX43</f>
        <v>32764</v>
      </c>
      <c r="AZ43" s="133">
        <f t="shared" si="1198"/>
        <v>32764</v>
      </c>
      <c r="BA43" s="133">
        <f t="shared" si="1198"/>
        <v>32764</v>
      </c>
      <c r="BB43" s="133">
        <f>ROUND(BA43*(1+取值表!$D$6)*取值表!$H$6,0)</f>
        <v>32496</v>
      </c>
      <c r="BC43" s="133">
        <f t="shared" ref="BC43:BE43" si="1199">BB43</f>
        <v>32496</v>
      </c>
      <c r="BD43" s="133">
        <f t="shared" si="1199"/>
        <v>32496</v>
      </c>
      <c r="BE43" s="133">
        <f t="shared" si="1199"/>
        <v>32496</v>
      </c>
      <c r="BF43" s="133">
        <f>ROUND(BE43*(1+取值表!$D$6)*取值表!$H$6,0)</f>
        <v>32230</v>
      </c>
      <c r="BG43" s="133">
        <f t="shared" ref="BG43:BI43" si="1200">BF43</f>
        <v>32230</v>
      </c>
      <c r="BH43" s="133">
        <f t="shared" si="1200"/>
        <v>32230</v>
      </c>
      <c r="BI43" s="133">
        <f t="shared" si="1200"/>
        <v>32230</v>
      </c>
      <c r="BJ43" s="133">
        <f>ROUND(BI43*(1+取值表!$D$6)*取值表!$H$6,0)</f>
        <v>31967</v>
      </c>
      <c r="BK43" s="133">
        <f t="shared" ref="BK43:BM43" si="1201">BJ43</f>
        <v>31967</v>
      </c>
      <c r="BL43" s="133">
        <f t="shared" si="1201"/>
        <v>31967</v>
      </c>
      <c r="BM43" s="133">
        <f t="shared" si="1201"/>
        <v>31967</v>
      </c>
      <c r="BN43" s="133">
        <f>ROUND(BM43*(1+取值表!$D$6)*取值表!$H$6,0)</f>
        <v>31706</v>
      </c>
      <c r="BO43" s="133">
        <f t="shared" ref="BO43:BQ43" si="1202">BN43</f>
        <v>31706</v>
      </c>
      <c r="BP43" s="133">
        <f t="shared" si="1202"/>
        <v>31706</v>
      </c>
      <c r="BQ43" s="133">
        <f t="shared" si="1202"/>
        <v>31706</v>
      </c>
      <c r="BR43" s="133">
        <f>ROUND(BQ43*(1+取值表!$D$6)*取值表!$H$6,0)</f>
        <v>31447</v>
      </c>
      <c r="BS43" s="133">
        <f t="shared" ref="BS43:BU43" si="1203">BR43</f>
        <v>31447</v>
      </c>
      <c r="BT43" s="133">
        <f t="shared" si="1203"/>
        <v>31447</v>
      </c>
      <c r="BU43" s="133">
        <f t="shared" si="1203"/>
        <v>31447</v>
      </c>
      <c r="BV43" s="133">
        <f>ROUND(BU43*(1+取值表!$D$6)*取值表!$H$6,0)</f>
        <v>31190</v>
      </c>
      <c r="BW43" s="133">
        <f t="shared" ref="BW43:BY43" si="1204">BV43</f>
        <v>31190</v>
      </c>
      <c r="BX43" s="133">
        <f t="shared" si="1204"/>
        <v>31190</v>
      </c>
      <c r="BY43" s="133">
        <f t="shared" si="1204"/>
        <v>31190</v>
      </c>
      <c r="BZ43" s="133">
        <f>ROUND(BY43*(1+取值表!$D$6)*取值表!$H$6,0)</f>
        <v>30935</v>
      </c>
      <c r="CA43" s="133">
        <f t="shared" ref="CA43:CC43" si="1205">BZ43</f>
        <v>30935</v>
      </c>
      <c r="CB43" s="133">
        <f t="shared" si="1205"/>
        <v>30935</v>
      </c>
      <c r="CC43" s="133">
        <f t="shared" si="1205"/>
        <v>30935</v>
      </c>
      <c r="CD43" s="133">
        <f>ROUND(CC43*(1+取值表!$D$6)*取值表!$H$6,0)</f>
        <v>30682</v>
      </c>
      <c r="CE43" s="133">
        <f t="shared" ref="CE43:CG43" si="1206">CD43</f>
        <v>30682</v>
      </c>
      <c r="CF43" s="133">
        <f t="shared" si="1206"/>
        <v>30682</v>
      </c>
      <c r="CG43" s="133">
        <f t="shared" si="1206"/>
        <v>30682</v>
      </c>
      <c r="CH43" s="133">
        <f>ROUND(CG43*(1+取值表!$D$6)*取值表!$H$6,0)</f>
        <v>30431</v>
      </c>
      <c r="CI43" s="133">
        <f t="shared" ref="CI43:CK43" si="1207">CH43</f>
        <v>30431</v>
      </c>
      <c r="CJ43" s="133">
        <f t="shared" si="1207"/>
        <v>30431</v>
      </c>
      <c r="CK43" s="133">
        <f t="shared" si="1207"/>
        <v>30431</v>
      </c>
      <c r="CL43" s="133">
        <f>ROUND(CK43*(1+取值表!$D$6)*取值表!$H$6,0)</f>
        <v>30182</v>
      </c>
      <c r="CM43" s="133">
        <f t="shared" ref="CM43:CO43" si="1208">CL43</f>
        <v>30182</v>
      </c>
      <c r="CN43" s="133">
        <f t="shared" si="1208"/>
        <v>30182</v>
      </c>
      <c r="CO43" s="133">
        <f t="shared" si="1208"/>
        <v>30182</v>
      </c>
      <c r="CP43" s="133">
        <f>ROUND(CO43*(1+取值表!$D$6)*取值表!$H$6,0)</f>
        <v>29935</v>
      </c>
      <c r="CQ43" s="133">
        <f t="shared" ref="CQ43" si="1209">CP43</f>
        <v>29935</v>
      </c>
      <c r="CR43" s="133">
        <f t="shared" ref="CR43" si="1210">CQ43</f>
        <v>29935</v>
      </c>
      <c r="CS43" s="133">
        <f t="shared" ref="CS43" si="1211">CR43</f>
        <v>29935</v>
      </c>
      <c r="CT43" s="133">
        <f>ROUND(CS43*(1+取值表!$D$6)*取值表!$H$6,0)</f>
        <v>29690</v>
      </c>
      <c r="CU43" s="133">
        <f t="shared" ref="CU43" si="1212">CT43</f>
        <v>29690</v>
      </c>
      <c r="CV43" s="133">
        <f t="shared" ref="CV43" si="1213">CU43</f>
        <v>29690</v>
      </c>
      <c r="CW43" s="133">
        <f t="shared" ref="CW43" si="1214">CV43</f>
        <v>29690</v>
      </c>
      <c r="CX43" s="133">
        <f>ROUND(CW43*(1+取值表!$D$6)*取值表!$H$6,0)</f>
        <v>29447</v>
      </c>
      <c r="CY43" s="133">
        <f t="shared" ref="CY43" si="1215">CX43</f>
        <v>29447</v>
      </c>
      <c r="CZ43" s="133">
        <f t="shared" ref="CZ43" si="1216">CY43</f>
        <v>29447</v>
      </c>
      <c r="DA43" s="133">
        <f t="shared" ref="DA43" si="1217">CZ43</f>
        <v>29447</v>
      </c>
      <c r="DB43" s="133">
        <f>ROUND(DA43*(1+取值表!$D$6)*取值表!$H$6,0)</f>
        <v>29206</v>
      </c>
      <c r="DC43" s="133">
        <f t="shared" ref="DC43" si="1218">DB43</f>
        <v>29206</v>
      </c>
      <c r="DD43" s="133">
        <f t="shared" ref="DD43" si="1219">DC43</f>
        <v>29206</v>
      </c>
      <c r="DE43" s="133">
        <f t="shared" ref="DE43" si="1220">DD43</f>
        <v>29206</v>
      </c>
      <c r="DF43" s="133">
        <f>ROUND(DE43*(1+取值表!$D$6)*取值表!$H$6,0)</f>
        <v>28967</v>
      </c>
      <c r="DG43" s="133">
        <f t="shared" ref="DG43" si="1221">DF43</f>
        <v>28967</v>
      </c>
      <c r="DH43" s="133">
        <f t="shared" ref="DH43" si="1222">DG43</f>
        <v>28967</v>
      </c>
      <c r="DI43" s="133">
        <f t="shared" ref="DI43" si="1223">DH43</f>
        <v>28967</v>
      </c>
      <c r="DJ43" s="133">
        <f>ROUND(DI43*(1+取值表!$D$6)*取值表!$H$6,0)</f>
        <v>28730</v>
      </c>
      <c r="DK43" s="133">
        <f t="shared" ref="DK43" si="1224">DJ43</f>
        <v>28730</v>
      </c>
      <c r="DL43" s="133">
        <f t="shared" ref="DL43" si="1225">DK43</f>
        <v>28730</v>
      </c>
      <c r="DM43" s="133">
        <f t="shared" ref="DM43" si="1226">DL43</f>
        <v>28730</v>
      </c>
      <c r="DN43" s="133">
        <f>ROUND(DM43*(1+取值表!$D$6)*取值表!$H$6,0)</f>
        <v>28495</v>
      </c>
      <c r="DO43" s="133">
        <f t="shared" ref="DO43" si="1227">DN43</f>
        <v>28495</v>
      </c>
      <c r="DP43" s="133">
        <f t="shared" ref="DP43" si="1228">DO43</f>
        <v>28495</v>
      </c>
      <c r="DQ43" s="133">
        <f t="shared" ref="DQ43" si="1229">DP43</f>
        <v>28495</v>
      </c>
      <c r="DR43" s="133">
        <f>ROUND(DQ43*(1+取值表!$D$6)*取值表!$H$6,0)</f>
        <v>28262</v>
      </c>
      <c r="DS43" s="133">
        <f t="shared" ref="DS43" si="1230">DR43</f>
        <v>28262</v>
      </c>
      <c r="DT43" s="133">
        <f t="shared" ref="DT43" si="1231">DS43</f>
        <v>28262</v>
      </c>
      <c r="DU43" s="133">
        <f t="shared" ref="DU43" si="1232">DT43</f>
        <v>28262</v>
      </c>
      <c r="DV43" s="133">
        <f>ROUND(DU43*(1+取值表!$D$6)*取值表!$H$6,0)</f>
        <v>28031</v>
      </c>
      <c r="DW43" s="133">
        <f t="shared" ref="DW43" si="1233">DV43</f>
        <v>28031</v>
      </c>
      <c r="DX43" s="133">
        <f t="shared" ref="DX43" si="1234">DW43</f>
        <v>28031</v>
      </c>
      <c r="DY43" s="133">
        <f t="shared" ref="DY43" si="1235">DX43</f>
        <v>28031</v>
      </c>
      <c r="DZ43" s="133">
        <f>ROUND(DY43*(1+取值表!$D$6)*取值表!$H$6,0)</f>
        <v>27802</v>
      </c>
      <c r="EA43" s="133">
        <f t="shared" ref="EA43" si="1236">DZ43</f>
        <v>27802</v>
      </c>
      <c r="EB43" s="133">
        <f t="shared" ref="EB43" si="1237">EA43</f>
        <v>27802</v>
      </c>
      <c r="EC43" s="133">
        <f t="shared" ref="EC43" si="1238">EB43</f>
        <v>27802</v>
      </c>
      <c r="ED43" s="133">
        <f>ROUND(EC43*(1+取值表!$D$6)*取值表!$H$6,0)</f>
        <v>27575</v>
      </c>
      <c r="EE43" s="133">
        <f t="shared" ref="EE43" si="1239">ED43</f>
        <v>27575</v>
      </c>
      <c r="EF43" s="133">
        <f t="shared" ref="EF43" si="1240">EE43</f>
        <v>27575</v>
      </c>
      <c r="EG43" s="133">
        <f t="shared" ref="EG43" si="1241">EF43</f>
        <v>27575</v>
      </c>
      <c r="EH43" s="133">
        <f>ROUND(EG43*(1+取值表!$D$6)*取值表!$H$6,0)</f>
        <v>27350</v>
      </c>
      <c r="EI43" s="133">
        <f t="shared" ref="EI43" si="1242">EH43</f>
        <v>27350</v>
      </c>
      <c r="EJ43" s="133">
        <f t="shared" ref="EJ43" si="1243">EI43</f>
        <v>27350</v>
      </c>
      <c r="EK43" s="133">
        <f t="shared" ref="EK43" si="1244">EJ43</f>
        <v>27350</v>
      </c>
      <c r="EL43" s="133">
        <f>ROUND(EK43*(1+取值表!$D$6)*取值表!$H$6,0)</f>
        <v>27127</v>
      </c>
      <c r="EM43" s="133">
        <f t="shared" ref="EM43" si="1245">EL43</f>
        <v>27127</v>
      </c>
      <c r="EN43" s="133">
        <f t="shared" ref="EN43" si="1246">EM43</f>
        <v>27127</v>
      </c>
      <c r="EO43" s="133">
        <f t="shared" ref="EO43" si="1247">EN43</f>
        <v>27127</v>
      </c>
      <c r="EP43" s="133">
        <f>ROUND(EO43*(1+取值表!$D$6)*取值表!$H$6,0)</f>
        <v>26905</v>
      </c>
      <c r="EQ43" s="133">
        <f t="shared" ref="EQ43" si="1248">EP43</f>
        <v>26905</v>
      </c>
      <c r="ER43" s="133">
        <f t="shared" ref="ER43" si="1249">EQ43</f>
        <v>26905</v>
      </c>
      <c r="ES43" s="133">
        <f t="shared" ref="ES43" si="1250">ER43</f>
        <v>26905</v>
      </c>
      <c r="ET43" s="133">
        <f t="shared" si="39"/>
        <v>4345644</v>
      </c>
    </row>
    <row r="44" spans="1:151">
      <c r="A44" s="402"/>
      <c r="B44" s="406"/>
      <c r="C44" s="400"/>
      <c r="D44" s="401"/>
      <c r="E44" s="398"/>
      <c r="F44" s="399"/>
      <c r="G44" s="399"/>
      <c r="H44" s="482"/>
      <c r="I44" s="129"/>
      <c r="J44" s="131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>
        <f t="shared" si="39"/>
        <v>0</v>
      </c>
    </row>
    <row r="45" spans="1:151" ht="12" customHeight="1">
      <c r="A45" s="402">
        <v>22</v>
      </c>
      <c r="B45" s="406" t="s">
        <v>1098</v>
      </c>
      <c r="C45" s="400" t="s">
        <v>1099</v>
      </c>
      <c r="D45" s="401" t="s">
        <v>435</v>
      </c>
      <c r="E45" s="398" t="s">
        <v>422</v>
      </c>
      <c r="F45" s="399">
        <v>25.2</v>
      </c>
      <c r="G45" s="399">
        <v>38</v>
      </c>
      <c r="H45" s="482">
        <f>F45*G45*365</f>
        <v>349524</v>
      </c>
      <c r="I45" s="129">
        <v>143346.45000000001</v>
      </c>
      <c r="J45" s="180">
        <f>ROUND(G45*F45*365/4,0)</f>
        <v>87381</v>
      </c>
      <c r="K45" s="181">
        <f t="shared" ref="K45:Q45" si="1251">J45</f>
        <v>87381</v>
      </c>
      <c r="L45" s="181">
        <f t="shared" si="1251"/>
        <v>87381</v>
      </c>
      <c r="M45" s="181">
        <f t="shared" si="1251"/>
        <v>87381</v>
      </c>
      <c r="N45" s="181">
        <f t="shared" si="1251"/>
        <v>87381</v>
      </c>
      <c r="O45" s="182">
        <f t="shared" si="1251"/>
        <v>87381</v>
      </c>
      <c r="P45" s="181">
        <f t="shared" si="1251"/>
        <v>87381</v>
      </c>
      <c r="Q45" s="133">
        <f t="shared" si="1251"/>
        <v>87381</v>
      </c>
      <c r="R45" s="133">
        <f>ROUND(Q45*(1+取值表!$D$6)*取值表!$H$6,0)</f>
        <v>86667</v>
      </c>
      <c r="S45" s="133">
        <f>R45</f>
        <v>86667</v>
      </c>
      <c r="T45" s="133">
        <f>S45</f>
        <v>86667</v>
      </c>
      <c r="U45" s="133">
        <f>T45</f>
        <v>86667</v>
      </c>
      <c r="V45" s="133">
        <f>ROUND(U45*(1+取值表!$D$6)*取值表!$H$6,0)</f>
        <v>85959</v>
      </c>
      <c r="W45" s="133">
        <f t="shared" ref="W45:Y45" si="1252">V45</f>
        <v>85959</v>
      </c>
      <c r="X45" s="133">
        <f t="shared" si="1252"/>
        <v>85959</v>
      </c>
      <c r="Y45" s="133">
        <f t="shared" si="1252"/>
        <v>85959</v>
      </c>
      <c r="Z45" s="133">
        <f>ROUND(Y45*(1+取值表!$D$6)*取值表!$H$6,0)</f>
        <v>85257</v>
      </c>
      <c r="AA45" s="133">
        <f t="shared" ref="AA45:AC45" si="1253">Z45</f>
        <v>85257</v>
      </c>
      <c r="AB45" s="133">
        <f t="shared" si="1253"/>
        <v>85257</v>
      </c>
      <c r="AC45" s="133">
        <f t="shared" si="1253"/>
        <v>85257</v>
      </c>
      <c r="AD45" s="133">
        <f>ROUND(AC45*(1+取值表!$D$6)*取值表!$H$6,0)</f>
        <v>84560</v>
      </c>
      <c r="AE45" s="133">
        <f t="shared" ref="AE45:AG45" si="1254">AD45</f>
        <v>84560</v>
      </c>
      <c r="AF45" s="133">
        <f t="shared" si="1254"/>
        <v>84560</v>
      </c>
      <c r="AG45" s="133">
        <f t="shared" si="1254"/>
        <v>84560</v>
      </c>
      <c r="AH45" s="133">
        <f>ROUND(AG45*(1+取值表!$D$6)*取值表!$H$6,0)</f>
        <v>83869</v>
      </c>
      <c r="AI45" s="133">
        <f t="shared" ref="AI45:AK45" si="1255">AH45</f>
        <v>83869</v>
      </c>
      <c r="AJ45" s="133">
        <f t="shared" si="1255"/>
        <v>83869</v>
      </c>
      <c r="AK45" s="133">
        <f t="shared" si="1255"/>
        <v>83869</v>
      </c>
      <c r="AL45" s="133">
        <f>ROUND(AK45*(1+取值表!$D$6)*取值表!$H$6,0)</f>
        <v>83184</v>
      </c>
      <c r="AM45" s="133">
        <f t="shared" ref="AM45:AO45" si="1256">AL45</f>
        <v>83184</v>
      </c>
      <c r="AN45" s="133">
        <f t="shared" si="1256"/>
        <v>83184</v>
      </c>
      <c r="AO45" s="133">
        <f t="shared" si="1256"/>
        <v>83184</v>
      </c>
      <c r="AP45" s="133">
        <f>ROUND(AO45*(1+取值表!$D$6)*取值表!$H$6,0)</f>
        <v>82504</v>
      </c>
      <c r="AQ45" s="133">
        <f t="shared" ref="AQ45:AS45" si="1257">AP45</f>
        <v>82504</v>
      </c>
      <c r="AR45" s="133">
        <f t="shared" si="1257"/>
        <v>82504</v>
      </c>
      <c r="AS45" s="133">
        <f t="shared" si="1257"/>
        <v>82504</v>
      </c>
      <c r="AT45" s="133">
        <f>ROUND(AS45*(1+取值表!$D$6)*取值表!$H$6,0)</f>
        <v>81830</v>
      </c>
      <c r="AU45" s="133">
        <f t="shared" ref="AU45:AW45" si="1258">AT45</f>
        <v>81830</v>
      </c>
      <c r="AV45" s="133">
        <f t="shared" si="1258"/>
        <v>81830</v>
      </c>
      <c r="AW45" s="133">
        <f t="shared" si="1258"/>
        <v>81830</v>
      </c>
      <c r="AX45" s="133">
        <f>ROUND(AW45*(1+取值表!$D$6)*取值表!$H$6,0)</f>
        <v>81161</v>
      </c>
      <c r="AY45" s="133">
        <f t="shared" ref="AY45:BA45" si="1259">AX45</f>
        <v>81161</v>
      </c>
      <c r="AZ45" s="133">
        <f t="shared" si="1259"/>
        <v>81161</v>
      </c>
      <c r="BA45" s="133">
        <f t="shared" si="1259"/>
        <v>81161</v>
      </c>
      <c r="BB45" s="133">
        <f>ROUND(BA45*(1+取值表!$D$6)*取值表!$H$6,0)</f>
        <v>80498</v>
      </c>
      <c r="BC45" s="133">
        <f t="shared" ref="BC45:BE45" si="1260">BB45</f>
        <v>80498</v>
      </c>
      <c r="BD45" s="133">
        <f t="shared" si="1260"/>
        <v>80498</v>
      </c>
      <c r="BE45" s="133">
        <f t="shared" si="1260"/>
        <v>80498</v>
      </c>
      <c r="BF45" s="133">
        <f>ROUND(BE45*(1+取值表!$D$6)*取值表!$H$6,0)</f>
        <v>79840</v>
      </c>
      <c r="BG45" s="133">
        <f t="shared" ref="BG45:BI45" si="1261">BF45</f>
        <v>79840</v>
      </c>
      <c r="BH45" s="133">
        <f t="shared" si="1261"/>
        <v>79840</v>
      </c>
      <c r="BI45" s="133">
        <f t="shared" si="1261"/>
        <v>79840</v>
      </c>
      <c r="BJ45" s="133">
        <f>ROUND(BI45*(1+取值表!$D$6)*取值表!$H$6,0)</f>
        <v>79188</v>
      </c>
      <c r="BK45" s="133">
        <f t="shared" ref="BK45:BM45" si="1262">BJ45</f>
        <v>79188</v>
      </c>
      <c r="BL45" s="133">
        <f t="shared" si="1262"/>
        <v>79188</v>
      </c>
      <c r="BM45" s="133">
        <f t="shared" si="1262"/>
        <v>79188</v>
      </c>
      <c r="BN45" s="133">
        <f>ROUND(BM45*(1+取值表!$D$6)*取值表!$H$6,0)</f>
        <v>78541</v>
      </c>
      <c r="BO45" s="133">
        <f t="shared" ref="BO45:BQ45" si="1263">BN45</f>
        <v>78541</v>
      </c>
      <c r="BP45" s="133">
        <f t="shared" si="1263"/>
        <v>78541</v>
      </c>
      <c r="BQ45" s="133">
        <f t="shared" si="1263"/>
        <v>78541</v>
      </c>
      <c r="BR45" s="133">
        <f>ROUND(BQ45*(1+取值表!$D$6)*取值表!$H$6,0)</f>
        <v>77899</v>
      </c>
      <c r="BS45" s="133">
        <f t="shared" ref="BS45:BU45" si="1264">BR45</f>
        <v>77899</v>
      </c>
      <c r="BT45" s="133">
        <f t="shared" si="1264"/>
        <v>77899</v>
      </c>
      <c r="BU45" s="133">
        <f t="shared" si="1264"/>
        <v>77899</v>
      </c>
      <c r="BV45" s="133">
        <f>ROUND(BU45*(1+取值表!$D$6)*取值表!$H$6,0)</f>
        <v>77262</v>
      </c>
      <c r="BW45" s="133">
        <f t="shared" ref="BW45:BY45" si="1265">BV45</f>
        <v>77262</v>
      </c>
      <c r="BX45" s="133">
        <f t="shared" si="1265"/>
        <v>77262</v>
      </c>
      <c r="BY45" s="133">
        <f t="shared" si="1265"/>
        <v>77262</v>
      </c>
      <c r="BZ45" s="133">
        <f>ROUND(BY45*(1+取值表!$D$6)*取值表!$H$6,0)</f>
        <v>76631</v>
      </c>
      <c r="CA45" s="133">
        <f t="shared" ref="CA45:CC45" si="1266">BZ45</f>
        <v>76631</v>
      </c>
      <c r="CB45" s="133">
        <f t="shared" si="1266"/>
        <v>76631</v>
      </c>
      <c r="CC45" s="133">
        <f t="shared" si="1266"/>
        <v>76631</v>
      </c>
      <c r="CD45" s="133">
        <f>ROUND(CC45*(1+取值表!$D$6)*取值表!$H$6,0)</f>
        <v>76005</v>
      </c>
      <c r="CE45" s="133">
        <f t="shared" ref="CE45:CG45" si="1267">CD45</f>
        <v>76005</v>
      </c>
      <c r="CF45" s="133">
        <f t="shared" si="1267"/>
        <v>76005</v>
      </c>
      <c r="CG45" s="133">
        <f t="shared" si="1267"/>
        <v>76005</v>
      </c>
      <c r="CH45" s="133">
        <f>ROUND(CG45*(1+取值表!$D$6)*取值表!$H$6,0)</f>
        <v>75384</v>
      </c>
      <c r="CI45" s="133">
        <f t="shared" ref="CI45:CK45" si="1268">CH45</f>
        <v>75384</v>
      </c>
      <c r="CJ45" s="133">
        <f t="shared" si="1268"/>
        <v>75384</v>
      </c>
      <c r="CK45" s="133">
        <f t="shared" si="1268"/>
        <v>75384</v>
      </c>
      <c r="CL45" s="133">
        <f>ROUND(CK45*(1+取值表!$D$6)*取值表!$H$6,0)</f>
        <v>74768</v>
      </c>
      <c r="CM45" s="133">
        <f t="shared" ref="CM45:CO45" si="1269">CL45</f>
        <v>74768</v>
      </c>
      <c r="CN45" s="133">
        <f t="shared" si="1269"/>
        <v>74768</v>
      </c>
      <c r="CO45" s="133">
        <f t="shared" si="1269"/>
        <v>74768</v>
      </c>
      <c r="CP45" s="133">
        <f>ROUND(CO45*(1+取值表!$D$6)*取值表!$H$6,0)</f>
        <v>74157</v>
      </c>
      <c r="CQ45" s="133">
        <f t="shared" ref="CQ45" si="1270">CP45</f>
        <v>74157</v>
      </c>
      <c r="CR45" s="133">
        <f t="shared" ref="CR45" si="1271">CQ45</f>
        <v>74157</v>
      </c>
      <c r="CS45" s="133">
        <f t="shared" ref="CS45" si="1272">CR45</f>
        <v>74157</v>
      </c>
      <c r="CT45" s="133">
        <f>ROUND(CS45*(1+取值表!$D$6)*取值表!$H$6,0)</f>
        <v>73551</v>
      </c>
      <c r="CU45" s="133">
        <f t="shared" ref="CU45" si="1273">CT45</f>
        <v>73551</v>
      </c>
      <c r="CV45" s="133">
        <f t="shared" ref="CV45" si="1274">CU45</f>
        <v>73551</v>
      </c>
      <c r="CW45" s="133">
        <f t="shared" ref="CW45" si="1275">CV45</f>
        <v>73551</v>
      </c>
      <c r="CX45" s="133">
        <f>ROUND(CW45*(1+取值表!$D$6)*取值表!$H$6,0)</f>
        <v>72950</v>
      </c>
      <c r="CY45" s="133">
        <f t="shared" ref="CY45" si="1276">CX45</f>
        <v>72950</v>
      </c>
      <c r="CZ45" s="133">
        <f t="shared" ref="CZ45" si="1277">CY45</f>
        <v>72950</v>
      </c>
      <c r="DA45" s="133">
        <f t="shared" ref="DA45" si="1278">CZ45</f>
        <v>72950</v>
      </c>
      <c r="DB45" s="133">
        <f>ROUND(DA45*(1+取值表!$D$6)*取值表!$H$6,0)</f>
        <v>72354</v>
      </c>
      <c r="DC45" s="133">
        <f t="shared" ref="DC45" si="1279">DB45</f>
        <v>72354</v>
      </c>
      <c r="DD45" s="133">
        <f t="shared" ref="DD45" si="1280">DC45</f>
        <v>72354</v>
      </c>
      <c r="DE45" s="133">
        <f t="shared" ref="DE45" si="1281">DD45</f>
        <v>72354</v>
      </c>
      <c r="DF45" s="133">
        <f>ROUND(DE45*(1+取值表!$D$6)*取值表!$H$6,0)</f>
        <v>71763</v>
      </c>
      <c r="DG45" s="133">
        <f t="shared" ref="DG45" si="1282">DF45</f>
        <v>71763</v>
      </c>
      <c r="DH45" s="133">
        <f t="shared" ref="DH45" si="1283">DG45</f>
        <v>71763</v>
      </c>
      <c r="DI45" s="133">
        <f t="shared" ref="DI45" si="1284">DH45</f>
        <v>71763</v>
      </c>
      <c r="DJ45" s="133">
        <f>ROUND(DI45*(1+取值表!$D$6)*取值表!$H$6,0)</f>
        <v>71177</v>
      </c>
      <c r="DK45" s="133">
        <f t="shared" ref="DK45" si="1285">DJ45</f>
        <v>71177</v>
      </c>
      <c r="DL45" s="133">
        <f t="shared" ref="DL45" si="1286">DK45</f>
        <v>71177</v>
      </c>
      <c r="DM45" s="133">
        <f t="shared" ref="DM45" si="1287">DL45</f>
        <v>71177</v>
      </c>
      <c r="DN45" s="133">
        <f>ROUND(DM45*(1+取值表!$D$6)*取值表!$H$6,0)</f>
        <v>70595</v>
      </c>
      <c r="DO45" s="133">
        <f t="shared" ref="DO45" si="1288">DN45</f>
        <v>70595</v>
      </c>
      <c r="DP45" s="133">
        <f t="shared" ref="DP45" si="1289">DO45</f>
        <v>70595</v>
      </c>
      <c r="DQ45" s="133">
        <f t="shared" ref="DQ45" si="1290">DP45</f>
        <v>70595</v>
      </c>
      <c r="DR45" s="133">
        <f>ROUND(DQ45*(1+取值表!$D$6)*取值表!$H$6,0)</f>
        <v>70018</v>
      </c>
      <c r="DS45" s="133">
        <f t="shared" ref="DS45" si="1291">DR45</f>
        <v>70018</v>
      </c>
      <c r="DT45" s="133">
        <f t="shared" ref="DT45" si="1292">DS45</f>
        <v>70018</v>
      </c>
      <c r="DU45" s="133">
        <f t="shared" ref="DU45" si="1293">DT45</f>
        <v>70018</v>
      </c>
      <c r="DV45" s="133">
        <f>ROUND(DU45*(1+取值表!$D$6)*取值表!$H$6,0)</f>
        <v>69446</v>
      </c>
      <c r="DW45" s="133">
        <f t="shared" ref="DW45" si="1294">DV45</f>
        <v>69446</v>
      </c>
      <c r="DX45" s="133">
        <f t="shared" ref="DX45" si="1295">DW45</f>
        <v>69446</v>
      </c>
      <c r="DY45" s="133">
        <f t="shared" ref="DY45" si="1296">DX45</f>
        <v>69446</v>
      </c>
      <c r="DZ45" s="133">
        <f>ROUND(DY45*(1+取值表!$D$6)*取值表!$H$6,0)</f>
        <v>68879</v>
      </c>
      <c r="EA45" s="133">
        <f t="shared" ref="EA45" si="1297">DZ45</f>
        <v>68879</v>
      </c>
      <c r="EB45" s="133">
        <f t="shared" ref="EB45" si="1298">EA45</f>
        <v>68879</v>
      </c>
      <c r="EC45" s="133">
        <f t="shared" ref="EC45" si="1299">EB45</f>
        <v>68879</v>
      </c>
      <c r="ED45" s="133">
        <f>ROUND(EC45*(1+取值表!$D$6)*取值表!$H$6,0)</f>
        <v>68316</v>
      </c>
      <c r="EE45" s="133">
        <f t="shared" ref="EE45" si="1300">ED45</f>
        <v>68316</v>
      </c>
      <c r="EF45" s="133">
        <f t="shared" ref="EF45" si="1301">EE45</f>
        <v>68316</v>
      </c>
      <c r="EG45" s="133">
        <f t="shared" ref="EG45" si="1302">EF45</f>
        <v>68316</v>
      </c>
      <c r="EH45" s="133">
        <f>ROUND(EG45*(1+取值表!$D$6)*取值表!$H$6,0)</f>
        <v>67758</v>
      </c>
      <c r="EI45" s="133">
        <f t="shared" ref="EI45" si="1303">EH45</f>
        <v>67758</v>
      </c>
      <c r="EJ45" s="133">
        <f t="shared" ref="EJ45" si="1304">EI45</f>
        <v>67758</v>
      </c>
      <c r="EK45" s="133">
        <f t="shared" ref="EK45" si="1305">EJ45</f>
        <v>67758</v>
      </c>
      <c r="EL45" s="133">
        <f>ROUND(EK45*(1+取值表!$D$6)*取值表!$H$6,0)</f>
        <v>67204</v>
      </c>
      <c r="EM45" s="133">
        <f t="shared" ref="EM45" si="1306">EL45</f>
        <v>67204</v>
      </c>
      <c r="EN45" s="133">
        <f t="shared" ref="EN45" si="1307">EM45</f>
        <v>67204</v>
      </c>
      <c r="EO45" s="133">
        <f t="shared" ref="EO45" si="1308">EN45</f>
        <v>67204</v>
      </c>
      <c r="EP45" s="133">
        <f>ROUND(EO45*(1+取值表!$D$6)*取值表!$H$6,0)</f>
        <v>66655</v>
      </c>
      <c r="EQ45" s="133">
        <f t="shared" ref="EQ45" si="1309">EP45</f>
        <v>66655</v>
      </c>
      <c r="ER45" s="133">
        <f t="shared" ref="ER45" si="1310">EQ45</f>
        <v>66655</v>
      </c>
      <c r="ES45" s="133">
        <f t="shared" ref="ES45" si="1311">ER45</f>
        <v>66655</v>
      </c>
      <c r="ET45" s="133">
        <f t="shared" si="39"/>
        <v>10762368</v>
      </c>
    </row>
    <row r="46" spans="1:151">
      <c r="A46" s="402"/>
      <c r="B46" s="406"/>
      <c r="C46" s="400"/>
      <c r="D46" s="401"/>
      <c r="E46" s="398"/>
      <c r="F46" s="399"/>
      <c r="G46" s="399"/>
      <c r="H46" s="482"/>
      <c r="I46" s="129"/>
      <c r="J46" s="131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>
        <f t="shared" si="39"/>
        <v>0</v>
      </c>
    </row>
    <row r="47" spans="1:151">
      <c r="A47" s="402">
        <v>23</v>
      </c>
      <c r="B47" s="406" t="s">
        <v>1100</v>
      </c>
      <c r="C47" s="400" t="s">
        <v>1101</v>
      </c>
      <c r="D47" s="401" t="s">
        <v>132</v>
      </c>
      <c r="E47" s="484" t="s">
        <v>422</v>
      </c>
      <c r="F47" s="399">
        <v>347.36</v>
      </c>
      <c r="G47" s="399">
        <v>13</v>
      </c>
      <c r="H47" s="482">
        <f>F47*G47*365</f>
        <v>1648223.2000000002</v>
      </c>
      <c r="I47" s="129">
        <v>412055.8</v>
      </c>
      <c r="J47" s="131">
        <f>ROUND(G47*F47*365/4,0)</f>
        <v>412056</v>
      </c>
      <c r="K47" s="132">
        <f>J47</f>
        <v>412056</v>
      </c>
      <c r="L47" s="133">
        <f>K47</f>
        <v>412056</v>
      </c>
      <c r="M47" s="133">
        <f>L47</f>
        <v>412056</v>
      </c>
      <c r="N47" s="133">
        <f>ROUND(M47*(1+取值表!$D$6)*取值表!$H$6,0)</f>
        <v>408689</v>
      </c>
      <c r="O47" s="133">
        <f>N47</f>
        <v>408689</v>
      </c>
      <c r="P47" s="133">
        <f>O47</f>
        <v>408689</v>
      </c>
      <c r="Q47" s="133">
        <f>P47</f>
        <v>408689</v>
      </c>
      <c r="R47" s="133">
        <f>ROUND(Q47*(1+取值表!$D$6)*取值表!$H$6,0)</f>
        <v>405350</v>
      </c>
      <c r="S47" s="133">
        <f t="shared" ref="S47:U47" si="1312">R47</f>
        <v>405350</v>
      </c>
      <c r="T47" s="133">
        <f t="shared" si="1312"/>
        <v>405350</v>
      </c>
      <c r="U47" s="133">
        <f t="shared" si="1312"/>
        <v>405350</v>
      </c>
      <c r="V47" s="133">
        <f>ROUND(U47*(1+取值表!$D$6)*取值表!$H$6,0)</f>
        <v>402038</v>
      </c>
      <c r="W47" s="133">
        <f t="shared" ref="W47:Y47" si="1313">V47</f>
        <v>402038</v>
      </c>
      <c r="X47" s="133">
        <f t="shared" si="1313"/>
        <v>402038</v>
      </c>
      <c r="Y47" s="133">
        <f t="shared" si="1313"/>
        <v>402038</v>
      </c>
      <c r="Z47" s="133">
        <f>ROUND(Y47*(1+取值表!$D$6)*取值表!$H$6,0)</f>
        <v>398753</v>
      </c>
      <c r="AA47" s="133">
        <f t="shared" ref="AA47:AC47" si="1314">Z47</f>
        <v>398753</v>
      </c>
      <c r="AB47" s="133">
        <f t="shared" si="1314"/>
        <v>398753</v>
      </c>
      <c r="AC47" s="133">
        <f t="shared" si="1314"/>
        <v>398753</v>
      </c>
      <c r="AD47" s="133">
        <f>ROUND(AC47*(1+取值表!$D$6)*取值表!$H$6,0)</f>
        <v>395495</v>
      </c>
      <c r="AE47" s="133">
        <f t="shared" ref="AE47:AG47" si="1315">AD47</f>
        <v>395495</v>
      </c>
      <c r="AF47" s="133">
        <f t="shared" si="1315"/>
        <v>395495</v>
      </c>
      <c r="AG47" s="133">
        <f t="shared" si="1315"/>
        <v>395495</v>
      </c>
      <c r="AH47" s="133">
        <f>ROUND(AG47*(1+取值表!$D$6)*取值表!$H$6,0)</f>
        <v>392263</v>
      </c>
      <c r="AI47" s="133">
        <f t="shared" ref="AI47:AK47" si="1316">AH47</f>
        <v>392263</v>
      </c>
      <c r="AJ47" s="133">
        <f t="shared" si="1316"/>
        <v>392263</v>
      </c>
      <c r="AK47" s="133">
        <f t="shared" si="1316"/>
        <v>392263</v>
      </c>
      <c r="AL47" s="133">
        <f>ROUND(AK47*(1+取值表!$D$6)*取值表!$H$6,0)</f>
        <v>389058</v>
      </c>
      <c r="AM47" s="133">
        <f t="shared" ref="AM47:AO47" si="1317">AL47</f>
        <v>389058</v>
      </c>
      <c r="AN47" s="133">
        <f t="shared" si="1317"/>
        <v>389058</v>
      </c>
      <c r="AO47" s="133">
        <f t="shared" si="1317"/>
        <v>389058</v>
      </c>
      <c r="AP47" s="133">
        <f>ROUND(AO47*(1+取值表!$D$6)*取值表!$H$6,0)</f>
        <v>385879</v>
      </c>
      <c r="AQ47" s="133">
        <f t="shared" ref="AQ47:AS47" si="1318">AP47</f>
        <v>385879</v>
      </c>
      <c r="AR47" s="133">
        <f t="shared" si="1318"/>
        <v>385879</v>
      </c>
      <c r="AS47" s="133">
        <f t="shared" si="1318"/>
        <v>385879</v>
      </c>
      <c r="AT47" s="133">
        <f>ROUND(AS47*(1+取值表!$D$6)*取值表!$H$6,0)</f>
        <v>382726</v>
      </c>
      <c r="AU47" s="133">
        <f t="shared" ref="AU47:AW47" si="1319">AT47</f>
        <v>382726</v>
      </c>
      <c r="AV47" s="133">
        <f t="shared" si="1319"/>
        <v>382726</v>
      </c>
      <c r="AW47" s="133">
        <f t="shared" si="1319"/>
        <v>382726</v>
      </c>
      <c r="AX47" s="133">
        <f>ROUND(AW47*(1+取值表!$D$6)*取值表!$H$6,0)</f>
        <v>379599</v>
      </c>
      <c r="AY47" s="133">
        <f t="shared" ref="AY47:BA47" si="1320">AX47</f>
        <v>379599</v>
      </c>
      <c r="AZ47" s="133">
        <f t="shared" si="1320"/>
        <v>379599</v>
      </c>
      <c r="BA47" s="133">
        <f t="shared" si="1320"/>
        <v>379599</v>
      </c>
      <c r="BB47" s="133">
        <f>ROUND(BA47*(1+取值表!$D$6)*取值表!$H$6,0)</f>
        <v>376497</v>
      </c>
      <c r="BC47" s="133">
        <f t="shared" ref="BC47:BE47" si="1321">BB47</f>
        <v>376497</v>
      </c>
      <c r="BD47" s="133">
        <f t="shared" si="1321"/>
        <v>376497</v>
      </c>
      <c r="BE47" s="133">
        <f t="shared" si="1321"/>
        <v>376497</v>
      </c>
      <c r="BF47" s="133">
        <f>ROUND(BE47*(1+取值表!$D$6)*取值表!$H$6,0)</f>
        <v>373421</v>
      </c>
      <c r="BG47" s="133">
        <f t="shared" ref="BG47:BI47" si="1322">BF47</f>
        <v>373421</v>
      </c>
      <c r="BH47" s="133">
        <f t="shared" si="1322"/>
        <v>373421</v>
      </c>
      <c r="BI47" s="133">
        <f t="shared" si="1322"/>
        <v>373421</v>
      </c>
      <c r="BJ47" s="133">
        <f>ROUND(BI47*(1+取值表!$D$6)*取值表!$H$6,0)</f>
        <v>370370</v>
      </c>
      <c r="BK47" s="133">
        <f t="shared" ref="BK47:BM47" si="1323">BJ47</f>
        <v>370370</v>
      </c>
      <c r="BL47" s="133">
        <f t="shared" si="1323"/>
        <v>370370</v>
      </c>
      <c r="BM47" s="133">
        <f t="shared" si="1323"/>
        <v>370370</v>
      </c>
      <c r="BN47" s="133">
        <f>ROUND(BM47*(1+取值表!$D$6)*取值表!$H$6,0)</f>
        <v>367344</v>
      </c>
      <c r="BO47" s="133">
        <f t="shared" ref="BO47:BQ47" si="1324">BN47</f>
        <v>367344</v>
      </c>
      <c r="BP47" s="133">
        <f t="shared" si="1324"/>
        <v>367344</v>
      </c>
      <c r="BQ47" s="133">
        <f t="shared" si="1324"/>
        <v>367344</v>
      </c>
      <c r="BR47" s="133">
        <f>ROUND(BQ47*(1+取值表!$D$6)*取值表!$H$6,0)</f>
        <v>364342</v>
      </c>
      <c r="BS47" s="133">
        <f t="shared" ref="BS47:BU47" si="1325">BR47</f>
        <v>364342</v>
      </c>
      <c r="BT47" s="133">
        <f t="shared" si="1325"/>
        <v>364342</v>
      </c>
      <c r="BU47" s="133">
        <f t="shared" si="1325"/>
        <v>364342</v>
      </c>
      <c r="BV47" s="133">
        <f>ROUND(BU47*(1+取值表!$D$6)*取值表!$H$6,0)</f>
        <v>361365</v>
      </c>
      <c r="BW47" s="133">
        <f t="shared" ref="BW47:BY47" si="1326">BV47</f>
        <v>361365</v>
      </c>
      <c r="BX47" s="133">
        <f t="shared" si="1326"/>
        <v>361365</v>
      </c>
      <c r="BY47" s="133">
        <f t="shared" si="1326"/>
        <v>361365</v>
      </c>
      <c r="BZ47" s="133">
        <f>ROUND(BY47*(1+取值表!$D$6)*取值表!$H$6,0)</f>
        <v>358412</v>
      </c>
      <c r="CA47" s="133">
        <f t="shared" ref="CA47:CC47" si="1327">BZ47</f>
        <v>358412</v>
      </c>
      <c r="CB47" s="133">
        <f t="shared" si="1327"/>
        <v>358412</v>
      </c>
      <c r="CC47" s="133">
        <f t="shared" si="1327"/>
        <v>358412</v>
      </c>
      <c r="CD47" s="133">
        <f>ROUND(CC47*(1+取值表!$D$6)*取值表!$H$6,0)</f>
        <v>355483</v>
      </c>
      <c r="CE47" s="133">
        <f t="shared" ref="CE47:CG47" si="1328">CD47</f>
        <v>355483</v>
      </c>
      <c r="CF47" s="133">
        <f t="shared" si="1328"/>
        <v>355483</v>
      </c>
      <c r="CG47" s="133">
        <f t="shared" si="1328"/>
        <v>355483</v>
      </c>
      <c r="CH47" s="133">
        <f>ROUND(CG47*(1+取值表!$D$6)*取值表!$H$6,0)</f>
        <v>352578</v>
      </c>
      <c r="CI47" s="133">
        <f t="shared" ref="CI47:CK47" si="1329">CH47</f>
        <v>352578</v>
      </c>
      <c r="CJ47" s="133">
        <f t="shared" si="1329"/>
        <v>352578</v>
      </c>
      <c r="CK47" s="133">
        <f t="shared" si="1329"/>
        <v>352578</v>
      </c>
      <c r="CL47" s="133">
        <f>ROUND(CK47*(1+取值表!$D$6)*取值表!$H$6,0)</f>
        <v>349697</v>
      </c>
      <c r="CM47" s="133">
        <f t="shared" ref="CM47:CO47" si="1330">CL47</f>
        <v>349697</v>
      </c>
      <c r="CN47" s="133">
        <f t="shared" si="1330"/>
        <v>349697</v>
      </c>
      <c r="CO47" s="133">
        <f t="shared" si="1330"/>
        <v>349697</v>
      </c>
      <c r="CP47" s="133">
        <f>ROUND(CO47*(1+取值表!$D$6)*取值表!$H$6,0)</f>
        <v>346840</v>
      </c>
      <c r="CQ47" s="133">
        <f t="shared" ref="CQ47" si="1331">CP47</f>
        <v>346840</v>
      </c>
      <c r="CR47" s="133">
        <f t="shared" ref="CR47" si="1332">CQ47</f>
        <v>346840</v>
      </c>
      <c r="CS47" s="133">
        <f t="shared" ref="CS47" si="1333">CR47</f>
        <v>346840</v>
      </c>
      <c r="CT47" s="133">
        <f>ROUND(CS47*(1+取值表!$D$6)*取值表!$H$6,0)</f>
        <v>344006</v>
      </c>
      <c r="CU47" s="133">
        <f t="shared" ref="CU47" si="1334">CT47</f>
        <v>344006</v>
      </c>
      <c r="CV47" s="133">
        <f t="shared" ref="CV47" si="1335">CU47</f>
        <v>344006</v>
      </c>
      <c r="CW47" s="133">
        <f t="shared" ref="CW47" si="1336">CV47</f>
        <v>344006</v>
      </c>
      <c r="CX47" s="133">
        <f>ROUND(CW47*(1+取值表!$D$6)*取值表!$H$6,0)</f>
        <v>341195</v>
      </c>
      <c r="CY47" s="133">
        <f t="shared" ref="CY47" si="1337">CX47</f>
        <v>341195</v>
      </c>
      <c r="CZ47" s="133">
        <f t="shared" ref="CZ47" si="1338">CY47</f>
        <v>341195</v>
      </c>
      <c r="DA47" s="133">
        <f t="shared" ref="DA47" si="1339">CZ47</f>
        <v>341195</v>
      </c>
      <c r="DB47" s="133">
        <f>ROUND(DA47*(1+取值表!$D$6)*取值表!$H$6,0)</f>
        <v>338407</v>
      </c>
      <c r="DC47" s="133">
        <f t="shared" ref="DC47" si="1340">DB47</f>
        <v>338407</v>
      </c>
      <c r="DD47" s="133">
        <f t="shared" ref="DD47" si="1341">DC47</f>
        <v>338407</v>
      </c>
      <c r="DE47" s="133">
        <f t="shared" ref="DE47" si="1342">DD47</f>
        <v>338407</v>
      </c>
      <c r="DF47" s="133">
        <f>ROUND(DE47*(1+取值表!$D$6)*取值表!$H$6,0)</f>
        <v>335642</v>
      </c>
      <c r="DG47" s="133">
        <f t="shared" ref="DG47" si="1343">DF47</f>
        <v>335642</v>
      </c>
      <c r="DH47" s="133">
        <f t="shared" ref="DH47" si="1344">DG47</f>
        <v>335642</v>
      </c>
      <c r="DI47" s="133">
        <f t="shared" ref="DI47" si="1345">DH47</f>
        <v>335642</v>
      </c>
      <c r="DJ47" s="133">
        <f>ROUND(DI47*(1+取值表!$D$6)*取值表!$H$6,0)</f>
        <v>332899</v>
      </c>
      <c r="DK47" s="133">
        <f t="shared" ref="DK47" si="1346">DJ47</f>
        <v>332899</v>
      </c>
      <c r="DL47" s="133">
        <f t="shared" ref="DL47" si="1347">DK47</f>
        <v>332899</v>
      </c>
      <c r="DM47" s="133">
        <f t="shared" ref="DM47" si="1348">DL47</f>
        <v>332899</v>
      </c>
      <c r="DN47" s="133">
        <f>ROUND(DM47*(1+取值表!$D$6)*取值表!$H$6,0)</f>
        <v>330179</v>
      </c>
      <c r="DO47" s="133">
        <f t="shared" ref="DO47" si="1349">DN47</f>
        <v>330179</v>
      </c>
      <c r="DP47" s="133">
        <f t="shared" ref="DP47" si="1350">DO47</f>
        <v>330179</v>
      </c>
      <c r="DQ47" s="133">
        <f t="shared" ref="DQ47" si="1351">DP47</f>
        <v>330179</v>
      </c>
      <c r="DR47" s="133">
        <f>ROUND(DQ47*(1+取值表!$D$6)*取值表!$H$6,0)</f>
        <v>327481</v>
      </c>
      <c r="DS47" s="133">
        <f t="shared" ref="DS47" si="1352">DR47</f>
        <v>327481</v>
      </c>
      <c r="DT47" s="133">
        <f t="shared" ref="DT47" si="1353">DS47</f>
        <v>327481</v>
      </c>
      <c r="DU47" s="133">
        <f t="shared" ref="DU47" si="1354">DT47</f>
        <v>327481</v>
      </c>
      <c r="DV47" s="133">
        <f>ROUND(DU47*(1+取值表!$D$6)*取值表!$H$6,0)</f>
        <v>324805</v>
      </c>
      <c r="DW47" s="133">
        <f t="shared" ref="DW47" si="1355">DV47</f>
        <v>324805</v>
      </c>
      <c r="DX47" s="133">
        <f t="shared" ref="DX47" si="1356">DW47</f>
        <v>324805</v>
      </c>
      <c r="DY47" s="133">
        <f t="shared" ref="DY47" si="1357">DX47</f>
        <v>324805</v>
      </c>
      <c r="DZ47" s="133">
        <f>ROUND(DY47*(1+取值表!$D$6)*取值表!$H$6,0)</f>
        <v>322151</v>
      </c>
      <c r="EA47" s="133">
        <f t="shared" ref="EA47" si="1358">DZ47</f>
        <v>322151</v>
      </c>
      <c r="EB47" s="133">
        <f t="shared" ref="EB47" si="1359">EA47</f>
        <v>322151</v>
      </c>
      <c r="EC47" s="133">
        <f t="shared" ref="EC47" si="1360">EB47</f>
        <v>322151</v>
      </c>
      <c r="ED47" s="133">
        <f>ROUND(EC47*(1+取值表!$D$6)*取值表!$H$6,0)</f>
        <v>319519</v>
      </c>
      <c r="EE47" s="133">
        <f t="shared" ref="EE47" si="1361">ED47</f>
        <v>319519</v>
      </c>
      <c r="EF47" s="133">
        <f t="shared" ref="EF47" si="1362">EE47</f>
        <v>319519</v>
      </c>
      <c r="EG47" s="133">
        <f t="shared" ref="EG47" si="1363">EF47</f>
        <v>319519</v>
      </c>
      <c r="EH47" s="133">
        <f>ROUND(EG47*(1+取值表!$D$6)*取值表!$H$6,0)</f>
        <v>316908</v>
      </c>
      <c r="EI47" s="133">
        <f t="shared" ref="EI47" si="1364">EH47</f>
        <v>316908</v>
      </c>
      <c r="EJ47" s="133">
        <f t="shared" ref="EJ47" si="1365">EI47</f>
        <v>316908</v>
      </c>
      <c r="EK47" s="133">
        <f t="shared" ref="EK47" si="1366">EJ47</f>
        <v>316908</v>
      </c>
      <c r="EL47" s="133">
        <f>ROUND(EK47*(1+取值表!$D$6)*取值表!$H$6,0)</f>
        <v>314319</v>
      </c>
      <c r="EM47" s="133">
        <f t="shared" ref="EM47" si="1367">EL47</f>
        <v>314319</v>
      </c>
      <c r="EN47" s="133">
        <f t="shared" ref="EN47" si="1368">EM47</f>
        <v>314319</v>
      </c>
      <c r="EO47" s="133">
        <f t="shared" ref="EO47" si="1369">EN47</f>
        <v>314319</v>
      </c>
      <c r="EP47" s="133">
        <f>ROUND(EO47*(1+取值表!$D$6)*取值表!$H$6,0)</f>
        <v>311751</v>
      </c>
      <c r="EQ47" s="133">
        <f t="shared" ref="EQ47" si="1370">EP47</f>
        <v>311751</v>
      </c>
      <c r="ER47" s="133">
        <f t="shared" ref="ER47" si="1371">EQ47</f>
        <v>311751</v>
      </c>
      <c r="ES47" s="133">
        <f t="shared" ref="ES47" si="1372">ER47</f>
        <v>311751</v>
      </c>
      <c r="ET47" s="133">
        <f t="shared" si="39"/>
        <v>50350068</v>
      </c>
    </row>
    <row r="48" spans="1:151">
      <c r="A48" s="402"/>
      <c r="B48" s="406"/>
      <c r="C48" s="400"/>
      <c r="D48" s="401"/>
      <c r="E48" s="484"/>
      <c r="F48" s="399"/>
      <c r="G48" s="399"/>
      <c r="H48" s="482"/>
      <c r="I48" s="129"/>
      <c r="J48" s="131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>
        <f t="shared" si="39"/>
        <v>0</v>
      </c>
    </row>
    <row r="49" spans="1:151">
      <c r="A49" s="402">
        <v>24</v>
      </c>
      <c r="B49" s="406" t="s">
        <v>1102</v>
      </c>
      <c r="C49" s="400" t="s">
        <v>1103</v>
      </c>
      <c r="D49" s="401" t="s">
        <v>436</v>
      </c>
      <c r="E49" s="398" t="s">
        <v>422</v>
      </c>
      <c r="F49" s="399">
        <v>302.93</v>
      </c>
      <c r="G49" s="430">
        <f>AVERAGE(10)</f>
        <v>10</v>
      </c>
      <c r="H49" s="482">
        <f>F49*G49*365</f>
        <v>1105694.5</v>
      </c>
      <c r="I49" s="129">
        <v>276423.63</v>
      </c>
      <c r="J49" s="131">
        <f>ROUND(G49*F49*365/4,0)</f>
        <v>276424</v>
      </c>
      <c r="K49" s="132">
        <f>J49</f>
        <v>276424</v>
      </c>
      <c r="L49" s="133">
        <f>K49</f>
        <v>276424</v>
      </c>
      <c r="M49" s="133">
        <f>L49</f>
        <v>276424</v>
      </c>
      <c r="N49" s="133">
        <f>ROUND(M49*(1+取值表!$D$6)*取值表!$H$6,0)</f>
        <v>274165</v>
      </c>
      <c r="O49" s="133">
        <f>N49</f>
        <v>274165</v>
      </c>
      <c r="P49" s="133">
        <f>O49</f>
        <v>274165</v>
      </c>
      <c r="Q49" s="133">
        <f>P49</f>
        <v>274165</v>
      </c>
      <c r="R49" s="133">
        <f>ROUND(Q49*(1+取值表!$D$6)*取值表!$H$6,0)</f>
        <v>271925</v>
      </c>
      <c r="S49" s="133">
        <f t="shared" ref="S49:U49" si="1373">R49</f>
        <v>271925</v>
      </c>
      <c r="T49" s="133">
        <f t="shared" si="1373"/>
        <v>271925</v>
      </c>
      <c r="U49" s="133">
        <f t="shared" si="1373"/>
        <v>271925</v>
      </c>
      <c r="V49" s="133">
        <f>ROUND(U49*(1+取值表!$D$6)*取值表!$H$6,0)</f>
        <v>269703</v>
      </c>
      <c r="W49" s="133">
        <f t="shared" ref="W49:Y49" si="1374">V49</f>
        <v>269703</v>
      </c>
      <c r="X49" s="133">
        <f t="shared" si="1374"/>
        <v>269703</v>
      </c>
      <c r="Y49" s="133">
        <f t="shared" si="1374"/>
        <v>269703</v>
      </c>
      <c r="Z49" s="133">
        <f>ROUND(Y49*(1+取值表!$D$6)*取值表!$H$6,0)</f>
        <v>267499</v>
      </c>
      <c r="AA49" s="133">
        <f t="shared" ref="AA49:AC49" si="1375">Z49</f>
        <v>267499</v>
      </c>
      <c r="AB49" s="133">
        <f t="shared" si="1375"/>
        <v>267499</v>
      </c>
      <c r="AC49" s="133">
        <f t="shared" si="1375"/>
        <v>267499</v>
      </c>
      <c r="AD49" s="133">
        <f>ROUND(AC49*(1+取值表!$D$6)*取值表!$H$6,0)</f>
        <v>265313</v>
      </c>
      <c r="AE49" s="133">
        <f t="shared" ref="AE49:AG49" si="1376">AD49</f>
        <v>265313</v>
      </c>
      <c r="AF49" s="133">
        <f t="shared" si="1376"/>
        <v>265313</v>
      </c>
      <c r="AG49" s="133">
        <f t="shared" si="1376"/>
        <v>265313</v>
      </c>
      <c r="AH49" s="133">
        <f>ROUND(AG49*(1+取值表!$D$6)*取值表!$H$6,0)</f>
        <v>263145</v>
      </c>
      <c r="AI49" s="133">
        <f t="shared" ref="AI49:AK49" si="1377">AH49</f>
        <v>263145</v>
      </c>
      <c r="AJ49" s="133">
        <f t="shared" si="1377"/>
        <v>263145</v>
      </c>
      <c r="AK49" s="133">
        <f t="shared" si="1377"/>
        <v>263145</v>
      </c>
      <c r="AL49" s="133">
        <f>ROUND(AK49*(1+取值表!$D$6)*取值表!$H$6,0)</f>
        <v>260995</v>
      </c>
      <c r="AM49" s="133">
        <f t="shared" ref="AM49:AO49" si="1378">AL49</f>
        <v>260995</v>
      </c>
      <c r="AN49" s="133">
        <f t="shared" si="1378"/>
        <v>260995</v>
      </c>
      <c r="AO49" s="133">
        <f t="shared" si="1378"/>
        <v>260995</v>
      </c>
      <c r="AP49" s="133">
        <f>ROUND(AO49*(1+取值表!$D$6)*取值表!$H$6,0)</f>
        <v>258862</v>
      </c>
      <c r="AQ49" s="133">
        <f t="shared" ref="AQ49:AS49" si="1379">AP49</f>
        <v>258862</v>
      </c>
      <c r="AR49" s="133">
        <f t="shared" si="1379"/>
        <v>258862</v>
      </c>
      <c r="AS49" s="133">
        <f t="shared" si="1379"/>
        <v>258862</v>
      </c>
      <c r="AT49" s="133">
        <f>ROUND(AS49*(1+取值表!$D$6)*取值表!$H$6,0)</f>
        <v>256747</v>
      </c>
      <c r="AU49" s="133">
        <f t="shared" ref="AU49:AW49" si="1380">AT49</f>
        <v>256747</v>
      </c>
      <c r="AV49" s="133">
        <f t="shared" si="1380"/>
        <v>256747</v>
      </c>
      <c r="AW49" s="133">
        <f t="shared" si="1380"/>
        <v>256747</v>
      </c>
      <c r="AX49" s="133">
        <f>ROUND(AW49*(1+取值表!$D$6)*取值表!$H$6,0)</f>
        <v>254649</v>
      </c>
      <c r="AY49" s="133">
        <f t="shared" ref="AY49:BA49" si="1381">AX49</f>
        <v>254649</v>
      </c>
      <c r="AZ49" s="133">
        <f t="shared" si="1381"/>
        <v>254649</v>
      </c>
      <c r="BA49" s="133">
        <f t="shared" si="1381"/>
        <v>254649</v>
      </c>
      <c r="BB49" s="133">
        <f>ROUND(BA49*(1+取值表!$D$6)*取值表!$H$6,0)</f>
        <v>252568</v>
      </c>
      <c r="BC49" s="133">
        <f t="shared" ref="BC49:BE49" si="1382">BB49</f>
        <v>252568</v>
      </c>
      <c r="BD49" s="133">
        <f t="shared" si="1382"/>
        <v>252568</v>
      </c>
      <c r="BE49" s="133">
        <f t="shared" si="1382"/>
        <v>252568</v>
      </c>
      <c r="BF49" s="133">
        <f>ROUND(BE49*(1+取值表!$D$6)*取值表!$H$6,0)</f>
        <v>250504</v>
      </c>
      <c r="BG49" s="133">
        <f t="shared" ref="BG49:BI49" si="1383">BF49</f>
        <v>250504</v>
      </c>
      <c r="BH49" s="133">
        <f t="shared" si="1383"/>
        <v>250504</v>
      </c>
      <c r="BI49" s="133">
        <f t="shared" si="1383"/>
        <v>250504</v>
      </c>
      <c r="BJ49" s="133">
        <f>ROUND(BI49*(1+取值表!$D$6)*取值表!$H$6,0)</f>
        <v>248457</v>
      </c>
      <c r="BK49" s="133">
        <f t="shared" ref="BK49:BM49" si="1384">BJ49</f>
        <v>248457</v>
      </c>
      <c r="BL49" s="133">
        <f t="shared" si="1384"/>
        <v>248457</v>
      </c>
      <c r="BM49" s="133">
        <f t="shared" si="1384"/>
        <v>248457</v>
      </c>
      <c r="BN49" s="133">
        <f>ROUND(BM49*(1+取值表!$D$6)*取值表!$H$6,0)</f>
        <v>246427</v>
      </c>
      <c r="BO49" s="133">
        <f t="shared" ref="BO49:BQ49" si="1385">BN49</f>
        <v>246427</v>
      </c>
      <c r="BP49" s="133">
        <f t="shared" si="1385"/>
        <v>246427</v>
      </c>
      <c r="BQ49" s="133">
        <f t="shared" si="1385"/>
        <v>246427</v>
      </c>
      <c r="BR49" s="133">
        <f>ROUND(BQ49*(1+取值表!$D$6)*取值表!$H$6,0)</f>
        <v>244413</v>
      </c>
      <c r="BS49" s="133">
        <f t="shared" ref="BS49:BU49" si="1386">BR49</f>
        <v>244413</v>
      </c>
      <c r="BT49" s="133">
        <f t="shared" si="1386"/>
        <v>244413</v>
      </c>
      <c r="BU49" s="133">
        <f t="shared" si="1386"/>
        <v>244413</v>
      </c>
      <c r="BV49" s="133">
        <f>ROUND(BU49*(1+取值表!$D$6)*取值表!$H$6,0)</f>
        <v>242416</v>
      </c>
      <c r="BW49" s="133">
        <f t="shared" ref="BW49:BY49" si="1387">BV49</f>
        <v>242416</v>
      </c>
      <c r="BX49" s="133">
        <f t="shared" si="1387"/>
        <v>242416</v>
      </c>
      <c r="BY49" s="133">
        <f t="shared" si="1387"/>
        <v>242416</v>
      </c>
      <c r="BZ49" s="133">
        <f>ROUND(BY49*(1+取值表!$D$6)*取值表!$H$6,0)</f>
        <v>240435</v>
      </c>
      <c r="CA49" s="133">
        <f t="shared" ref="CA49:CC49" si="1388">BZ49</f>
        <v>240435</v>
      </c>
      <c r="CB49" s="133">
        <f t="shared" si="1388"/>
        <v>240435</v>
      </c>
      <c r="CC49" s="133">
        <f t="shared" si="1388"/>
        <v>240435</v>
      </c>
      <c r="CD49" s="133">
        <f>ROUND(CC49*(1+取值表!$D$6)*取值表!$H$6,0)</f>
        <v>238470</v>
      </c>
      <c r="CE49" s="133">
        <f t="shared" ref="CE49:CG49" si="1389">CD49</f>
        <v>238470</v>
      </c>
      <c r="CF49" s="133">
        <f t="shared" si="1389"/>
        <v>238470</v>
      </c>
      <c r="CG49" s="133">
        <f t="shared" si="1389"/>
        <v>238470</v>
      </c>
      <c r="CH49" s="133">
        <f>ROUND(CG49*(1+取值表!$D$6)*取值表!$H$6,0)</f>
        <v>236521</v>
      </c>
      <c r="CI49" s="133">
        <f t="shared" ref="CI49:CK49" si="1390">CH49</f>
        <v>236521</v>
      </c>
      <c r="CJ49" s="133">
        <f t="shared" si="1390"/>
        <v>236521</v>
      </c>
      <c r="CK49" s="133">
        <f t="shared" si="1390"/>
        <v>236521</v>
      </c>
      <c r="CL49" s="133">
        <f>ROUND(CK49*(1+取值表!$D$6)*取值表!$H$6,0)</f>
        <v>234588</v>
      </c>
      <c r="CM49" s="133">
        <f t="shared" ref="CM49:CO49" si="1391">CL49</f>
        <v>234588</v>
      </c>
      <c r="CN49" s="133">
        <f t="shared" si="1391"/>
        <v>234588</v>
      </c>
      <c r="CO49" s="133">
        <f t="shared" si="1391"/>
        <v>234588</v>
      </c>
      <c r="CP49" s="133">
        <f>ROUND(CO49*(1+取值表!$D$6)*取值表!$H$6,0)</f>
        <v>232671</v>
      </c>
      <c r="CQ49" s="133">
        <f t="shared" ref="CQ49" si="1392">CP49</f>
        <v>232671</v>
      </c>
      <c r="CR49" s="133">
        <f t="shared" ref="CR49" si="1393">CQ49</f>
        <v>232671</v>
      </c>
      <c r="CS49" s="133">
        <f t="shared" ref="CS49" si="1394">CR49</f>
        <v>232671</v>
      </c>
      <c r="CT49" s="133">
        <f>ROUND(CS49*(1+取值表!$D$6)*取值表!$H$6,0)</f>
        <v>230770</v>
      </c>
      <c r="CU49" s="133">
        <f t="shared" ref="CU49" si="1395">CT49</f>
        <v>230770</v>
      </c>
      <c r="CV49" s="133">
        <f t="shared" ref="CV49" si="1396">CU49</f>
        <v>230770</v>
      </c>
      <c r="CW49" s="133">
        <f t="shared" ref="CW49" si="1397">CV49</f>
        <v>230770</v>
      </c>
      <c r="CX49" s="133">
        <f>ROUND(CW49*(1+取值表!$D$6)*取值表!$H$6,0)</f>
        <v>228884</v>
      </c>
      <c r="CY49" s="133">
        <f t="shared" ref="CY49" si="1398">CX49</f>
        <v>228884</v>
      </c>
      <c r="CZ49" s="133">
        <f t="shared" ref="CZ49" si="1399">CY49</f>
        <v>228884</v>
      </c>
      <c r="DA49" s="133">
        <f t="shared" ref="DA49" si="1400">CZ49</f>
        <v>228884</v>
      </c>
      <c r="DB49" s="133">
        <f>ROUND(DA49*(1+取值表!$D$6)*取值表!$H$6,0)</f>
        <v>227014</v>
      </c>
      <c r="DC49" s="133">
        <f t="shared" ref="DC49" si="1401">DB49</f>
        <v>227014</v>
      </c>
      <c r="DD49" s="133">
        <f t="shared" ref="DD49" si="1402">DC49</f>
        <v>227014</v>
      </c>
      <c r="DE49" s="133">
        <f t="shared" ref="DE49" si="1403">DD49</f>
        <v>227014</v>
      </c>
      <c r="DF49" s="133">
        <f>ROUND(DE49*(1+取值表!$D$6)*取值表!$H$6,0)</f>
        <v>225159</v>
      </c>
      <c r="DG49" s="133">
        <f t="shared" ref="DG49" si="1404">DF49</f>
        <v>225159</v>
      </c>
      <c r="DH49" s="133">
        <f t="shared" ref="DH49" si="1405">DG49</f>
        <v>225159</v>
      </c>
      <c r="DI49" s="133">
        <f t="shared" ref="DI49" si="1406">DH49</f>
        <v>225159</v>
      </c>
      <c r="DJ49" s="133">
        <f>ROUND(DI49*(1+取值表!$D$6)*取值表!$H$6,0)</f>
        <v>223319</v>
      </c>
      <c r="DK49" s="133">
        <f t="shared" ref="DK49" si="1407">DJ49</f>
        <v>223319</v>
      </c>
      <c r="DL49" s="133">
        <f t="shared" ref="DL49" si="1408">DK49</f>
        <v>223319</v>
      </c>
      <c r="DM49" s="133">
        <f t="shared" ref="DM49" si="1409">DL49</f>
        <v>223319</v>
      </c>
      <c r="DN49" s="133">
        <f>ROUND(DM49*(1+取值表!$D$6)*取值表!$H$6,0)</f>
        <v>221494</v>
      </c>
      <c r="DO49" s="133">
        <f t="shared" ref="DO49" si="1410">DN49</f>
        <v>221494</v>
      </c>
      <c r="DP49" s="133">
        <f t="shared" ref="DP49" si="1411">DO49</f>
        <v>221494</v>
      </c>
      <c r="DQ49" s="133">
        <f t="shared" ref="DQ49" si="1412">DP49</f>
        <v>221494</v>
      </c>
      <c r="DR49" s="133">
        <f>ROUND(DQ49*(1+取值表!$D$6)*取值表!$H$6,0)</f>
        <v>219684</v>
      </c>
      <c r="DS49" s="133">
        <f t="shared" ref="DS49" si="1413">DR49</f>
        <v>219684</v>
      </c>
      <c r="DT49" s="133">
        <f t="shared" ref="DT49" si="1414">DS49</f>
        <v>219684</v>
      </c>
      <c r="DU49" s="133">
        <f t="shared" ref="DU49" si="1415">DT49</f>
        <v>219684</v>
      </c>
      <c r="DV49" s="133">
        <f>ROUND(DU49*(1+取值表!$D$6)*取值表!$H$6,0)</f>
        <v>217889</v>
      </c>
      <c r="DW49" s="133">
        <f t="shared" ref="DW49" si="1416">DV49</f>
        <v>217889</v>
      </c>
      <c r="DX49" s="133">
        <f t="shared" ref="DX49" si="1417">DW49</f>
        <v>217889</v>
      </c>
      <c r="DY49" s="133">
        <f t="shared" ref="DY49" si="1418">DX49</f>
        <v>217889</v>
      </c>
      <c r="DZ49" s="133">
        <f>ROUND(DY49*(1+取值表!$D$6)*取值表!$H$6,0)</f>
        <v>216109</v>
      </c>
      <c r="EA49" s="133">
        <f t="shared" ref="EA49" si="1419">DZ49</f>
        <v>216109</v>
      </c>
      <c r="EB49" s="133">
        <f t="shared" ref="EB49" si="1420">EA49</f>
        <v>216109</v>
      </c>
      <c r="EC49" s="133">
        <f t="shared" ref="EC49" si="1421">EB49</f>
        <v>216109</v>
      </c>
      <c r="ED49" s="133">
        <f>ROUND(EC49*(1+取值表!$D$6)*取值表!$H$6,0)</f>
        <v>214343</v>
      </c>
      <c r="EE49" s="133">
        <f t="shared" ref="EE49" si="1422">ED49</f>
        <v>214343</v>
      </c>
      <c r="EF49" s="133">
        <f t="shared" ref="EF49" si="1423">EE49</f>
        <v>214343</v>
      </c>
      <c r="EG49" s="133">
        <f t="shared" ref="EG49" si="1424">EF49</f>
        <v>214343</v>
      </c>
      <c r="EH49" s="133">
        <f>ROUND(EG49*(1+取值表!$D$6)*取值表!$H$6,0)</f>
        <v>212592</v>
      </c>
      <c r="EI49" s="133">
        <f t="shared" ref="EI49" si="1425">EH49</f>
        <v>212592</v>
      </c>
      <c r="EJ49" s="133">
        <f t="shared" ref="EJ49" si="1426">EI49</f>
        <v>212592</v>
      </c>
      <c r="EK49" s="133">
        <f t="shared" ref="EK49" si="1427">EJ49</f>
        <v>212592</v>
      </c>
      <c r="EL49" s="133">
        <f>ROUND(EK49*(1+取值表!$D$6)*取值表!$H$6,0)</f>
        <v>210855</v>
      </c>
      <c r="EM49" s="133">
        <f t="shared" ref="EM49" si="1428">EL49</f>
        <v>210855</v>
      </c>
      <c r="EN49" s="133">
        <f t="shared" ref="EN49" si="1429">EM49</f>
        <v>210855</v>
      </c>
      <c r="EO49" s="133">
        <f t="shared" ref="EO49" si="1430">EN49</f>
        <v>210855</v>
      </c>
      <c r="EP49" s="133">
        <f>ROUND(EO49*(1+取值表!$D$6)*取值表!$H$6,0)</f>
        <v>209132</v>
      </c>
      <c r="EQ49" s="133">
        <f t="shared" ref="EQ49" si="1431">EP49</f>
        <v>209132</v>
      </c>
      <c r="ER49" s="133">
        <f t="shared" ref="ER49" si="1432">EQ49</f>
        <v>209132</v>
      </c>
      <c r="ES49" s="133">
        <f t="shared" ref="ES49" si="1433">ER49</f>
        <v>209132</v>
      </c>
      <c r="ET49" s="133">
        <f t="shared" si="39"/>
        <v>33776564</v>
      </c>
    </row>
    <row r="50" spans="1:151">
      <c r="A50" s="402"/>
      <c r="B50" s="406"/>
      <c r="C50" s="400"/>
      <c r="D50" s="401"/>
      <c r="E50" s="398"/>
      <c r="F50" s="399"/>
      <c r="G50" s="430"/>
      <c r="H50" s="482"/>
      <c r="I50" s="129"/>
      <c r="J50" s="131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>
        <f t="shared" si="39"/>
        <v>0</v>
      </c>
    </row>
    <row r="51" spans="1:151">
      <c r="A51" s="402">
        <v>25</v>
      </c>
      <c r="B51" s="406" t="s">
        <v>1104</v>
      </c>
      <c r="C51" s="483" t="s">
        <v>1105</v>
      </c>
      <c r="D51" s="401" t="s">
        <v>29</v>
      </c>
      <c r="E51" s="398" t="s">
        <v>422</v>
      </c>
      <c r="F51" s="399">
        <v>405.12</v>
      </c>
      <c r="G51" s="399">
        <v>15.11</v>
      </c>
      <c r="H51" s="482">
        <f>F51*G51*365</f>
        <v>2234297.568</v>
      </c>
      <c r="I51" s="129">
        <v>273557.28000000003</v>
      </c>
      <c r="J51" s="131">
        <f>ROUND(G51*F51*365/4,0)</f>
        <v>558574</v>
      </c>
      <c r="K51" s="132">
        <f>J51</f>
        <v>558574</v>
      </c>
      <c r="L51" s="133">
        <f>K51</f>
        <v>558574</v>
      </c>
      <c r="M51" s="133">
        <f>L51</f>
        <v>558574</v>
      </c>
      <c r="N51" s="133">
        <f>ROUND(M51*(1+取值表!$D$6)*取值表!$H$6,0)</f>
        <v>554010</v>
      </c>
      <c r="O51" s="133">
        <f>N51</f>
        <v>554010</v>
      </c>
      <c r="P51" s="133">
        <f>O51</f>
        <v>554010</v>
      </c>
      <c r="Q51" s="133">
        <f>P51</f>
        <v>554010</v>
      </c>
      <c r="R51" s="133">
        <f>ROUND(Q51*(1+取值表!$D$6)*取值表!$H$6,0)</f>
        <v>549483</v>
      </c>
      <c r="S51" s="133">
        <f t="shared" ref="S51:U51" si="1434">R51</f>
        <v>549483</v>
      </c>
      <c r="T51" s="133">
        <f t="shared" si="1434"/>
        <v>549483</v>
      </c>
      <c r="U51" s="133">
        <f t="shared" si="1434"/>
        <v>549483</v>
      </c>
      <c r="V51" s="133">
        <f>ROUND(U51*(1+取值表!$D$6)*取值表!$H$6,0)</f>
        <v>544993</v>
      </c>
      <c r="W51" s="133">
        <f t="shared" ref="W51:Y51" si="1435">V51</f>
        <v>544993</v>
      </c>
      <c r="X51" s="133">
        <f t="shared" si="1435"/>
        <v>544993</v>
      </c>
      <c r="Y51" s="133">
        <f t="shared" si="1435"/>
        <v>544993</v>
      </c>
      <c r="Z51" s="133">
        <f>ROUND(Y51*(1+取值表!$D$6)*取值表!$H$6,0)</f>
        <v>540540</v>
      </c>
      <c r="AA51" s="133">
        <f t="shared" ref="AA51:AC51" si="1436">Z51</f>
        <v>540540</v>
      </c>
      <c r="AB51" s="133">
        <f t="shared" si="1436"/>
        <v>540540</v>
      </c>
      <c r="AC51" s="133">
        <f t="shared" si="1436"/>
        <v>540540</v>
      </c>
      <c r="AD51" s="133">
        <f>ROUND(AC51*(1+取值表!$D$6)*取值表!$H$6,0)</f>
        <v>536123</v>
      </c>
      <c r="AE51" s="133">
        <f t="shared" ref="AE51:AG51" si="1437">AD51</f>
        <v>536123</v>
      </c>
      <c r="AF51" s="133">
        <f t="shared" si="1437"/>
        <v>536123</v>
      </c>
      <c r="AG51" s="133">
        <f t="shared" si="1437"/>
        <v>536123</v>
      </c>
      <c r="AH51" s="133">
        <f>ROUND(AG51*(1+取值表!$D$6)*取值表!$H$6,0)</f>
        <v>531742</v>
      </c>
      <c r="AI51" s="133">
        <f t="shared" ref="AI51:AK51" si="1438">AH51</f>
        <v>531742</v>
      </c>
      <c r="AJ51" s="133">
        <f t="shared" si="1438"/>
        <v>531742</v>
      </c>
      <c r="AK51" s="133">
        <f t="shared" si="1438"/>
        <v>531742</v>
      </c>
      <c r="AL51" s="133">
        <f>ROUND(AK51*(1+取值表!$D$6)*取值表!$H$6,0)</f>
        <v>527397</v>
      </c>
      <c r="AM51" s="133">
        <f t="shared" ref="AM51:AO51" si="1439">AL51</f>
        <v>527397</v>
      </c>
      <c r="AN51" s="133">
        <f t="shared" si="1439"/>
        <v>527397</v>
      </c>
      <c r="AO51" s="133">
        <f t="shared" si="1439"/>
        <v>527397</v>
      </c>
      <c r="AP51" s="133">
        <f>ROUND(AO51*(1+取值表!$D$6)*取值表!$H$6,0)</f>
        <v>523088</v>
      </c>
      <c r="AQ51" s="133">
        <f t="shared" ref="AQ51:AS51" si="1440">AP51</f>
        <v>523088</v>
      </c>
      <c r="AR51" s="133">
        <f t="shared" si="1440"/>
        <v>523088</v>
      </c>
      <c r="AS51" s="133">
        <f t="shared" si="1440"/>
        <v>523088</v>
      </c>
      <c r="AT51" s="133">
        <f>ROUND(AS51*(1+取值表!$D$6)*取值表!$H$6,0)</f>
        <v>518814</v>
      </c>
      <c r="AU51" s="133">
        <f t="shared" ref="AU51:AW51" si="1441">AT51</f>
        <v>518814</v>
      </c>
      <c r="AV51" s="133">
        <f t="shared" si="1441"/>
        <v>518814</v>
      </c>
      <c r="AW51" s="133">
        <f t="shared" si="1441"/>
        <v>518814</v>
      </c>
      <c r="AX51" s="133">
        <f>ROUND(AW51*(1+取值表!$D$6)*取值表!$H$6,0)</f>
        <v>514575</v>
      </c>
      <c r="AY51" s="133">
        <f t="shared" ref="AY51:BA51" si="1442">AX51</f>
        <v>514575</v>
      </c>
      <c r="AZ51" s="133">
        <f t="shared" si="1442"/>
        <v>514575</v>
      </c>
      <c r="BA51" s="133">
        <f t="shared" si="1442"/>
        <v>514575</v>
      </c>
      <c r="BB51" s="133">
        <f>ROUND(BA51*(1+取值表!$D$6)*取值表!$H$6,0)</f>
        <v>510370</v>
      </c>
      <c r="BC51" s="133">
        <f t="shared" ref="BC51:BE51" si="1443">BB51</f>
        <v>510370</v>
      </c>
      <c r="BD51" s="133">
        <f t="shared" si="1443"/>
        <v>510370</v>
      </c>
      <c r="BE51" s="133">
        <f t="shared" si="1443"/>
        <v>510370</v>
      </c>
      <c r="BF51" s="133">
        <f>ROUND(BE51*(1+取值表!$D$6)*取值表!$H$6,0)</f>
        <v>506200</v>
      </c>
      <c r="BG51" s="133">
        <f t="shared" ref="BG51:BI51" si="1444">BF51</f>
        <v>506200</v>
      </c>
      <c r="BH51" s="133">
        <f t="shared" si="1444"/>
        <v>506200</v>
      </c>
      <c r="BI51" s="133">
        <f t="shared" si="1444"/>
        <v>506200</v>
      </c>
      <c r="BJ51" s="133">
        <f>ROUND(BI51*(1+取值表!$D$6)*取值表!$H$6,0)</f>
        <v>502064</v>
      </c>
      <c r="BK51" s="133">
        <f t="shared" ref="BK51:BM51" si="1445">BJ51</f>
        <v>502064</v>
      </c>
      <c r="BL51" s="133">
        <f t="shared" si="1445"/>
        <v>502064</v>
      </c>
      <c r="BM51" s="133">
        <f t="shared" si="1445"/>
        <v>502064</v>
      </c>
      <c r="BN51" s="133">
        <f>ROUND(BM51*(1+取值表!$D$6)*取值表!$H$6,0)</f>
        <v>497962</v>
      </c>
      <c r="BO51" s="133">
        <f t="shared" ref="BO51:BQ51" si="1446">BN51</f>
        <v>497962</v>
      </c>
      <c r="BP51" s="133">
        <f t="shared" si="1446"/>
        <v>497962</v>
      </c>
      <c r="BQ51" s="133">
        <f t="shared" si="1446"/>
        <v>497962</v>
      </c>
      <c r="BR51" s="133">
        <f>ROUND(BQ51*(1+取值表!$D$6)*取值表!$H$6,0)</f>
        <v>493893</v>
      </c>
      <c r="BS51" s="133">
        <f t="shared" ref="BS51:BU51" si="1447">BR51</f>
        <v>493893</v>
      </c>
      <c r="BT51" s="133">
        <f t="shared" si="1447"/>
        <v>493893</v>
      </c>
      <c r="BU51" s="133">
        <f t="shared" si="1447"/>
        <v>493893</v>
      </c>
      <c r="BV51" s="133">
        <f>ROUND(BU51*(1+取值表!$D$6)*取值表!$H$6,0)</f>
        <v>489857</v>
      </c>
      <c r="BW51" s="133">
        <f t="shared" ref="BW51:BY51" si="1448">BV51</f>
        <v>489857</v>
      </c>
      <c r="BX51" s="133">
        <f t="shared" si="1448"/>
        <v>489857</v>
      </c>
      <c r="BY51" s="133">
        <f t="shared" si="1448"/>
        <v>489857</v>
      </c>
      <c r="BZ51" s="133">
        <f>ROUND(BY51*(1+取值表!$D$6)*取值表!$H$6,0)</f>
        <v>485854</v>
      </c>
      <c r="CA51" s="133">
        <f t="shared" ref="CA51:CC51" si="1449">BZ51</f>
        <v>485854</v>
      </c>
      <c r="CB51" s="133">
        <f t="shared" si="1449"/>
        <v>485854</v>
      </c>
      <c r="CC51" s="133">
        <f t="shared" si="1449"/>
        <v>485854</v>
      </c>
      <c r="CD51" s="133">
        <f>ROUND(CC51*(1+取值表!$D$6)*取值表!$H$6,0)</f>
        <v>481884</v>
      </c>
      <c r="CE51" s="133">
        <f t="shared" ref="CE51:CG51" si="1450">CD51</f>
        <v>481884</v>
      </c>
      <c r="CF51" s="133">
        <f t="shared" si="1450"/>
        <v>481884</v>
      </c>
      <c r="CG51" s="133">
        <f t="shared" si="1450"/>
        <v>481884</v>
      </c>
      <c r="CH51" s="133">
        <f>ROUND(CG51*(1+取值表!$D$6)*取值表!$H$6,0)</f>
        <v>477947</v>
      </c>
      <c r="CI51" s="133">
        <f t="shared" ref="CI51:CK51" si="1451">CH51</f>
        <v>477947</v>
      </c>
      <c r="CJ51" s="133">
        <f t="shared" si="1451"/>
        <v>477947</v>
      </c>
      <c r="CK51" s="133">
        <f t="shared" si="1451"/>
        <v>477947</v>
      </c>
      <c r="CL51" s="133">
        <f>ROUND(CK51*(1+取值表!$D$6)*取值表!$H$6,0)</f>
        <v>474042</v>
      </c>
      <c r="CM51" s="133">
        <f t="shared" ref="CM51:CO51" si="1452">CL51</f>
        <v>474042</v>
      </c>
      <c r="CN51" s="133">
        <f t="shared" si="1452"/>
        <v>474042</v>
      </c>
      <c r="CO51" s="133">
        <f t="shared" si="1452"/>
        <v>474042</v>
      </c>
      <c r="CP51" s="133">
        <f>ROUND(CO51*(1+取值表!$D$6)*取值表!$H$6,0)</f>
        <v>470169</v>
      </c>
      <c r="CQ51" s="133">
        <f t="shared" ref="CQ51" si="1453">CP51</f>
        <v>470169</v>
      </c>
      <c r="CR51" s="133">
        <f t="shared" ref="CR51" si="1454">CQ51</f>
        <v>470169</v>
      </c>
      <c r="CS51" s="133">
        <f t="shared" ref="CS51" si="1455">CR51</f>
        <v>470169</v>
      </c>
      <c r="CT51" s="133">
        <f>ROUND(CS51*(1+取值表!$D$6)*取值表!$H$6,0)</f>
        <v>466327</v>
      </c>
      <c r="CU51" s="133">
        <f t="shared" ref="CU51" si="1456">CT51</f>
        <v>466327</v>
      </c>
      <c r="CV51" s="133">
        <f t="shared" ref="CV51" si="1457">CU51</f>
        <v>466327</v>
      </c>
      <c r="CW51" s="133">
        <f t="shared" ref="CW51" si="1458">CV51</f>
        <v>466327</v>
      </c>
      <c r="CX51" s="133">
        <f>ROUND(CW51*(1+取值表!$D$6)*取值表!$H$6,0)</f>
        <v>462517</v>
      </c>
      <c r="CY51" s="133">
        <f t="shared" ref="CY51" si="1459">CX51</f>
        <v>462517</v>
      </c>
      <c r="CZ51" s="133">
        <f t="shared" ref="CZ51" si="1460">CY51</f>
        <v>462517</v>
      </c>
      <c r="DA51" s="133">
        <f t="shared" ref="DA51" si="1461">CZ51</f>
        <v>462517</v>
      </c>
      <c r="DB51" s="133">
        <f>ROUND(DA51*(1+取值表!$D$6)*取值表!$H$6,0)</f>
        <v>458738</v>
      </c>
      <c r="DC51" s="133">
        <f t="shared" ref="DC51" si="1462">DB51</f>
        <v>458738</v>
      </c>
      <c r="DD51" s="133">
        <f t="shared" ref="DD51" si="1463">DC51</f>
        <v>458738</v>
      </c>
      <c r="DE51" s="133">
        <f t="shared" ref="DE51" si="1464">DD51</f>
        <v>458738</v>
      </c>
      <c r="DF51" s="133">
        <f>ROUND(DE51*(1+取值表!$D$6)*取值表!$H$6,0)</f>
        <v>454990</v>
      </c>
      <c r="DG51" s="133">
        <f t="shared" ref="DG51" si="1465">DF51</f>
        <v>454990</v>
      </c>
      <c r="DH51" s="133">
        <f t="shared" ref="DH51" si="1466">DG51</f>
        <v>454990</v>
      </c>
      <c r="DI51" s="133">
        <f t="shared" ref="DI51" si="1467">DH51</f>
        <v>454990</v>
      </c>
      <c r="DJ51" s="133">
        <f>ROUND(DI51*(1+取值表!$D$6)*取值表!$H$6,0)</f>
        <v>451272</v>
      </c>
      <c r="DK51" s="133">
        <f t="shared" ref="DK51" si="1468">DJ51</f>
        <v>451272</v>
      </c>
      <c r="DL51" s="133">
        <f t="shared" ref="DL51" si="1469">DK51</f>
        <v>451272</v>
      </c>
      <c r="DM51" s="133">
        <f t="shared" ref="DM51" si="1470">DL51</f>
        <v>451272</v>
      </c>
      <c r="DN51" s="133">
        <f>ROUND(DM51*(1+取值表!$D$6)*取值表!$H$6,0)</f>
        <v>447585</v>
      </c>
      <c r="DO51" s="133">
        <f t="shared" ref="DO51" si="1471">DN51</f>
        <v>447585</v>
      </c>
      <c r="DP51" s="133">
        <f t="shared" ref="DP51" si="1472">DO51</f>
        <v>447585</v>
      </c>
      <c r="DQ51" s="133">
        <f t="shared" ref="DQ51" si="1473">DP51</f>
        <v>447585</v>
      </c>
      <c r="DR51" s="133">
        <f>ROUND(DQ51*(1+取值表!$D$6)*取值表!$H$6,0)</f>
        <v>443928</v>
      </c>
      <c r="DS51" s="133">
        <f t="shared" ref="DS51" si="1474">DR51</f>
        <v>443928</v>
      </c>
      <c r="DT51" s="133">
        <f t="shared" ref="DT51" si="1475">DS51</f>
        <v>443928</v>
      </c>
      <c r="DU51" s="133">
        <f t="shared" ref="DU51" si="1476">DT51</f>
        <v>443928</v>
      </c>
      <c r="DV51" s="133">
        <f>ROUND(DU51*(1+取值表!$D$6)*取值表!$H$6,0)</f>
        <v>440301</v>
      </c>
      <c r="DW51" s="133">
        <f t="shared" ref="DW51" si="1477">DV51</f>
        <v>440301</v>
      </c>
      <c r="DX51" s="133">
        <f t="shared" ref="DX51" si="1478">DW51</f>
        <v>440301</v>
      </c>
      <c r="DY51" s="133">
        <f t="shared" ref="DY51" si="1479">DX51</f>
        <v>440301</v>
      </c>
      <c r="DZ51" s="133">
        <f>ROUND(DY51*(1+取值表!$D$6)*取值表!$H$6,0)</f>
        <v>436703</v>
      </c>
      <c r="EA51" s="133">
        <f t="shared" ref="EA51" si="1480">DZ51</f>
        <v>436703</v>
      </c>
      <c r="EB51" s="133">
        <f t="shared" ref="EB51" si="1481">EA51</f>
        <v>436703</v>
      </c>
      <c r="EC51" s="133">
        <f t="shared" ref="EC51" si="1482">EB51</f>
        <v>436703</v>
      </c>
      <c r="ED51" s="133">
        <f>ROUND(EC51*(1+取值表!$D$6)*取值表!$H$6,0)</f>
        <v>433135</v>
      </c>
      <c r="EE51" s="133">
        <f t="shared" ref="EE51" si="1483">ED51</f>
        <v>433135</v>
      </c>
      <c r="EF51" s="133">
        <f t="shared" ref="EF51" si="1484">EE51</f>
        <v>433135</v>
      </c>
      <c r="EG51" s="133">
        <f t="shared" ref="EG51" si="1485">EF51</f>
        <v>433135</v>
      </c>
      <c r="EH51" s="133">
        <f>ROUND(EG51*(1+取值表!$D$6)*取值表!$H$6,0)</f>
        <v>429596</v>
      </c>
      <c r="EI51" s="133">
        <f t="shared" ref="EI51" si="1486">EH51</f>
        <v>429596</v>
      </c>
      <c r="EJ51" s="133">
        <f t="shared" ref="EJ51" si="1487">EI51</f>
        <v>429596</v>
      </c>
      <c r="EK51" s="133">
        <f t="shared" ref="EK51" si="1488">EJ51</f>
        <v>429596</v>
      </c>
      <c r="EL51" s="133">
        <f>ROUND(EK51*(1+取值表!$D$6)*取值表!$H$6,0)</f>
        <v>426086</v>
      </c>
      <c r="EM51" s="133">
        <f t="shared" ref="EM51" si="1489">EL51</f>
        <v>426086</v>
      </c>
      <c r="EN51" s="133">
        <f t="shared" ref="EN51" si="1490">EM51</f>
        <v>426086</v>
      </c>
      <c r="EO51" s="133">
        <f t="shared" ref="EO51" si="1491">EN51</f>
        <v>426086</v>
      </c>
      <c r="EP51" s="133">
        <f>ROUND(EO51*(1+取值表!$D$6)*取值表!$H$6,0)</f>
        <v>422604</v>
      </c>
      <c r="EQ51" s="133">
        <f t="shared" ref="EQ51" si="1492">EP51</f>
        <v>422604</v>
      </c>
      <c r="ER51" s="133">
        <f t="shared" ref="ER51" si="1493">EQ51</f>
        <v>422604</v>
      </c>
      <c r="ES51" s="133">
        <f t="shared" ref="ES51" si="1494">ER51</f>
        <v>422604</v>
      </c>
      <c r="ET51" s="133">
        <f t="shared" si="39"/>
        <v>68253452</v>
      </c>
    </row>
    <row r="52" spans="1:151">
      <c r="A52" s="402"/>
      <c r="B52" s="406"/>
      <c r="C52" s="483"/>
      <c r="D52" s="401"/>
      <c r="E52" s="398"/>
      <c r="F52" s="399"/>
      <c r="G52" s="399"/>
      <c r="H52" s="482"/>
      <c r="I52" s="129"/>
      <c r="J52" s="131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>
        <f t="shared" si="39"/>
        <v>0</v>
      </c>
    </row>
    <row r="53" spans="1:151" ht="12" customHeight="1">
      <c r="A53" s="402">
        <v>26</v>
      </c>
      <c r="B53" s="406" t="s">
        <v>1106</v>
      </c>
      <c r="C53" s="400" t="s">
        <v>1107</v>
      </c>
      <c r="D53" s="401" t="s">
        <v>437</v>
      </c>
      <c r="E53" s="398" t="s">
        <v>422</v>
      </c>
      <c r="F53" s="399">
        <v>107.27</v>
      </c>
      <c r="G53" s="399">
        <v>23</v>
      </c>
      <c r="H53" s="482">
        <f>F53*G53*365</f>
        <v>900531.65</v>
      </c>
      <c r="I53" s="129">
        <v>195767.7</v>
      </c>
      <c r="J53" s="131">
        <f>ROUND(G53*F53*365/4,0)</f>
        <v>225133</v>
      </c>
      <c r="K53" s="132">
        <f>J53</f>
        <v>225133</v>
      </c>
      <c r="L53" s="133">
        <f>K53</f>
        <v>225133</v>
      </c>
      <c r="M53" s="133">
        <f>L53</f>
        <v>225133</v>
      </c>
      <c r="N53" s="133">
        <f>ROUND(M53*(1+取值表!$D$6)*取值表!$H$6,0)</f>
        <v>223293</v>
      </c>
      <c r="O53" s="133">
        <f>N53</f>
        <v>223293</v>
      </c>
      <c r="P53" s="133">
        <f>O53</f>
        <v>223293</v>
      </c>
      <c r="Q53" s="133">
        <f>P53</f>
        <v>223293</v>
      </c>
      <c r="R53" s="133">
        <f>ROUND(Q53*(1+取值表!$D$6)*取值表!$H$6,0)</f>
        <v>221468</v>
      </c>
      <c r="S53" s="133">
        <f t="shared" ref="S53:U53" si="1495">R53</f>
        <v>221468</v>
      </c>
      <c r="T53" s="133">
        <f t="shared" si="1495"/>
        <v>221468</v>
      </c>
      <c r="U53" s="133">
        <f t="shared" si="1495"/>
        <v>221468</v>
      </c>
      <c r="V53" s="133">
        <f>ROUND(U53*(1+取值表!$D$6)*取值表!$H$6,0)</f>
        <v>219658</v>
      </c>
      <c r="W53" s="133">
        <f t="shared" ref="W53:Y53" si="1496">V53</f>
        <v>219658</v>
      </c>
      <c r="X53" s="133">
        <f t="shared" si="1496"/>
        <v>219658</v>
      </c>
      <c r="Y53" s="133">
        <f t="shared" si="1496"/>
        <v>219658</v>
      </c>
      <c r="Z53" s="133">
        <f>ROUND(Y53*(1+取值表!$D$6)*取值表!$H$6,0)</f>
        <v>217863</v>
      </c>
      <c r="AA53" s="133">
        <f t="shared" ref="AA53:AC53" si="1497">Z53</f>
        <v>217863</v>
      </c>
      <c r="AB53" s="133">
        <f t="shared" si="1497"/>
        <v>217863</v>
      </c>
      <c r="AC53" s="133">
        <f t="shared" si="1497"/>
        <v>217863</v>
      </c>
      <c r="AD53" s="133">
        <f>ROUND(AC53*(1+取值表!$D$6)*取值表!$H$6,0)</f>
        <v>216083</v>
      </c>
      <c r="AE53" s="133">
        <f t="shared" ref="AE53:AG53" si="1498">AD53</f>
        <v>216083</v>
      </c>
      <c r="AF53" s="133">
        <f t="shared" si="1498"/>
        <v>216083</v>
      </c>
      <c r="AG53" s="133">
        <f t="shared" si="1498"/>
        <v>216083</v>
      </c>
      <c r="AH53" s="133">
        <f>ROUND(AG53*(1+取值表!$D$6)*取值表!$H$6,0)</f>
        <v>214317</v>
      </c>
      <c r="AI53" s="133">
        <f t="shared" ref="AI53:AK53" si="1499">AH53</f>
        <v>214317</v>
      </c>
      <c r="AJ53" s="133">
        <f t="shared" si="1499"/>
        <v>214317</v>
      </c>
      <c r="AK53" s="133">
        <f t="shared" si="1499"/>
        <v>214317</v>
      </c>
      <c r="AL53" s="133">
        <f>ROUND(AK53*(1+取值表!$D$6)*取值表!$H$6,0)</f>
        <v>212566</v>
      </c>
      <c r="AM53" s="133">
        <f t="shared" ref="AM53:AO53" si="1500">AL53</f>
        <v>212566</v>
      </c>
      <c r="AN53" s="133">
        <f t="shared" si="1500"/>
        <v>212566</v>
      </c>
      <c r="AO53" s="133">
        <f t="shared" si="1500"/>
        <v>212566</v>
      </c>
      <c r="AP53" s="133">
        <f>ROUND(AO53*(1+取值表!$D$6)*取值表!$H$6,0)</f>
        <v>210829</v>
      </c>
      <c r="AQ53" s="133">
        <f t="shared" ref="AQ53:AS53" si="1501">AP53</f>
        <v>210829</v>
      </c>
      <c r="AR53" s="133">
        <f t="shared" si="1501"/>
        <v>210829</v>
      </c>
      <c r="AS53" s="133">
        <f t="shared" si="1501"/>
        <v>210829</v>
      </c>
      <c r="AT53" s="133">
        <f>ROUND(AS53*(1+取值表!$D$6)*取值表!$H$6,0)</f>
        <v>209106</v>
      </c>
      <c r="AU53" s="133">
        <f t="shared" ref="AU53:AW53" si="1502">AT53</f>
        <v>209106</v>
      </c>
      <c r="AV53" s="133">
        <f t="shared" si="1502"/>
        <v>209106</v>
      </c>
      <c r="AW53" s="133">
        <f t="shared" si="1502"/>
        <v>209106</v>
      </c>
      <c r="AX53" s="133">
        <f>ROUND(AW53*(1+取值表!$D$6)*取值表!$H$6,0)</f>
        <v>207397</v>
      </c>
      <c r="AY53" s="133">
        <f t="shared" ref="AY53:BA53" si="1503">AX53</f>
        <v>207397</v>
      </c>
      <c r="AZ53" s="133">
        <f t="shared" si="1503"/>
        <v>207397</v>
      </c>
      <c r="BA53" s="133">
        <f t="shared" si="1503"/>
        <v>207397</v>
      </c>
      <c r="BB53" s="133">
        <f>ROUND(BA53*(1+取值表!$D$6)*取值表!$H$6,0)</f>
        <v>205702</v>
      </c>
      <c r="BC53" s="133">
        <f t="shared" ref="BC53:BE53" si="1504">BB53</f>
        <v>205702</v>
      </c>
      <c r="BD53" s="133">
        <f t="shared" si="1504"/>
        <v>205702</v>
      </c>
      <c r="BE53" s="133">
        <f t="shared" si="1504"/>
        <v>205702</v>
      </c>
      <c r="BF53" s="133">
        <f>ROUND(BE53*(1+取值表!$D$6)*取值表!$H$6,0)</f>
        <v>204021</v>
      </c>
      <c r="BG53" s="133">
        <f t="shared" ref="BG53:BI53" si="1505">BF53</f>
        <v>204021</v>
      </c>
      <c r="BH53" s="133">
        <f t="shared" si="1505"/>
        <v>204021</v>
      </c>
      <c r="BI53" s="133">
        <f t="shared" si="1505"/>
        <v>204021</v>
      </c>
      <c r="BJ53" s="133">
        <f>ROUND(BI53*(1+取值表!$D$6)*取值表!$H$6,0)</f>
        <v>202354</v>
      </c>
      <c r="BK53" s="133">
        <f t="shared" ref="BK53:BM53" si="1506">BJ53</f>
        <v>202354</v>
      </c>
      <c r="BL53" s="133">
        <f t="shared" si="1506"/>
        <v>202354</v>
      </c>
      <c r="BM53" s="133">
        <f t="shared" si="1506"/>
        <v>202354</v>
      </c>
      <c r="BN53" s="133">
        <f>ROUND(BM53*(1+取值表!$D$6)*取值表!$H$6,0)</f>
        <v>200701</v>
      </c>
      <c r="BO53" s="133">
        <f t="shared" ref="BO53:BQ53" si="1507">BN53</f>
        <v>200701</v>
      </c>
      <c r="BP53" s="133">
        <f t="shared" si="1507"/>
        <v>200701</v>
      </c>
      <c r="BQ53" s="133">
        <f t="shared" si="1507"/>
        <v>200701</v>
      </c>
      <c r="BR53" s="133">
        <f>ROUND(BQ53*(1+取值表!$D$6)*取值表!$H$6,0)</f>
        <v>199061</v>
      </c>
      <c r="BS53" s="133">
        <f t="shared" ref="BS53:BU53" si="1508">BR53</f>
        <v>199061</v>
      </c>
      <c r="BT53" s="133">
        <f t="shared" si="1508"/>
        <v>199061</v>
      </c>
      <c r="BU53" s="133">
        <f t="shared" si="1508"/>
        <v>199061</v>
      </c>
      <c r="BV53" s="133">
        <f>ROUND(BU53*(1+取值表!$D$6)*取值表!$H$6,0)</f>
        <v>197434</v>
      </c>
      <c r="BW53" s="133">
        <f t="shared" ref="BW53:BY53" si="1509">BV53</f>
        <v>197434</v>
      </c>
      <c r="BX53" s="133">
        <f t="shared" si="1509"/>
        <v>197434</v>
      </c>
      <c r="BY53" s="133">
        <f t="shared" si="1509"/>
        <v>197434</v>
      </c>
      <c r="BZ53" s="133">
        <f>ROUND(BY53*(1+取值表!$D$6)*取值表!$H$6,0)</f>
        <v>195821</v>
      </c>
      <c r="CA53" s="133">
        <f t="shared" ref="CA53:CC53" si="1510">BZ53</f>
        <v>195821</v>
      </c>
      <c r="CB53" s="133">
        <f t="shared" si="1510"/>
        <v>195821</v>
      </c>
      <c r="CC53" s="133">
        <f t="shared" si="1510"/>
        <v>195821</v>
      </c>
      <c r="CD53" s="133">
        <f>ROUND(CC53*(1+取值表!$D$6)*取值表!$H$6,0)</f>
        <v>194221</v>
      </c>
      <c r="CE53" s="133">
        <f t="shared" ref="CE53:CG53" si="1511">CD53</f>
        <v>194221</v>
      </c>
      <c r="CF53" s="133">
        <f t="shared" si="1511"/>
        <v>194221</v>
      </c>
      <c r="CG53" s="133">
        <f t="shared" si="1511"/>
        <v>194221</v>
      </c>
      <c r="CH53" s="133">
        <f>ROUND(CG53*(1+取值表!$D$6)*取值表!$H$6,0)</f>
        <v>192634</v>
      </c>
      <c r="CI53" s="133">
        <f t="shared" ref="CI53:CK53" si="1512">CH53</f>
        <v>192634</v>
      </c>
      <c r="CJ53" s="133">
        <f t="shared" si="1512"/>
        <v>192634</v>
      </c>
      <c r="CK53" s="133">
        <f t="shared" si="1512"/>
        <v>192634</v>
      </c>
      <c r="CL53" s="133">
        <f>ROUND(CK53*(1+取值表!$D$6)*取值表!$H$6,0)</f>
        <v>191060</v>
      </c>
      <c r="CM53" s="133">
        <f t="shared" ref="CM53:CO53" si="1513">CL53</f>
        <v>191060</v>
      </c>
      <c r="CN53" s="133">
        <f t="shared" si="1513"/>
        <v>191060</v>
      </c>
      <c r="CO53" s="133">
        <f t="shared" si="1513"/>
        <v>191060</v>
      </c>
      <c r="CP53" s="133">
        <f>ROUND(CO53*(1+取值表!$D$6)*取值表!$H$6,0)</f>
        <v>189499</v>
      </c>
      <c r="CQ53" s="133">
        <f t="shared" ref="CQ53" si="1514">CP53</f>
        <v>189499</v>
      </c>
      <c r="CR53" s="133">
        <f t="shared" ref="CR53" si="1515">CQ53</f>
        <v>189499</v>
      </c>
      <c r="CS53" s="133">
        <f t="shared" ref="CS53" si="1516">CR53</f>
        <v>189499</v>
      </c>
      <c r="CT53" s="133">
        <f>ROUND(CS53*(1+取值表!$D$6)*取值表!$H$6,0)</f>
        <v>187951</v>
      </c>
      <c r="CU53" s="133">
        <f t="shared" ref="CU53" si="1517">CT53</f>
        <v>187951</v>
      </c>
      <c r="CV53" s="133">
        <f t="shared" ref="CV53" si="1518">CU53</f>
        <v>187951</v>
      </c>
      <c r="CW53" s="133">
        <f t="shared" ref="CW53" si="1519">CV53</f>
        <v>187951</v>
      </c>
      <c r="CX53" s="133">
        <f>ROUND(CW53*(1+取值表!$D$6)*取值表!$H$6,0)</f>
        <v>186415</v>
      </c>
      <c r="CY53" s="133">
        <f t="shared" ref="CY53" si="1520">CX53</f>
        <v>186415</v>
      </c>
      <c r="CZ53" s="133">
        <f t="shared" ref="CZ53" si="1521">CY53</f>
        <v>186415</v>
      </c>
      <c r="DA53" s="133">
        <f t="shared" ref="DA53" si="1522">CZ53</f>
        <v>186415</v>
      </c>
      <c r="DB53" s="133">
        <f>ROUND(DA53*(1+取值表!$D$6)*取值表!$H$6,0)</f>
        <v>184892</v>
      </c>
      <c r="DC53" s="133">
        <f t="shared" ref="DC53" si="1523">DB53</f>
        <v>184892</v>
      </c>
      <c r="DD53" s="133">
        <f t="shared" ref="DD53" si="1524">DC53</f>
        <v>184892</v>
      </c>
      <c r="DE53" s="133">
        <f t="shared" ref="DE53" si="1525">DD53</f>
        <v>184892</v>
      </c>
      <c r="DF53" s="133">
        <f>ROUND(DE53*(1+取值表!$D$6)*取值表!$H$6,0)</f>
        <v>183381</v>
      </c>
      <c r="DG53" s="133">
        <f t="shared" ref="DG53" si="1526">DF53</f>
        <v>183381</v>
      </c>
      <c r="DH53" s="133">
        <f t="shared" ref="DH53" si="1527">DG53</f>
        <v>183381</v>
      </c>
      <c r="DI53" s="133">
        <f t="shared" ref="DI53" si="1528">DH53</f>
        <v>183381</v>
      </c>
      <c r="DJ53" s="133">
        <f>ROUND(DI53*(1+取值表!$D$6)*取值表!$H$6,0)</f>
        <v>181883</v>
      </c>
      <c r="DK53" s="133">
        <f t="shared" ref="DK53" si="1529">DJ53</f>
        <v>181883</v>
      </c>
      <c r="DL53" s="133">
        <f t="shared" ref="DL53" si="1530">DK53</f>
        <v>181883</v>
      </c>
      <c r="DM53" s="133">
        <f t="shared" ref="DM53" si="1531">DL53</f>
        <v>181883</v>
      </c>
      <c r="DN53" s="133">
        <f>ROUND(DM53*(1+取值表!$D$6)*取值表!$H$6,0)</f>
        <v>180397</v>
      </c>
      <c r="DO53" s="133">
        <f t="shared" ref="DO53" si="1532">DN53</f>
        <v>180397</v>
      </c>
      <c r="DP53" s="133">
        <f t="shared" ref="DP53" si="1533">DO53</f>
        <v>180397</v>
      </c>
      <c r="DQ53" s="133">
        <f t="shared" ref="DQ53" si="1534">DP53</f>
        <v>180397</v>
      </c>
      <c r="DR53" s="133">
        <f>ROUND(DQ53*(1+取值表!$D$6)*取值表!$H$6,0)</f>
        <v>178923</v>
      </c>
      <c r="DS53" s="133">
        <f t="shared" ref="DS53" si="1535">DR53</f>
        <v>178923</v>
      </c>
      <c r="DT53" s="133">
        <f t="shared" ref="DT53" si="1536">DS53</f>
        <v>178923</v>
      </c>
      <c r="DU53" s="133">
        <f t="shared" ref="DU53" si="1537">DT53</f>
        <v>178923</v>
      </c>
      <c r="DV53" s="133">
        <f>ROUND(DU53*(1+取值表!$D$6)*取值表!$H$6,0)</f>
        <v>177461</v>
      </c>
      <c r="DW53" s="133">
        <f t="shared" ref="DW53" si="1538">DV53</f>
        <v>177461</v>
      </c>
      <c r="DX53" s="133">
        <f t="shared" ref="DX53" si="1539">DW53</f>
        <v>177461</v>
      </c>
      <c r="DY53" s="133">
        <f t="shared" ref="DY53" si="1540">DX53</f>
        <v>177461</v>
      </c>
      <c r="DZ53" s="133">
        <f>ROUND(DY53*(1+取值表!$D$6)*取值表!$H$6,0)</f>
        <v>176011</v>
      </c>
      <c r="EA53" s="133">
        <f t="shared" ref="EA53" si="1541">DZ53</f>
        <v>176011</v>
      </c>
      <c r="EB53" s="133">
        <f t="shared" ref="EB53" si="1542">EA53</f>
        <v>176011</v>
      </c>
      <c r="EC53" s="133">
        <f t="shared" ref="EC53" si="1543">EB53</f>
        <v>176011</v>
      </c>
      <c r="ED53" s="133">
        <f>ROUND(EC53*(1+取值表!$D$6)*取值表!$H$6,0)</f>
        <v>174573</v>
      </c>
      <c r="EE53" s="133">
        <f t="shared" ref="EE53" si="1544">ED53</f>
        <v>174573</v>
      </c>
      <c r="EF53" s="133">
        <f t="shared" ref="EF53" si="1545">EE53</f>
        <v>174573</v>
      </c>
      <c r="EG53" s="133">
        <f t="shared" ref="EG53" si="1546">EF53</f>
        <v>174573</v>
      </c>
      <c r="EH53" s="133">
        <f>ROUND(EG53*(1+取值表!$D$6)*取值表!$H$6,0)</f>
        <v>173147</v>
      </c>
      <c r="EI53" s="133">
        <f t="shared" ref="EI53" si="1547">EH53</f>
        <v>173147</v>
      </c>
      <c r="EJ53" s="133">
        <f t="shared" ref="EJ53" si="1548">EI53</f>
        <v>173147</v>
      </c>
      <c r="EK53" s="133">
        <f t="shared" ref="EK53" si="1549">EJ53</f>
        <v>173147</v>
      </c>
      <c r="EL53" s="133">
        <f>ROUND(EK53*(1+取值表!$D$6)*取值表!$H$6,0)</f>
        <v>171732</v>
      </c>
      <c r="EM53" s="133">
        <f t="shared" ref="EM53" si="1550">EL53</f>
        <v>171732</v>
      </c>
      <c r="EN53" s="133">
        <f t="shared" ref="EN53" si="1551">EM53</f>
        <v>171732</v>
      </c>
      <c r="EO53" s="133">
        <f t="shared" ref="EO53" si="1552">EN53</f>
        <v>171732</v>
      </c>
      <c r="EP53" s="133">
        <f>ROUND(EO53*(1+取值表!$D$6)*取值表!$H$6,0)</f>
        <v>170329</v>
      </c>
      <c r="EQ53" s="133">
        <f t="shared" ref="EQ53" si="1553">EP53</f>
        <v>170329</v>
      </c>
      <c r="ER53" s="133">
        <f t="shared" ref="ER53" si="1554">EQ53</f>
        <v>170329</v>
      </c>
      <c r="ES53" s="133">
        <f t="shared" ref="ES53" si="1555">ER53</f>
        <v>170329</v>
      </c>
      <c r="ET53" s="133">
        <f t="shared" si="39"/>
        <v>27509264</v>
      </c>
    </row>
    <row r="54" spans="1:151">
      <c r="A54" s="402"/>
      <c r="B54" s="406"/>
      <c r="C54" s="400"/>
      <c r="D54" s="401"/>
      <c r="E54" s="398"/>
      <c r="F54" s="399"/>
      <c r="G54" s="399"/>
      <c r="H54" s="482"/>
      <c r="I54" s="129"/>
      <c r="J54" s="131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>
        <f t="shared" si="39"/>
        <v>0</v>
      </c>
    </row>
    <row r="55" spans="1:151" ht="15.75" customHeight="1">
      <c r="A55" s="402">
        <v>27</v>
      </c>
      <c r="B55" s="406" t="s">
        <v>1108</v>
      </c>
      <c r="C55" s="400" t="s">
        <v>1109</v>
      </c>
      <c r="D55" s="401" t="s">
        <v>438</v>
      </c>
      <c r="E55" s="398" t="s">
        <v>422</v>
      </c>
      <c r="F55" s="399">
        <v>93.97</v>
      </c>
      <c r="G55" s="399">
        <v>25.5</v>
      </c>
      <c r="H55" s="482">
        <f>F55*G55*365</f>
        <v>874625.77500000002</v>
      </c>
      <c r="I55" s="129">
        <v>218656.44</v>
      </c>
      <c r="J55" s="131">
        <f>ROUND(G55*F55*365/4,0)</f>
        <v>218656</v>
      </c>
      <c r="K55" s="132">
        <f>J55</f>
        <v>218656</v>
      </c>
      <c r="L55" s="133">
        <f>K55</f>
        <v>218656</v>
      </c>
      <c r="M55" s="133">
        <f>L55</f>
        <v>218656</v>
      </c>
      <c r="N55" s="133">
        <f>ROUND(M55*(1+取值表!$D$6)*取值表!$H$6,0)</f>
        <v>216869</v>
      </c>
      <c r="O55" s="133">
        <f>N55</f>
        <v>216869</v>
      </c>
      <c r="P55" s="133">
        <f>O55</f>
        <v>216869</v>
      </c>
      <c r="Q55" s="133">
        <f>P55</f>
        <v>216869</v>
      </c>
      <c r="R55" s="133">
        <f>ROUND(Q55*(1+取值表!$D$6)*取值表!$H$6,0)</f>
        <v>215097</v>
      </c>
      <c r="S55" s="133">
        <f t="shared" ref="S55:U55" si="1556">R55</f>
        <v>215097</v>
      </c>
      <c r="T55" s="133">
        <f t="shared" si="1556"/>
        <v>215097</v>
      </c>
      <c r="U55" s="133">
        <f t="shared" si="1556"/>
        <v>215097</v>
      </c>
      <c r="V55" s="133">
        <f>ROUND(U55*(1+取值表!$D$6)*取值表!$H$6,0)</f>
        <v>213339</v>
      </c>
      <c r="W55" s="133">
        <f t="shared" ref="W55:Y55" si="1557">V55</f>
        <v>213339</v>
      </c>
      <c r="X55" s="133">
        <f t="shared" si="1557"/>
        <v>213339</v>
      </c>
      <c r="Y55" s="133">
        <f t="shared" si="1557"/>
        <v>213339</v>
      </c>
      <c r="Z55" s="133">
        <f>ROUND(Y55*(1+取值表!$D$6)*取值表!$H$6,0)</f>
        <v>211596</v>
      </c>
      <c r="AA55" s="133">
        <f t="shared" ref="AA55:AC55" si="1558">Z55</f>
        <v>211596</v>
      </c>
      <c r="AB55" s="133">
        <f t="shared" si="1558"/>
        <v>211596</v>
      </c>
      <c r="AC55" s="133">
        <f t="shared" si="1558"/>
        <v>211596</v>
      </c>
      <c r="AD55" s="133">
        <f>ROUND(AC55*(1+取值表!$D$6)*取值表!$H$6,0)</f>
        <v>209867</v>
      </c>
      <c r="AE55" s="133">
        <f t="shared" ref="AE55:AG55" si="1559">AD55</f>
        <v>209867</v>
      </c>
      <c r="AF55" s="133">
        <f t="shared" si="1559"/>
        <v>209867</v>
      </c>
      <c r="AG55" s="133">
        <f t="shared" si="1559"/>
        <v>209867</v>
      </c>
      <c r="AH55" s="133">
        <f>ROUND(AG55*(1+取值表!$D$6)*取值表!$H$6,0)</f>
        <v>208152</v>
      </c>
      <c r="AI55" s="133">
        <f t="shared" ref="AI55:AK55" si="1560">AH55</f>
        <v>208152</v>
      </c>
      <c r="AJ55" s="133">
        <f t="shared" si="1560"/>
        <v>208152</v>
      </c>
      <c r="AK55" s="133">
        <f t="shared" si="1560"/>
        <v>208152</v>
      </c>
      <c r="AL55" s="133">
        <f>ROUND(AK55*(1+取值表!$D$6)*取值表!$H$6,0)</f>
        <v>206451</v>
      </c>
      <c r="AM55" s="133">
        <f t="shared" ref="AM55:AO55" si="1561">AL55</f>
        <v>206451</v>
      </c>
      <c r="AN55" s="133">
        <f t="shared" si="1561"/>
        <v>206451</v>
      </c>
      <c r="AO55" s="133">
        <f t="shared" si="1561"/>
        <v>206451</v>
      </c>
      <c r="AP55" s="133">
        <f>ROUND(AO55*(1+取值表!$D$6)*取值表!$H$6,0)</f>
        <v>204764</v>
      </c>
      <c r="AQ55" s="133">
        <f t="shared" ref="AQ55:AS55" si="1562">AP55</f>
        <v>204764</v>
      </c>
      <c r="AR55" s="133">
        <f t="shared" si="1562"/>
        <v>204764</v>
      </c>
      <c r="AS55" s="133">
        <f t="shared" si="1562"/>
        <v>204764</v>
      </c>
      <c r="AT55" s="133">
        <f>ROUND(AS55*(1+取值表!$D$6)*取值表!$H$6,0)</f>
        <v>203091</v>
      </c>
      <c r="AU55" s="133">
        <f t="shared" ref="AU55:AW55" si="1563">AT55</f>
        <v>203091</v>
      </c>
      <c r="AV55" s="133">
        <f t="shared" si="1563"/>
        <v>203091</v>
      </c>
      <c r="AW55" s="133">
        <f t="shared" si="1563"/>
        <v>203091</v>
      </c>
      <c r="AX55" s="133">
        <f>ROUND(AW55*(1+取值表!$D$6)*取值表!$H$6,0)</f>
        <v>201432</v>
      </c>
      <c r="AY55" s="133">
        <f t="shared" ref="AY55:BA55" si="1564">AX55</f>
        <v>201432</v>
      </c>
      <c r="AZ55" s="133">
        <f t="shared" si="1564"/>
        <v>201432</v>
      </c>
      <c r="BA55" s="133">
        <f t="shared" si="1564"/>
        <v>201432</v>
      </c>
      <c r="BB55" s="133">
        <f>ROUND(BA55*(1+取值表!$D$6)*取值表!$H$6,0)</f>
        <v>199786</v>
      </c>
      <c r="BC55" s="133">
        <f t="shared" ref="BC55:BE55" si="1565">BB55</f>
        <v>199786</v>
      </c>
      <c r="BD55" s="133">
        <f t="shared" si="1565"/>
        <v>199786</v>
      </c>
      <c r="BE55" s="133">
        <f t="shared" si="1565"/>
        <v>199786</v>
      </c>
      <c r="BF55" s="133">
        <f>ROUND(BE55*(1+取值表!$D$6)*取值表!$H$6,0)</f>
        <v>198154</v>
      </c>
      <c r="BG55" s="133">
        <f t="shared" ref="BG55:BI55" si="1566">BF55</f>
        <v>198154</v>
      </c>
      <c r="BH55" s="133">
        <f t="shared" si="1566"/>
        <v>198154</v>
      </c>
      <c r="BI55" s="133">
        <f t="shared" si="1566"/>
        <v>198154</v>
      </c>
      <c r="BJ55" s="133">
        <f>ROUND(BI55*(1+取值表!$D$6)*取值表!$H$6,0)</f>
        <v>196535</v>
      </c>
      <c r="BK55" s="133">
        <f t="shared" ref="BK55:BM55" si="1567">BJ55</f>
        <v>196535</v>
      </c>
      <c r="BL55" s="133">
        <f t="shared" si="1567"/>
        <v>196535</v>
      </c>
      <c r="BM55" s="133">
        <f t="shared" si="1567"/>
        <v>196535</v>
      </c>
      <c r="BN55" s="133">
        <f>ROUND(BM55*(1+取值表!$D$6)*取值表!$H$6,0)</f>
        <v>194929</v>
      </c>
      <c r="BO55" s="133">
        <f t="shared" ref="BO55:BQ55" si="1568">BN55</f>
        <v>194929</v>
      </c>
      <c r="BP55" s="133">
        <f t="shared" si="1568"/>
        <v>194929</v>
      </c>
      <c r="BQ55" s="133">
        <f t="shared" si="1568"/>
        <v>194929</v>
      </c>
      <c r="BR55" s="133">
        <f>ROUND(BQ55*(1+取值表!$D$6)*取值表!$H$6,0)</f>
        <v>193336</v>
      </c>
      <c r="BS55" s="133">
        <f t="shared" ref="BS55:BU55" si="1569">BR55</f>
        <v>193336</v>
      </c>
      <c r="BT55" s="133">
        <f t="shared" si="1569"/>
        <v>193336</v>
      </c>
      <c r="BU55" s="133">
        <f t="shared" si="1569"/>
        <v>193336</v>
      </c>
      <c r="BV55" s="133">
        <f>ROUND(BU55*(1+取值表!$D$6)*取值表!$H$6,0)</f>
        <v>191756</v>
      </c>
      <c r="BW55" s="133">
        <f t="shared" ref="BW55:BY55" si="1570">BV55</f>
        <v>191756</v>
      </c>
      <c r="BX55" s="133">
        <f t="shared" si="1570"/>
        <v>191756</v>
      </c>
      <c r="BY55" s="133">
        <f t="shared" si="1570"/>
        <v>191756</v>
      </c>
      <c r="BZ55" s="133">
        <f>ROUND(BY55*(1+取值表!$D$6)*取值表!$H$6,0)</f>
        <v>190189</v>
      </c>
      <c r="CA55" s="133">
        <f t="shared" ref="CA55:CC55" si="1571">BZ55</f>
        <v>190189</v>
      </c>
      <c r="CB55" s="133">
        <f t="shared" si="1571"/>
        <v>190189</v>
      </c>
      <c r="CC55" s="133">
        <f t="shared" si="1571"/>
        <v>190189</v>
      </c>
      <c r="CD55" s="133">
        <f>ROUND(CC55*(1+取值表!$D$6)*取值表!$H$6,0)</f>
        <v>188635</v>
      </c>
      <c r="CE55" s="133">
        <f t="shared" ref="CE55:CG55" si="1572">CD55</f>
        <v>188635</v>
      </c>
      <c r="CF55" s="133">
        <f t="shared" si="1572"/>
        <v>188635</v>
      </c>
      <c r="CG55" s="133">
        <f t="shared" si="1572"/>
        <v>188635</v>
      </c>
      <c r="CH55" s="133">
        <f>ROUND(CG55*(1+取值表!$D$6)*取值表!$H$6,0)</f>
        <v>187094</v>
      </c>
      <c r="CI55" s="133">
        <f t="shared" ref="CI55:CK55" si="1573">CH55</f>
        <v>187094</v>
      </c>
      <c r="CJ55" s="133">
        <f t="shared" si="1573"/>
        <v>187094</v>
      </c>
      <c r="CK55" s="133">
        <f t="shared" si="1573"/>
        <v>187094</v>
      </c>
      <c r="CL55" s="133">
        <f>ROUND(CK55*(1+取值表!$D$6)*取值表!$H$6,0)</f>
        <v>185565</v>
      </c>
      <c r="CM55" s="133">
        <f t="shared" ref="CM55:CO55" si="1574">CL55</f>
        <v>185565</v>
      </c>
      <c r="CN55" s="133">
        <f t="shared" si="1574"/>
        <v>185565</v>
      </c>
      <c r="CO55" s="133">
        <f t="shared" si="1574"/>
        <v>185565</v>
      </c>
      <c r="CP55" s="133">
        <f>ROUND(CO55*(1+取值表!$D$6)*取值表!$H$6,0)</f>
        <v>184049</v>
      </c>
      <c r="CQ55" s="133">
        <f t="shared" ref="CQ55" si="1575">CP55</f>
        <v>184049</v>
      </c>
      <c r="CR55" s="133">
        <f t="shared" ref="CR55" si="1576">CQ55</f>
        <v>184049</v>
      </c>
      <c r="CS55" s="133">
        <f t="shared" ref="CS55" si="1577">CR55</f>
        <v>184049</v>
      </c>
      <c r="CT55" s="133">
        <f>ROUND(CS55*(1+取值表!$D$6)*取值表!$H$6,0)</f>
        <v>182545</v>
      </c>
      <c r="CU55" s="133">
        <f t="shared" ref="CU55" si="1578">CT55</f>
        <v>182545</v>
      </c>
      <c r="CV55" s="133">
        <f t="shared" ref="CV55" si="1579">CU55</f>
        <v>182545</v>
      </c>
      <c r="CW55" s="133">
        <f t="shared" ref="CW55" si="1580">CV55</f>
        <v>182545</v>
      </c>
      <c r="CX55" s="133">
        <f>ROUND(CW55*(1+取值表!$D$6)*取值表!$H$6,0)</f>
        <v>181053</v>
      </c>
      <c r="CY55" s="133">
        <f t="shared" ref="CY55" si="1581">CX55</f>
        <v>181053</v>
      </c>
      <c r="CZ55" s="133">
        <f t="shared" ref="CZ55" si="1582">CY55</f>
        <v>181053</v>
      </c>
      <c r="DA55" s="133">
        <f t="shared" ref="DA55" si="1583">CZ55</f>
        <v>181053</v>
      </c>
      <c r="DB55" s="133">
        <f>ROUND(DA55*(1+取值表!$D$6)*取值表!$H$6,0)</f>
        <v>179574</v>
      </c>
      <c r="DC55" s="133">
        <f t="shared" ref="DC55" si="1584">DB55</f>
        <v>179574</v>
      </c>
      <c r="DD55" s="133">
        <f t="shared" ref="DD55" si="1585">DC55</f>
        <v>179574</v>
      </c>
      <c r="DE55" s="133">
        <f t="shared" ref="DE55" si="1586">DD55</f>
        <v>179574</v>
      </c>
      <c r="DF55" s="133">
        <f>ROUND(DE55*(1+取值表!$D$6)*取值表!$H$6,0)</f>
        <v>178107</v>
      </c>
      <c r="DG55" s="133">
        <f t="shared" ref="DG55" si="1587">DF55</f>
        <v>178107</v>
      </c>
      <c r="DH55" s="133">
        <f t="shared" ref="DH55" si="1588">DG55</f>
        <v>178107</v>
      </c>
      <c r="DI55" s="133">
        <f t="shared" ref="DI55" si="1589">DH55</f>
        <v>178107</v>
      </c>
      <c r="DJ55" s="133">
        <f>ROUND(DI55*(1+取值表!$D$6)*取值表!$H$6,0)</f>
        <v>176652</v>
      </c>
      <c r="DK55" s="133">
        <f t="shared" ref="DK55" si="1590">DJ55</f>
        <v>176652</v>
      </c>
      <c r="DL55" s="133">
        <f t="shared" ref="DL55" si="1591">DK55</f>
        <v>176652</v>
      </c>
      <c r="DM55" s="133">
        <f t="shared" ref="DM55" si="1592">DL55</f>
        <v>176652</v>
      </c>
      <c r="DN55" s="133">
        <f>ROUND(DM55*(1+取值表!$D$6)*取值表!$H$6,0)</f>
        <v>175209</v>
      </c>
      <c r="DO55" s="133">
        <f t="shared" ref="DO55" si="1593">DN55</f>
        <v>175209</v>
      </c>
      <c r="DP55" s="133">
        <f t="shared" ref="DP55" si="1594">DO55</f>
        <v>175209</v>
      </c>
      <c r="DQ55" s="133">
        <f t="shared" ref="DQ55" si="1595">DP55</f>
        <v>175209</v>
      </c>
      <c r="DR55" s="133">
        <f>ROUND(DQ55*(1+取值表!$D$6)*取值表!$H$6,0)</f>
        <v>173777</v>
      </c>
      <c r="DS55" s="133">
        <f t="shared" ref="DS55" si="1596">DR55</f>
        <v>173777</v>
      </c>
      <c r="DT55" s="133">
        <f t="shared" ref="DT55" si="1597">DS55</f>
        <v>173777</v>
      </c>
      <c r="DU55" s="133">
        <f t="shared" ref="DU55" si="1598">DT55</f>
        <v>173777</v>
      </c>
      <c r="DV55" s="133">
        <f>ROUND(DU55*(1+取值表!$D$6)*取值表!$H$6,0)</f>
        <v>172357</v>
      </c>
      <c r="DW55" s="133">
        <f t="shared" ref="DW55" si="1599">DV55</f>
        <v>172357</v>
      </c>
      <c r="DX55" s="133">
        <f t="shared" ref="DX55" si="1600">DW55</f>
        <v>172357</v>
      </c>
      <c r="DY55" s="133">
        <f t="shared" ref="DY55" si="1601">DX55</f>
        <v>172357</v>
      </c>
      <c r="DZ55" s="133">
        <f>ROUND(DY55*(1+取值表!$D$6)*取值表!$H$6,0)</f>
        <v>170949</v>
      </c>
      <c r="EA55" s="133">
        <f t="shared" ref="EA55" si="1602">DZ55</f>
        <v>170949</v>
      </c>
      <c r="EB55" s="133">
        <f t="shared" ref="EB55" si="1603">EA55</f>
        <v>170949</v>
      </c>
      <c r="EC55" s="133">
        <f t="shared" ref="EC55" si="1604">EB55</f>
        <v>170949</v>
      </c>
      <c r="ED55" s="133">
        <f>ROUND(EC55*(1+取值表!$D$6)*取值表!$H$6,0)</f>
        <v>169552</v>
      </c>
      <c r="EE55" s="133">
        <f t="shared" ref="EE55" si="1605">ED55</f>
        <v>169552</v>
      </c>
      <c r="EF55" s="133">
        <f t="shared" ref="EF55" si="1606">EE55</f>
        <v>169552</v>
      </c>
      <c r="EG55" s="133">
        <f t="shared" ref="EG55" si="1607">EF55</f>
        <v>169552</v>
      </c>
      <c r="EH55" s="133">
        <f>ROUND(EG55*(1+取值表!$D$6)*取值表!$H$6,0)</f>
        <v>168167</v>
      </c>
      <c r="EI55" s="133">
        <f t="shared" ref="EI55" si="1608">EH55</f>
        <v>168167</v>
      </c>
      <c r="EJ55" s="133">
        <f t="shared" ref="EJ55" si="1609">EI55</f>
        <v>168167</v>
      </c>
      <c r="EK55" s="133">
        <f t="shared" ref="EK55" si="1610">EJ55</f>
        <v>168167</v>
      </c>
      <c r="EL55" s="133">
        <f>ROUND(EK55*(1+取值表!$D$6)*取值表!$H$6,0)</f>
        <v>166793</v>
      </c>
      <c r="EM55" s="133">
        <f t="shared" ref="EM55" si="1611">EL55</f>
        <v>166793</v>
      </c>
      <c r="EN55" s="133">
        <f t="shared" ref="EN55" si="1612">EM55</f>
        <v>166793</v>
      </c>
      <c r="EO55" s="133">
        <f t="shared" ref="EO55" si="1613">EN55</f>
        <v>166793</v>
      </c>
      <c r="EP55" s="133">
        <f>ROUND(EO55*(1+取值表!$D$6)*取值表!$H$6,0)</f>
        <v>165430</v>
      </c>
      <c r="EQ55" s="133">
        <f t="shared" ref="EQ55" si="1614">EP55</f>
        <v>165430</v>
      </c>
      <c r="ER55" s="133">
        <f t="shared" ref="ER55" si="1615">EQ55</f>
        <v>165430</v>
      </c>
      <c r="ES55" s="133">
        <f t="shared" ref="ES55" si="1616">ER55</f>
        <v>165430</v>
      </c>
      <c r="ET55" s="133">
        <f t="shared" si="39"/>
        <v>26718028</v>
      </c>
    </row>
    <row r="56" spans="1:151">
      <c r="A56" s="402"/>
      <c r="B56" s="406"/>
      <c r="C56" s="400"/>
      <c r="D56" s="401"/>
      <c r="E56" s="398"/>
      <c r="F56" s="399"/>
      <c r="G56" s="399"/>
      <c r="H56" s="482"/>
      <c r="I56" s="129"/>
      <c r="J56" s="131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>
        <f t="shared" si="39"/>
        <v>0</v>
      </c>
    </row>
    <row r="57" spans="1:151" s="179" customFormat="1" ht="12" customHeight="1">
      <c r="A57" s="402">
        <v>28</v>
      </c>
      <c r="B57" s="406" t="s">
        <v>1110</v>
      </c>
      <c r="C57" s="400" t="s">
        <v>1111</v>
      </c>
      <c r="D57" s="401" t="s">
        <v>32</v>
      </c>
      <c r="E57" s="398" t="s">
        <v>422</v>
      </c>
      <c r="F57" s="399">
        <v>92.75</v>
      </c>
      <c r="G57" s="399">
        <v>23</v>
      </c>
      <c r="H57" s="482">
        <f>F57*G57*365</f>
        <v>778636.25</v>
      </c>
      <c r="I57" s="129">
        <v>194659.06</v>
      </c>
      <c r="J57" s="131">
        <f>ROUND(G57*F57*365/4,0)</f>
        <v>194659</v>
      </c>
      <c r="K57" s="132">
        <f>J57</f>
        <v>194659</v>
      </c>
      <c r="L57" s="133">
        <f>K57</f>
        <v>194659</v>
      </c>
      <c r="M57" s="133">
        <f>L57</f>
        <v>194659</v>
      </c>
      <c r="N57" s="133">
        <f>ROUND(M57*(1+取值表!$D$6)*取值表!$H$6,0)</f>
        <v>193068</v>
      </c>
      <c r="O57" s="133">
        <f>N57</f>
        <v>193068</v>
      </c>
      <c r="P57" s="133">
        <f>O57</f>
        <v>193068</v>
      </c>
      <c r="Q57" s="133">
        <f>P57</f>
        <v>193068</v>
      </c>
      <c r="R57" s="133">
        <f>ROUND(Q57*(1+取值表!$D$6)*取值表!$H$6,0)</f>
        <v>191490</v>
      </c>
      <c r="S57" s="133">
        <f t="shared" ref="S57:U57" si="1617">R57</f>
        <v>191490</v>
      </c>
      <c r="T57" s="133">
        <f t="shared" si="1617"/>
        <v>191490</v>
      </c>
      <c r="U57" s="133">
        <f t="shared" si="1617"/>
        <v>191490</v>
      </c>
      <c r="V57" s="133">
        <f>ROUND(U57*(1+取值表!$D$6)*取值表!$H$6,0)</f>
        <v>189925</v>
      </c>
      <c r="W57" s="133">
        <f t="shared" ref="W57:Y57" si="1618">V57</f>
        <v>189925</v>
      </c>
      <c r="X57" s="133">
        <f t="shared" si="1618"/>
        <v>189925</v>
      </c>
      <c r="Y57" s="133">
        <f t="shared" si="1618"/>
        <v>189925</v>
      </c>
      <c r="Z57" s="133">
        <f>ROUND(Y57*(1+取值表!$D$6)*取值表!$H$6,0)</f>
        <v>188373</v>
      </c>
      <c r="AA57" s="133">
        <f t="shared" ref="AA57:AC57" si="1619">Z57</f>
        <v>188373</v>
      </c>
      <c r="AB57" s="133">
        <f t="shared" si="1619"/>
        <v>188373</v>
      </c>
      <c r="AC57" s="133">
        <f t="shared" si="1619"/>
        <v>188373</v>
      </c>
      <c r="AD57" s="133">
        <f>ROUND(AC57*(1+取值表!$D$6)*取值表!$H$6,0)</f>
        <v>186834</v>
      </c>
      <c r="AE57" s="133">
        <f t="shared" ref="AE57:AG57" si="1620">AD57</f>
        <v>186834</v>
      </c>
      <c r="AF57" s="133">
        <f t="shared" si="1620"/>
        <v>186834</v>
      </c>
      <c r="AG57" s="133">
        <f t="shared" si="1620"/>
        <v>186834</v>
      </c>
      <c r="AH57" s="133">
        <f>ROUND(AG57*(1+取值表!$D$6)*取值表!$H$6,0)</f>
        <v>185307</v>
      </c>
      <c r="AI57" s="133">
        <f t="shared" ref="AI57:AK57" si="1621">AH57</f>
        <v>185307</v>
      </c>
      <c r="AJ57" s="133">
        <f t="shared" si="1621"/>
        <v>185307</v>
      </c>
      <c r="AK57" s="133">
        <f t="shared" si="1621"/>
        <v>185307</v>
      </c>
      <c r="AL57" s="133">
        <f>ROUND(AK57*(1+取值表!$D$6)*取值表!$H$6,0)</f>
        <v>183793</v>
      </c>
      <c r="AM57" s="133">
        <f t="shared" ref="AM57:AO57" si="1622">AL57</f>
        <v>183793</v>
      </c>
      <c r="AN57" s="133">
        <f t="shared" si="1622"/>
        <v>183793</v>
      </c>
      <c r="AO57" s="133">
        <f t="shared" si="1622"/>
        <v>183793</v>
      </c>
      <c r="AP57" s="133">
        <f>ROUND(AO57*(1+取值表!$D$6)*取值表!$H$6,0)</f>
        <v>182291</v>
      </c>
      <c r="AQ57" s="133">
        <f t="shared" ref="AQ57:AS57" si="1623">AP57</f>
        <v>182291</v>
      </c>
      <c r="AR57" s="133">
        <f t="shared" si="1623"/>
        <v>182291</v>
      </c>
      <c r="AS57" s="133">
        <f t="shared" si="1623"/>
        <v>182291</v>
      </c>
      <c r="AT57" s="133">
        <f>ROUND(AS57*(1+取值表!$D$6)*取值表!$H$6,0)</f>
        <v>180801</v>
      </c>
      <c r="AU57" s="133">
        <f t="shared" ref="AU57:AW57" si="1624">AT57</f>
        <v>180801</v>
      </c>
      <c r="AV57" s="133">
        <f t="shared" si="1624"/>
        <v>180801</v>
      </c>
      <c r="AW57" s="133">
        <f t="shared" si="1624"/>
        <v>180801</v>
      </c>
      <c r="AX57" s="133">
        <f>ROUND(AW57*(1+取值表!$D$6)*取值表!$H$6,0)</f>
        <v>179324</v>
      </c>
      <c r="AY57" s="133">
        <f t="shared" ref="AY57:BA57" si="1625">AX57</f>
        <v>179324</v>
      </c>
      <c r="AZ57" s="133">
        <f t="shared" si="1625"/>
        <v>179324</v>
      </c>
      <c r="BA57" s="133">
        <f t="shared" si="1625"/>
        <v>179324</v>
      </c>
      <c r="BB57" s="133">
        <f>ROUND(BA57*(1+取值表!$D$6)*取值表!$H$6,0)</f>
        <v>177859</v>
      </c>
      <c r="BC57" s="133">
        <f t="shared" ref="BC57:BE57" si="1626">BB57</f>
        <v>177859</v>
      </c>
      <c r="BD57" s="133">
        <f t="shared" si="1626"/>
        <v>177859</v>
      </c>
      <c r="BE57" s="133">
        <f t="shared" si="1626"/>
        <v>177859</v>
      </c>
      <c r="BF57" s="133">
        <f>ROUND(BE57*(1+取值表!$D$6)*取值表!$H$6,0)</f>
        <v>176406</v>
      </c>
      <c r="BG57" s="133">
        <f t="shared" ref="BG57:BI57" si="1627">BF57</f>
        <v>176406</v>
      </c>
      <c r="BH57" s="133">
        <f t="shared" si="1627"/>
        <v>176406</v>
      </c>
      <c r="BI57" s="133">
        <f t="shared" si="1627"/>
        <v>176406</v>
      </c>
      <c r="BJ57" s="133">
        <f>ROUND(BI57*(1+取值表!$D$6)*取值表!$H$6,0)</f>
        <v>174965</v>
      </c>
      <c r="BK57" s="133">
        <f t="shared" ref="BK57:BM57" si="1628">BJ57</f>
        <v>174965</v>
      </c>
      <c r="BL57" s="133">
        <f t="shared" si="1628"/>
        <v>174965</v>
      </c>
      <c r="BM57" s="133">
        <f t="shared" si="1628"/>
        <v>174965</v>
      </c>
      <c r="BN57" s="133">
        <f>ROUND(BM57*(1+取值表!$D$6)*取值表!$H$6,0)</f>
        <v>173535</v>
      </c>
      <c r="BO57" s="133">
        <f t="shared" ref="BO57:BQ57" si="1629">BN57</f>
        <v>173535</v>
      </c>
      <c r="BP57" s="133">
        <f t="shared" si="1629"/>
        <v>173535</v>
      </c>
      <c r="BQ57" s="133">
        <f t="shared" si="1629"/>
        <v>173535</v>
      </c>
      <c r="BR57" s="133">
        <f>ROUND(BQ57*(1+取值表!$D$6)*取值表!$H$6,0)</f>
        <v>172117</v>
      </c>
      <c r="BS57" s="133">
        <f t="shared" ref="BS57:BU57" si="1630">BR57</f>
        <v>172117</v>
      </c>
      <c r="BT57" s="133">
        <f t="shared" si="1630"/>
        <v>172117</v>
      </c>
      <c r="BU57" s="133">
        <f t="shared" si="1630"/>
        <v>172117</v>
      </c>
      <c r="BV57" s="133">
        <f>ROUND(BU57*(1+取值表!$D$6)*取值表!$H$6,0)</f>
        <v>170711</v>
      </c>
      <c r="BW57" s="133">
        <f t="shared" ref="BW57:BY57" si="1631">BV57</f>
        <v>170711</v>
      </c>
      <c r="BX57" s="133">
        <f t="shared" si="1631"/>
        <v>170711</v>
      </c>
      <c r="BY57" s="133">
        <f t="shared" si="1631"/>
        <v>170711</v>
      </c>
      <c r="BZ57" s="133">
        <f>ROUND(BY57*(1+取值表!$D$6)*取值表!$H$6,0)</f>
        <v>169316</v>
      </c>
      <c r="CA57" s="133">
        <f t="shared" ref="CA57:CC57" si="1632">BZ57</f>
        <v>169316</v>
      </c>
      <c r="CB57" s="133">
        <f t="shared" si="1632"/>
        <v>169316</v>
      </c>
      <c r="CC57" s="133">
        <f t="shared" si="1632"/>
        <v>169316</v>
      </c>
      <c r="CD57" s="133">
        <f>ROUND(CC57*(1+取值表!$D$6)*取值表!$H$6,0)</f>
        <v>167933</v>
      </c>
      <c r="CE57" s="133">
        <f t="shared" ref="CE57:CG57" si="1633">CD57</f>
        <v>167933</v>
      </c>
      <c r="CF57" s="133">
        <f t="shared" si="1633"/>
        <v>167933</v>
      </c>
      <c r="CG57" s="133">
        <f t="shared" si="1633"/>
        <v>167933</v>
      </c>
      <c r="CH57" s="133">
        <f>ROUND(CG57*(1+取值表!$D$6)*取值表!$H$6,0)</f>
        <v>166561</v>
      </c>
      <c r="CI57" s="133">
        <f t="shared" ref="CI57:CK57" si="1634">CH57</f>
        <v>166561</v>
      </c>
      <c r="CJ57" s="133">
        <f t="shared" si="1634"/>
        <v>166561</v>
      </c>
      <c r="CK57" s="133">
        <f t="shared" si="1634"/>
        <v>166561</v>
      </c>
      <c r="CL57" s="133">
        <f>ROUND(CK57*(1+取值表!$D$6)*取值表!$H$6,0)</f>
        <v>165200</v>
      </c>
      <c r="CM57" s="133">
        <f t="shared" ref="CM57:CO57" si="1635">CL57</f>
        <v>165200</v>
      </c>
      <c r="CN57" s="133">
        <f t="shared" si="1635"/>
        <v>165200</v>
      </c>
      <c r="CO57" s="133">
        <f t="shared" si="1635"/>
        <v>165200</v>
      </c>
      <c r="CP57" s="133">
        <f>ROUND(CO57*(1+取值表!$D$6)*取值表!$H$6,0)</f>
        <v>163850</v>
      </c>
      <c r="CQ57" s="133">
        <f t="shared" ref="CQ57" si="1636">CP57</f>
        <v>163850</v>
      </c>
      <c r="CR57" s="133">
        <f t="shared" ref="CR57" si="1637">CQ57</f>
        <v>163850</v>
      </c>
      <c r="CS57" s="133">
        <f t="shared" ref="CS57" si="1638">CR57</f>
        <v>163850</v>
      </c>
      <c r="CT57" s="133">
        <f>ROUND(CS57*(1+取值表!$D$6)*取值表!$H$6,0)</f>
        <v>162511</v>
      </c>
      <c r="CU57" s="133">
        <f t="shared" ref="CU57" si="1639">CT57</f>
        <v>162511</v>
      </c>
      <c r="CV57" s="133">
        <f t="shared" ref="CV57" si="1640">CU57</f>
        <v>162511</v>
      </c>
      <c r="CW57" s="133">
        <f t="shared" ref="CW57" si="1641">CV57</f>
        <v>162511</v>
      </c>
      <c r="CX57" s="133">
        <f>ROUND(CW57*(1+取值表!$D$6)*取值表!$H$6,0)</f>
        <v>161183</v>
      </c>
      <c r="CY57" s="133">
        <f t="shared" ref="CY57" si="1642">CX57</f>
        <v>161183</v>
      </c>
      <c r="CZ57" s="133">
        <f t="shared" ref="CZ57" si="1643">CY57</f>
        <v>161183</v>
      </c>
      <c r="DA57" s="133">
        <f t="shared" ref="DA57" si="1644">CZ57</f>
        <v>161183</v>
      </c>
      <c r="DB57" s="133">
        <f>ROUND(DA57*(1+取值表!$D$6)*取值表!$H$6,0)</f>
        <v>159866</v>
      </c>
      <c r="DC57" s="133">
        <f t="shared" ref="DC57" si="1645">DB57</f>
        <v>159866</v>
      </c>
      <c r="DD57" s="133">
        <f t="shared" ref="DD57" si="1646">DC57</f>
        <v>159866</v>
      </c>
      <c r="DE57" s="133">
        <f t="shared" ref="DE57" si="1647">DD57</f>
        <v>159866</v>
      </c>
      <c r="DF57" s="133">
        <f>ROUND(DE57*(1+取值表!$D$6)*取值表!$H$6,0)</f>
        <v>158560</v>
      </c>
      <c r="DG57" s="133">
        <f t="shared" ref="DG57" si="1648">DF57</f>
        <v>158560</v>
      </c>
      <c r="DH57" s="133">
        <f t="shared" ref="DH57" si="1649">DG57</f>
        <v>158560</v>
      </c>
      <c r="DI57" s="133">
        <f t="shared" ref="DI57" si="1650">DH57</f>
        <v>158560</v>
      </c>
      <c r="DJ57" s="133">
        <f>ROUND(DI57*(1+取值表!$D$6)*取值表!$H$6,0)</f>
        <v>157264</v>
      </c>
      <c r="DK57" s="133">
        <f t="shared" ref="DK57" si="1651">DJ57</f>
        <v>157264</v>
      </c>
      <c r="DL57" s="133">
        <f t="shared" ref="DL57" si="1652">DK57</f>
        <v>157264</v>
      </c>
      <c r="DM57" s="133">
        <f t="shared" ref="DM57" si="1653">DL57</f>
        <v>157264</v>
      </c>
      <c r="DN57" s="133">
        <f>ROUND(DM57*(1+取值表!$D$6)*取值表!$H$6,0)</f>
        <v>155979</v>
      </c>
      <c r="DO57" s="133">
        <f t="shared" ref="DO57" si="1654">DN57</f>
        <v>155979</v>
      </c>
      <c r="DP57" s="133">
        <f t="shared" ref="DP57" si="1655">DO57</f>
        <v>155979</v>
      </c>
      <c r="DQ57" s="133">
        <f t="shared" ref="DQ57" si="1656">DP57</f>
        <v>155979</v>
      </c>
      <c r="DR57" s="133">
        <f>ROUND(DQ57*(1+取值表!$D$6)*取值表!$H$6,0)</f>
        <v>154704</v>
      </c>
      <c r="DS57" s="133">
        <f t="shared" ref="DS57" si="1657">DR57</f>
        <v>154704</v>
      </c>
      <c r="DT57" s="133">
        <f t="shared" ref="DT57" si="1658">DS57</f>
        <v>154704</v>
      </c>
      <c r="DU57" s="133">
        <f t="shared" ref="DU57" si="1659">DT57</f>
        <v>154704</v>
      </c>
      <c r="DV57" s="133">
        <f>ROUND(DU57*(1+取值表!$D$6)*取值表!$H$6,0)</f>
        <v>153440</v>
      </c>
      <c r="DW57" s="133">
        <f t="shared" ref="DW57" si="1660">DV57</f>
        <v>153440</v>
      </c>
      <c r="DX57" s="133">
        <f t="shared" ref="DX57" si="1661">DW57</f>
        <v>153440</v>
      </c>
      <c r="DY57" s="133">
        <f t="shared" ref="DY57" si="1662">DX57</f>
        <v>153440</v>
      </c>
      <c r="DZ57" s="133">
        <f>ROUND(DY57*(1+取值表!$D$6)*取值表!$H$6,0)</f>
        <v>152186</v>
      </c>
      <c r="EA57" s="133">
        <f t="shared" ref="EA57" si="1663">DZ57</f>
        <v>152186</v>
      </c>
      <c r="EB57" s="133">
        <f t="shared" ref="EB57" si="1664">EA57</f>
        <v>152186</v>
      </c>
      <c r="EC57" s="133">
        <f t="shared" ref="EC57" si="1665">EB57</f>
        <v>152186</v>
      </c>
      <c r="ED57" s="133">
        <f>ROUND(EC57*(1+取值表!$D$6)*取值表!$H$6,0)</f>
        <v>150942</v>
      </c>
      <c r="EE57" s="133">
        <f t="shared" ref="EE57" si="1666">ED57</f>
        <v>150942</v>
      </c>
      <c r="EF57" s="133">
        <f t="shared" ref="EF57" si="1667">EE57</f>
        <v>150942</v>
      </c>
      <c r="EG57" s="133">
        <f t="shared" ref="EG57" si="1668">EF57</f>
        <v>150942</v>
      </c>
      <c r="EH57" s="133">
        <f>ROUND(EG57*(1+取值表!$D$6)*取值表!$H$6,0)</f>
        <v>149709</v>
      </c>
      <c r="EI57" s="133">
        <f t="shared" ref="EI57" si="1669">EH57</f>
        <v>149709</v>
      </c>
      <c r="EJ57" s="133">
        <f t="shared" ref="EJ57" si="1670">EI57</f>
        <v>149709</v>
      </c>
      <c r="EK57" s="133">
        <f t="shared" ref="EK57" si="1671">EJ57</f>
        <v>149709</v>
      </c>
      <c r="EL57" s="133">
        <f>ROUND(EK57*(1+取值表!$D$6)*取值表!$H$6,0)</f>
        <v>148486</v>
      </c>
      <c r="EM57" s="133">
        <f t="shared" ref="EM57" si="1672">EL57</f>
        <v>148486</v>
      </c>
      <c r="EN57" s="133">
        <f t="shared" ref="EN57" si="1673">EM57</f>
        <v>148486</v>
      </c>
      <c r="EO57" s="133">
        <f t="shared" ref="EO57" si="1674">EN57</f>
        <v>148486</v>
      </c>
      <c r="EP57" s="133">
        <f>ROUND(EO57*(1+取值表!$D$6)*取值表!$H$6,0)</f>
        <v>147273</v>
      </c>
      <c r="EQ57" s="133">
        <f t="shared" ref="EQ57" si="1675">EP57</f>
        <v>147273</v>
      </c>
      <c r="ER57" s="133">
        <f t="shared" ref="ER57" si="1676">EQ57</f>
        <v>147273</v>
      </c>
      <c r="ES57" s="133">
        <f t="shared" ref="ES57" si="1677">ER57</f>
        <v>147273</v>
      </c>
      <c r="ET57" s="133">
        <f t="shared" si="39"/>
        <v>23785684</v>
      </c>
      <c r="EU57" s="72"/>
    </row>
    <row r="58" spans="1:151" s="179" customFormat="1">
      <c r="A58" s="402"/>
      <c r="B58" s="406"/>
      <c r="C58" s="400"/>
      <c r="D58" s="401"/>
      <c r="E58" s="398"/>
      <c r="F58" s="399"/>
      <c r="G58" s="399"/>
      <c r="H58" s="482"/>
      <c r="I58" s="129"/>
      <c r="J58" s="131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>
        <f t="shared" si="39"/>
        <v>0</v>
      </c>
      <c r="EU58" s="72"/>
    </row>
    <row r="59" spans="1:151" ht="12" customHeight="1">
      <c r="A59" s="402">
        <v>29</v>
      </c>
      <c r="B59" s="406" t="s">
        <v>1112</v>
      </c>
      <c r="C59" s="400" t="s">
        <v>1113</v>
      </c>
      <c r="D59" s="401" t="s">
        <v>33</v>
      </c>
      <c r="E59" s="398" t="s">
        <v>422</v>
      </c>
      <c r="F59" s="399">
        <v>108.93</v>
      </c>
      <c r="G59" s="399">
        <f>AVERAGE(23)</f>
        <v>23</v>
      </c>
      <c r="H59" s="482">
        <f>F59*G59*365</f>
        <v>914467.35000000009</v>
      </c>
      <c r="I59" s="129">
        <v>223646.91</v>
      </c>
      <c r="J59" s="132">
        <f>ROUND(G59*F59*365/4,0)</f>
        <v>228617</v>
      </c>
      <c r="K59" s="133">
        <f>J59</f>
        <v>228617</v>
      </c>
      <c r="L59" s="133">
        <f>K59</f>
        <v>228617</v>
      </c>
      <c r="M59" s="133">
        <f>L59</f>
        <v>228617</v>
      </c>
      <c r="N59" s="133">
        <f>ROUND(M59*(1+取值表!$D$6)*取值表!$H$6,0)</f>
        <v>226749</v>
      </c>
      <c r="O59" s="133">
        <f>N59</f>
        <v>226749</v>
      </c>
      <c r="P59" s="133">
        <f>O59</f>
        <v>226749</v>
      </c>
      <c r="Q59" s="133">
        <f>P59</f>
        <v>226749</v>
      </c>
      <c r="R59" s="133">
        <f>ROUND(Q59*(1+取值表!$D$6)*取值表!$H$6,0)</f>
        <v>224896</v>
      </c>
      <c r="S59" s="133">
        <f t="shared" ref="S59:U59" si="1678">R59</f>
        <v>224896</v>
      </c>
      <c r="T59" s="133">
        <f t="shared" si="1678"/>
        <v>224896</v>
      </c>
      <c r="U59" s="133">
        <f t="shared" si="1678"/>
        <v>224896</v>
      </c>
      <c r="V59" s="133">
        <f>ROUND(U59*(1+取值表!$D$6)*取值表!$H$6,0)</f>
        <v>223058</v>
      </c>
      <c r="W59" s="133">
        <f t="shared" ref="W59:Y59" si="1679">V59</f>
        <v>223058</v>
      </c>
      <c r="X59" s="133">
        <f t="shared" si="1679"/>
        <v>223058</v>
      </c>
      <c r="Y59" s="133">
        <f t="shared" si="1679"/>
        <v>223058</v>
      </c>
      <c r="Z59" s="133">
        <f>ROUND(Y59*(1+取值表!$D$6)*取值表!$H$6,0)</f>
        <v>221235</v>
      </c>
      <c r="AA59" s="133">
        <f t="shared" ref="AA59:AC59" si="1680">Z59</f>
        <v>221235</v>
      </c>
      <c r="AB59" s="133">
        <f t="shared" si="1680"/>
        <v>221235</v>
      </c>
      <c r="AC59" s="133">
        <f t="shared" si="1680"/>
        <v>221235</v>
      </c>
      <c r="AD59" s="133">
        <f>ROUND(AC59*(1+取值表!$D$6)*取值表!$H$6,0)</f>
        <v>219427</v>
      </c>
      <c r="AE59" s="133">
        <f t="shared" ref="AE59:AG59" si="1681">AD59</f>
        <v>219427</v>
      </c>
      <c r="AF59" s="133">
        <f t="shared" si="1681"/>
        <v>219427</v>
      </c>
      <c r="AG59" s="133">
        <f t="shared" si="1681"/>
        <v>219427</v>
      </c>
      <c r="AH59" s="133">
        <f>ROUND(AG59*(1+取值表!$D$6)*取值表!$H$6,0)</f>
        <v>217634</v>
      </c>
      <c r="AI59" s="133">
        <f t="shared" ref="AI59:AK59" si="1682">AH59</f>
        <v>217634</v>
      </c>
      <c r="AJ59" s="133">
        <f t="shared" si="1682"/>
        <v>217634</v>
      </c>
      <c r="AK59" s="133">
        <f t="shared" si="1682"/>
        <v>217634</v>
      </c>
      <c r="AL59" s="133">
        <f>ROUND(AK59*(1+取值表!$D$6)*取值表!$H$6,0)</f>
        <v>215856</v>
      </c>
      <c r="AM59" s="133">
        <f t="shared" ref="AM59:AO59" si="1683">AL59</f>
        <v>215856</v>
      </c>
      <c r="AN59" s="133">
        <f t="shared" si="1683"/>
        <v>215856</v>
      </c>
      <c r="AO59" s="133">
        <f t="shared" si="1683"/>
        <v>215856</v>
      </c>
      <c r="AP59" s="133">
        <f>ROUND(AO59*(1+取值表!$D$6)*取值表!$H$6,0)</f>
        <v>214092</v>
      </c>
      <c r="AQ59" s="133">
        <f t="shared" ref="AQ59:AS59" si="1684">AP59</f>
        <v>214092</v>
      </c>
      <c r="AR59" s="133">
        <f t="shared" si="1684"/>
        <v>214092</v>
      </c>
      <c r="AS59" s="133">
        <f t="shared" si="1684"/>
        <v>214092</v>
      </c>
      <c r="AT59" s="133">
        <f>ROUND(AS59*(1+取值表!$D$6)*取值表!$H$6,0)</f>
        <v>212343</v>
      </c>
      <c r="AU59" s="133">
        <f t="shared" ref="AU59:AW59" si="1685">AT59</f>
        <v>212343</v>
      </c>
      <c r="AV59" s="133">
        <f t="shared" si="1685"/>
        <v>212343</v>
      </c>
      <c r="AW59" s="133">
        <f t="shared" si="1685"/>
        <v>212343</v>
      </c>
      <c r="AX59" s="133">
        <f>ROUND(AW59*(1+取值表!$D$6)*取值表!$H$6,0)</f>
        <v>210608</v>
      </c>
      <c r="AY59" s="133">
        <f t="shared" ref="AY59:BA59" si="1686">AX59</f>
        <v>210608</v>
      </c>
      <c r="AZ59" s="133">
        <f t="shared" si="1686"/>
        <v>210608</v>
      </c>
      <c r="BA59" s="133">
        <f t="shared" si="1686"/>
        <v>210608</v>
      </c>
      <c r="BB59" s="133">
        <f>ROUND(BA59*(1+取值表!$D$6)*取值表!$H$6,0)</f>
        <v>208887</v>
      </c>
      <c r="BC59" s="133">
        <f t="shared" ref="BC59:BE59" si="1687">BB59</f>
        <v>208887</v>
      </c>
      <c r="BD59" s="133">
        <f t="shared" si="1687"/>
        <v>208887</v>
      </c>
      <c r="BE59" s="133">
        <f t="shared" si="1687"/>
        <v>208887</v>
      </c>
      <c r="BF59" s="133">
        <f>ROUND(BE59*(1+取值表!$D$6)*取值表!$H$6,0)</f>
        <v>207180</v>
      </c>
      <c r="BG59" s="133">
        <f t="shared" ref="BG59:BI59" si="1688">BF59</f>
        <v>207180</v>
      </c>
      <c r="BH59" s="133">
        <f t="shared" si="1688"/>
        <v>207180</v>
      </c>
      <c r="BI59" s="133">
        <f t="shared" si="1688"/>
        <v>207180</v>
      </c>
      <c r="BJ59" s="133">
        <f>ROUND(BI59*(1+取值表!$D$6)*取值表!$H$6,0)</f>
        <v>205487</v>
      </c>
      <c r="BK59" s="133">
        <f t="shared" ref="BK59:BM59" si="1689">BJ59</f>
        <v>205487</v>
      </c>
      <c r="BL59" s="133">
        <f t="shared" si="1689"/>
        <v>205487</v>
      </c>
      <c r="BM59" s="133">
        <f t="shared" si="1689"/>
        <v>205487</v>
      </c>
      <c r="BN59" s="133">
        <f>ROUND(BM59*(1+取值表!$D$6)*取值表!$H$6,0)</f>
        <v>203808</v>
      </c>
      <c r="BO59" s="133">
        <f t="shared" ref="BO59:BQ59" si="1690">BN59</f>
        <v>203808</v>
      </c>
      <c r="BP59" s="133">
        <f t="shared" si="1690"/>
        <v>203808</v>
      </c>
      <c r="BQ59" s="133">
        <f t="shared" si="1690"/>
        <v>203808</v>
      </c>
      <c r="BR59" s="133">
        <f>ROUND(BQ59*(1+取值表!$D$6)*取值表!$H$6,0)</f>
        <v>202143</v>
      </c>
      <c r="BS59" s="133">
        <f t="shared" ref="BS59:BU59" si="1691">BR59</f>
        <v>202143</v>
      </c>
      <c r="BT59" s="133">
        <f t="shared" si="1691"/>
        <v>202143</v>
      </c>
      <c r="BU59" s="133">
        <f t="shared" si="1691"/>
        <v>202143</v>
      </c>
      <c r="BV59" s="133">
        <f>ROUND(BU59*(1+取值表!$D$6)*取值表!$H$6,0)</f>
        <v>200491</v>
      </c>
      <c r="BW59" s="133">
        <f t="shared" ref="BW59:BY59" si="1692">BV59</f>
        <v>200491</v>
      </c>
      <c r="BX59" s="133">
        <f t="shared" si="1692"/>
        <v>200491</v>
      </c>
      <c r="BY59" s="133">
        <f t="shared" si="1692"/>
        <v>200491</v>
      </c>
      <c r="BZ59" s="133">
        <f>ROUND(BY59*(1+取值表!$D$6)*取值表!$H$6,0)</f>
        <v>198853</v>
      </c>
      <c r="CA59" s="133">
        <f t="shared" ref="CA59:CC59" si="1693">BZ59</f>
        <v>198853</v>
      </c>
      <c r="CB59" s="133">
        <f t="shared" si="1693"/>
        <v>198853</v>
      </c>
      <c r="CC59" s="133">
        <f t="shared" si="1693"/>
        <v>198853</v>
      </c>
      <c r="CD59" s="133">
        <f>ROUND(CC59*(1+取值表!$D$6)*取值表!$H$6,0)</f>
        <v>197228</v>
      </c>
      <c r="CE59" s="133">
        <f t="shared" ref="CE59:CG59" si="1694">CD59</f>
        <v>197228</v>
      </c>
      <c r="CF59" s="133">
        <f t="shared" si="1694"/>
        <v>197228</v>
      </c>
      <c r="CG59" s="133">
        <f t="shared" si="1694"/>
        <v>197228</v>
      </c>
      <c r="CH59" s="133">
        <f>ROUND(CG59*(1+取值表!$D$6)*取值表!$H$6,0)</f>
        <v>195616</v>
      </c>
      <c r="CI59" s="133">
        <f t="shared" ref="CI59:CK59" si="1695">CH59</f>
        <v>195616</v>
      </c>
      <c r="CJ59" s="133">
        <f t="shared" si="1695"/>
        <v>195616</v>
      </c>
      <c r="CK59" s="133">
        <f t="shared" si="1695"/>
        <v>195616</v>
      </c>
      <c r="CL59" s="133">
        <f>ROUND(CK59*(1+取值表!$D$6)*取值表!$H$6,0)</f>
        <v>194018</v>
      </c>
      <c r="CM59" s="133">
        <f t="shared" ref="CM59:CO59" si="1696">CL59</f>
        <v>194018</v>
      </c>
      <c r="CN59" s="133">
        <f t="shared" si="1696"/>
        <v>194018</v>
      </c>
      <c r="CO59" s="133">
        <f t="shared" si="1696"/>
        <v>194018</v>
      </c>
      <c r="CP59" s="133">
        <f>ROUND(CO59*(1+取值表!$D$6)*取值表!$H$6,0)</f>
        <v>192433</v>
      </c>
      <c r="CQ59" s="133">
        <f t="shared" ref="CQ59" si="1697">CP59</f>
        <v>192433</v>
      </c>
      <c r="CR59" s="133">
        <f t="shared" ref="CR59" si="1698">CQ59</f>
        <v>192433</v>
      </c>
      <c r="CS59" s="133">
        <f t="shared" ref="CS59" si="1699">CR59</f>
        <v>192433</v>
      </c>
      <c r="CT59" s="133">
        <f>ROUND(CS59*(1+取值表!$D$6)*取值表!$H$6,0)</f>
        <v>190861</v>
      </c>
      <c r="CU59" s="133">
        <f t="shared" ref="CU59" si="1700">CT59</f>
        <v>190861</v>
      </c>
      <c r="CV59" s="133">
        <f t="shared" ref="CV59" si="1701">CU59</f>
        <v>190861</v>
      </c>
      <c r="CW59" s="133">
        <f t="shared" ref="CW59" si="1702">CV59</f>
        <v>190861</v>
      </c>
      <c r="CX59" s="133">
        <f>ROUND(CW59*(1+取值表!$D$6)*取值表!$H$6,0)</f>
        <v>189301</v>
      </c>
      <c r="CY59" s="133">
        <f t="shared" ref="CY59" si="1703">CX59</f>
        <v>189301</v>
      </c>
      <c r="CZ59" s="133">
        <f t="shared" ref="CZ59" si="1704">CY59</f>
        <v>189301</v>
      </c>
      <c r="DA59" s="133">
        <f t="shared" ref="DA59" si="1705">CZ59</f>
        <v>189301</v>
      </c>
      <c r="DB59" s="133">
        <f>ROUND(DA59*(1+取值表!$D$6)*取值表!$H$6,0)</f>
        <v>187754</v>
      </c>
      <c r="DC59" s="133">
        <f t="shared" ref="DC59" si="1706">DB59</f>
        <v>187754</v>
      </c>
      <c r="DD59" s="133">
        <f t="shared" ref="DD59" si="1707">DC59</f>
        <v>187754</v>
      </c>
      <c r="DE59" s="133">
        <f t="shared" ref="DE59" si="1708">DD59</f>
        <v>187754</v>
      </c>
      <c r="DF59" s="133">
        <f>ROUND(DE59*(1+取值表!$D$6)*取值表!$H$6,0)</f>
        <v>186220</v>
      </c>
      <c r="DG59" s="133">
        <f t="shared" ref="DG59" si="1709">DF59</f>
        <v>186220</v>
      </c>
      <c r="DH59" s="133">
        <f t="shared" ref="DH59" si="1710">DG59</f>
        <v>186220</v>
      </c>
      <c r="DI59" s="133">
        <f t="shared" ref="DI59" si="1711">DH59</f>
        <v>186220</v>
      </c>
      <c r="DJ59" s="133">
        <f>ROUND(DI59*(1+取值表!$D$6)*取值表!$H$6,0)</f>
        <v>184698</v>
      </c>
      <c r="DK59" s="133">
        <f t="shared" ref="DK59" si="1712">DJ59</f>
        <v>184698</v>
      </c>
      <c r="DL59" s="133">
        <f t="shared" ref="DL59" si="1713">DK59</f>
        <v>184698</v>
      </c>
      <c r="DM59" s="133">
        <f t="shared" ref="DM59" si="1714">DL59</f>
        <v>184698</v>
      </c>
      <c r="DN59" s="133">
        <f>ROUND(DM59*(1+取值表!$D$6)*取值表!$H$6,0)</f>
        <v>183189</v>
      </c>
      <c r="DO59" s="133">
        <f t="shared" ref="DO59" si="1715">DN59</f>
        <v>183189</v>
      </c>
      <c r="DP59" s="133">
        <f t="shared" ref="DP59" si="1716">DO59</f>
        <v>183189</v>
      </c>
      <c r="DQ59" s="133">
        <f t="shared" ref="DQ59" si="1717">DP59</f>
        <v>183189</v>
      </c>
      <c r="DR59" s="133">
        <f>ROUND(DQ59*(1+取值表!$D$6)*取值表!$H$6,0)</f>
        <v>181692</v>
      </c>
      <c r="DS59" s="133">
        <f t="shared" ref="DS59" si="1718">DR59</f>
        <v>181692</v>
      </c>
      <c r="DT59" s="133">
        <f t="shared" ref="DT59" si="1719">DS59</f>
        <v>181692</v>
      </c>
      <c r="DU59" s="133">
        <f t="shared" ref="DU59" si="1720">DT59</f>
        <v>181692</v>
      </c>
      <c r="DV59" s="133">
        <f>ROUND(DU59*(1+取值表!$D$6)*取值表!$H$6,0)</f>
        <v>180207</v>
      </c>
      <c r="DW59" s="133">
        <f t="shared" ref="DW59" si="1721">DV59</f>
        <v>180207</v>
      </c>
      <c r="DX59" s="133">
        <f t="shared" ref="DX59" si="1722">DW59</f>
        <v>180207</v>
      </c>
      <c r="DY59" s="133">
        <f t="shared" ref="DY59" si="1723">DX59</f>
        <v>180207</v>
      </c>
      <c r="DZ59" s="133">
        <f>ROUND(DY59*(1+取值表!$D$6)*取值表!$H$6,0)</f>
        <v>178735</v>
      </c>
      <c r="EA59" s="133">
        <f t="shared" ref="EA59" si="1724">DZ59</f>
        <v>178735</v>
      </c>
      <c r="EB59" s="133">
        <f t="shared" ref="EB59" si="1725">EA59</f>
        <v>178735</v>
      </c>
      <c r="EC59" s="133">
        <f t="shared" ref="EC59" si="1726">EB59</f>
        <v>178735</v>
      </c>
      <c r="ED59" s="133">
        <f>ROUND(EC59*(1+取值表!$D$6)*取值表!$H$6,0)</f>
        <v>177275</v>
      </c>
      <c r="EE59" s="133">
        <f t="shared" ref="EE59" si="1727">ED59</f>
        <v>177275</v>
      </c>
      <c r="EF59" s="133">
        <f t="shared" ref="EF59" si="1728">EE59</f>
        <v>177275</v>
      </c>
      <c r="EG59" s="133">
        <f t="shared" ref="EG59" si="1729">EF59</f>
        <v>177275</v>
      </c>
      <c r="EH59" s="133">
        <f>ROUND(EG59*(1+取值表!$D$6)*取值表!$H$6,0)</f>
        <v>175826</v>
      </c>
      <c r="EI59" s="133">
        <f t="shared" ref="EI59" si="1730">EH59</f>
        <v>175826</v>
      </c>
      <c r="EJ59" s="133">
        <f t="shared" ref="EJ59" si="1731">EI59</f>
        <v>175826</v>
      </c>
      <c r="EK59" s="133">
        <f t="shared" ref="EK59" si="1732">EJ59</f>
        <v>175826</v>
      </c>
      <c r="EL59" s="133">
        <f>ROUND(EK59*(1+取值表!$D$6)*取值表!$H$6,0)</f>
        <v>174389</v>
      </c>
      <c r="EM59" s="133">
        <f t="shared" ref="EM59" si="1733">EL59</f>
        <v>174389</v>
      </c>
      <c r="EN59" s="133">
        <f t="shared" ref="EN59" si="1734">EM59</f>
        <v>174389</v>
      </c>
      <c r="EO59" s="133">
        <f t="shared" ref="EO59" si="1735">EN59</f>
        <v>174389</v>
      </c>
      <c r="EP59" s="133">
        <f>ROUND(EO59*(1+取值表!$D$6)*取值表!$H$6,0)</f>
        <v>172964</v>
      </c>
      <c r="EQ59" s="133">
        <f t="shared" ref="EQ59" si="1736">EP59</f>
        <v>172964</v>
      </c>
      <c r="ER59" s="133">
        <f t="shared" ref="ER59" si="1737">EQ59</f>
        <v>172964</v>
      </c>
      <c r="ES59" s="133">
        <f t="shared" ref="ES59" si="1738">ER59</f>
        <v>172964</v>
      </c>
      <c r="ET59" s="133">
        <f t="shared" si="39"/>
        <v>27935080</v>
      </c>
    </row>
    <row r="60" spans="1:151">
      <c r="A60" s="402"/>
      <c r="B60" s="406"/>
      <c r="C60" s="400"/>
      <c r="D60" s="401"/>
      <c r="E60" s="398"/>
      <c r="F60" s="399"/>
      <c r="G60" s="399"/>
      <c r="H60" s="482"/>
      <c r="I60" s="129"/>
      <c r="J60" s="131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>
        <f t="shared" si="39"/>
        <v>0</v>
      </c>
    </row>
    <row r="61" spans="1:151" s="179" customFormat="1" ht="12" customHeight="1">
      <c r="A61" s="402">
        <v>30</v>
      </c>
      <c r="B61" s="406" t="s">
        <v>1114</v>
      </c>
      <c r="C61" s="400" t="s">
        <v>1115</v>
      </c>
      <c r="D61" s="401" t="s">
        <v>439</v>
      </c>
      <c r="E61" s="398" t="s">
        <v>422</v>
      </c>
      <c r="F61" s="399">
        <v>121.58</v>
      </c>
      <c r="G61" s="399">
        <f>AVERAGE(28)</f>
        <v>28</v>
      </c>
      <c r="H61" s="482">
        <f>F61*G61*365</f>
        <v>1242547.5999999999</v>
      </c>
      <c r="I61" s="129">
        <v>33282.530000000028</v>
      </c>
      <c r="J61" s="131">
        <f>ROUND(G61*F61*365/4,0)</f>
        <v>310637</v>
      </c>
      <c r="K61" s="132">
        <f>J61</f>
        <v>310637</v>
      </c>
      <c r="L61" s="133">
        <f>K61</f>
        <v>310637</v>
      </c>
      <c r="M61" s="133">
        <f>L61</f>
        <v>310637</v>
      </c>
      <c r="N61" s="133">
        <f>ROUND(M61*(1+取值表!$D$6)*取值表!$H$6,0)</f>
        <v>308099</v>
      </c>
      <c r="O61" s="133">
        <f>N61</f>
        <v>308099</v>
      </c>
      <c r="P61" s="133">
        <f>O61</f>
        <v>308099</v>
      </c>
      <c r="Q61" s="133">
        <f>P61</f>
        <v>308099</v>
      </c>
      <c r="R61" s="133">
        <f>ROUND(Q61*(1+取值表!$D$6)*取值表!$H$6,0)</f>
        <v>305582</v>
      </c>
      <c r="S61" s="133">
        <f t="shared" ref="S61:U61" si="1739">R61</f>
        <v>305582</v>
      </c>
      <c r="T61" s="133">
        <f t="shared" si="1739"/>
        <v>305582</v>
      </c>
      <c r="U61" s="133">
        <f t="shared" si="1739"/>
        <v>305582</v>
      </c>
      <c r="V61" s="133">
        <f>ROUND(U61*(1+取值表!$D$6)*取值表!$H$6,0)</f>
        <v>303085</v>
      </c>
      <c r="W61" s="133">
        <f t="shared" ref="W61:Y61" si="1740">V61</f>
        <v>303085</v>
      </c>
      <c r="X61" s="133">
        <f t="shared" si="1740"/>
        <v>303085</v>
      </c>
      <c r="Y61" s="133">
        <f t="shared" si="1740"/>
        <v>303085</v>
      </c>
      <c r="Z61" s="133">
        <f>ROUND(Y61*(1+取值表!$D$6)*取值表!$H$6,0)</f>
        <v>300608</v>
      </c>
      <c r="AA61" s="133">
        <f t="shared" ref="AA61:AC61" si="1741">Z61</f>
        <v>300608</v>
      </c>
      <c r="AB61" s="133">
        <f t="shared" si="1741"/>
        <v>300608</v>
      </c>
      <c r="AC61" s="133">
        <f t="shared" si="1741"/>
        <v>300608</v>
      </c>
      <c r="AD61" s="133">
        <f>ROUND(AC61*(1+取值表!$D$6)*取值表!$H$6,0)</f>
        <v>298152</v>
      </c>
      <c r="AE61" s="133">
        <f t="shared" ref="AE61:AG61" si="1742">AD61</f>
        <v>298152</v>
      </c>
      <c r="AF61" s="133">
        <f t="shared" si="1742"/>
        <v>298152</v>
      </c>
      <c r="AG61" s="133">
        <f t="shared" si="1742"/>
        <v>298152</v>
      </c>
      <c r="AH61" s="133">
        <f>ROUND(AG61*(1+取值表!$D$6)*取值表!$H$6,0)</f>
        <v>295716</v>
      </c>
      <c r="AI61" s="133">
        <f t="shared" ref="AI61:AK61" si="1743">AH61</f>
        <v>295716</v>
      </c>
      <c r="AJ61" s="133">
        <f t="shared" si="1743"/>
        <v>295716</v>
      </c>
      <c r="AK61" s="133">
        <f t="shared" si="1743"/>
        <v>295716</v>
      </c>
      <c r="AL61" s="133">
        <f>ROUND(AK61*(1+取值表!$D$6)*取值表!$H$6,0)</f>
        <v>293300</v>
      </c>
      <c r="AM61" s="133">
        <f t="shared" ref="AM61:AO61" si="1744">AL61</f>
        <v>293300</v>
      </c>
      <c r="AN61" s="133">
        <f t="shared" si="1744"/>
        <v>293300</v>
      </c>
      <c r="AO61" s="133">
        <f t="shared" si="1744"/>
        <v>293300</v>
      </c>
      <c r="AP61" s="133">
        <f>ROUND(AO61*(1+取值表!$D$6)*取值表!$H$6,0)</f>
        <v>290903</v>
      </c>
      <c r="AQ61" s="133">
        <f t="shared" ref="AQ61:AS61" si="1745">AP61</f>
        <v>290903</v>
      </c>
      <c r="AR61" s="133">
        <f t="shared" si="1745"/>
        <v>290903</v>
      </c>
      <c r="AS61" s="133">
        <f t="shared" si="1745"/>
        <v>290903</v>
      </c>
      <c r="AT61" s="133">
        <f>ROUND(AS61*(1+取值表!$D$6)*取值表!$H$6,0)</f>
        <v>288526</v>
      </c>
      <c r="AU61" s="133">
        <f t="shared" ref="AU61:AW61" si="1746">AT61</f>
        <v>288526</v>
      </c>
      <c r="AV61" s="133">
        <f t="shared" si="1746"/>
        <v>288526</v>
      </c>
      <c r="AW61" s="133">
        <f t="shared" si="1746"/>
        <v>288526</v>
      </c>
      <c r="AX61" s="133">
        <f>ROUND(AW61*(1+取值表!$D$6)*取值表!$H$6,0)</f>
        <v>286168</v>
      </c>
      <c r="AY61" s="133">
        <f t="shared" ref="AY61:BA61" si="1747">AX61</f>
        <v>286168</v>
      </c>
      <c r="AZ61" s="133">
        <f t="shared" si="1747"/>
        <v>286168</v>
      </c>
      <c r="BA61" s="133">
        <f t="shared" si="1747"/>
        <v>286168</v>
      </c>
      <c r="BB61" s="133">
        <f>ROUND(BA61*(1+取值表!$D$6)*取值表!$H$6,0)</f>
        <v>283830</v>
      </c>
      <c r="BC61" s="133">
        <f t="shared" ref="BC61:BE61" si="1748">BB61</f>
        <v>283830</v>
      </c>
      <c r="BD61" s="133">
        <f t="shared" si="1748"/>
        <v>283830</v>
      </c>
      <c r="BE61" s="133">
        <f t="shared" si="1748"/>
        <v>283830</v>
      </c>
      <c r="BF61" s="133">
        <f>ROUND(BE61*(1+取值表!$D$6)*取值表!$H$6,0)</f>
        <v>281511</v>
      </c>
      <c r="BG61" s="133">
        <f t="shared" ref="BG61:BI61" si="1749">BF61</f>
        <v>281511</v>
      </c>
      <c r="BH61" s="133">
        <f t="shared" si="1749"/>
        <v>281511</v>
      </c>
      <c r="BI61" s="133">
        <f t="shared" si="1749"/>
        <v>281511</v>
      </c>
      <c r="BJ61" s="133">
        <f>ROUND(BI61*(1+取值表!$D$6)*取值表!$H$6,0)</f>
        <v>279211</v>
      </c>
      <c r="BK61" s="133">
        <f t="shared" ref="BK61:BM61" si="1750">BJ61</f>
        <v>279211</v>
      </c>
      <c r="BL61" s="133">
        <f t="shared" si="1750"/>
        <v>279211</v>
      </c>
      <c r="BM61" s="133">
        <f t="shared" si="1750"/>
        <v>279211</v>
      </c>
      <c r="BN61" s="133">
        <f>ROUND(BM61*(1+取值表!$D$6)*取值表!$H$6,0)</f>
        <v>276930</v>
      </c>
      <c r="BO61" s="133">
        <f t="shared" ref="BO61:BQ61" si="1751">BN61</f>
        <v>276930</v>
      </c>
      <c r="BP61" s="133">
        <f t="shared" si="1751"/>
        <v>276930</v>
      </c>
      <c r="BQ61" s="133">
        <f t="shared" si="1751"/>
        <v>276930</v>
      </c>
      <c r="BR61" s="133">
        <f>ROUND(BQ61*(1+取值表!$D$6)*取值表!$H$6,0)</f>
        <v>274667</v>
      </c>
      <c r="BS61" s="133">
        <f t="shared" ref="BS61:BU61" si="1752">BR61</f>
        <v>274667</v>
      </c>
      <c r="BT61" s="133">
        <f t="shared" si="1752"/>
        <v>274667</v>
      </c>
      <c r="BU61" s="133">
        <f t="shared" si="1752"/>
        <v>274667</v>
      </c>
      <c r="BV61" s="133">
        <f>ROUND(BU61*(1+取值表!$D$6)*取值表!$H$6,0)</f>
        <v>272423</v>
      </c>
      <c r="BW61" s="133">
        <f t="shared" ref="BW61:BY61" si="1753">BV61</f>
        <v>272423</v>
      </c>
      <c r="BX61" s="133">
        <f t="shared" si="1753"/>
        <v>272423</v>
      </c>
      <c r="BY61" s="133">
        <f t="shared" si="1753"/>
        <v>272423</v>
      </c>
      <c r="BZ61" s="133">
        <f>ROUND(BY61*(1+取值表!$D$6)*取值表!$H$6,0)</f>
        <v>270197</v>
      </c>
      <c r="CA61" s="133">
        <f t="shared" ref="CA61:CC61" si="1754">BZ61</f>
        <v>270197</v>
      </c>
      <c r="CB61" s="133">
        <f t="shared" si="1754"/>
        <v>270197</v>
      </c>
      <c r="CC61" s="133">
        <f t="shared" si="1754"/>
        <v>270197</v>
      </c>
      <c r="CD61" s="133">
        <f>ROUND(CC61*(1+取值表!$D$6)*取值表!$H$6,0)</f>
        <v>267989</v>
      </c>
      <c r="CE61" s="133">
        <f t="shared" ref="CE61:CG61" si="1755">CD61</f>
        <v>267989</v>
      </c>
      <c r="CF61" s="133">
        <f t="shared" si="1755"/>
        <v>267989</v>
      </c>
      <c r="CG61" s="133">
        <f t="shared" si="1755"/>
        <v>267989</v>
      </c>
      <c r="CH61" s="133">
        <f>ROUND(CG61*(1+取值表!$D$6)*取值表!$H$6,0)</f>
        <v>265799</v>
      </c>
      <c r="CI61" s="133">
        <f t="shared" ref="CI61:CK61" si="1756">CH61</f>
        <v>265799</v>
      </c>
      <c r="CJ61" s="133">
        <f t="shared" si="1756"/>
        <v>265799</v>
      </c>
      <c r="CK61" s="133">
        <f t="shared" si="1756"/>
        <v>265799</v>
      </c>
      <c r="CL61" s="133">
        <f>ROUND(CK61*(1+取值表!$D$6)*取值表!$H$6,0)</f>
        <v>263627</v>
      </c>
      <c r="CM61" s="133">
        <f t="shared" ref="CM61:CO61" si="1757">CL61</f>
        <v>263627</v>
      </c>
      <c r="CN61" s="133">
        <f t="shared" si="1757"/>
        <v>263627</v>
      </c>
      <c r="CO61" s="133">
        <f t="shared" si="1757"/>
        <v>263627</v>
      </c>
      <c r="CP61" s="133">
        <f>ROUND(CO61*(1+取值表!$D$6)*取值表!$H$6,0)</f>
        <v>261473</v>
      </c>
      <c r="CQ61" s="133">
        <f t="shared" ref="CQ61" si="1758">CP61</f>
        <v>261473</v>
      </c>
      <c r="CR61" s="133">
        <f t="shared" ref="CR61" si="1759">CQ61</f>
        <v>261473</v>
      </c>
      <c r="CS61" s="133">
        <f t="shared" ref="CS61" si="1760">CR61</f>
        <v>261473</v>
      </c>
      <c r="CT61" s="133">
        <f>ROUND(CS61*(1+取值表!$D$6)*取值表!$H$6,0)</f>
        <v>259337</v>
      </c>
      <c r="CU61" s="133">
        <f t="shared" ref="CU61" si="1761">CT61</f>
        <v>259337</v>
      </c>
      <c r="CV61" s="133">
        <f t="shared" ref="CV61" si="1762">CU61</f>
        <v>259337</v>
      </c>
      <c r="CW61" s="133">
        <f t="shared" ref="CW61" si="1763">CV61</f>
        <v>259337</v>
      </c>
      <c r="CX61" s="133">
        <f>ROUND(CW61*(1+取值表!$D$6)*取值表!$H$6,0)</f>
        <v>257218</v>
      </c>
      <c r="CY61" s="133">
        <f t="shared" ref="CY61" si="1764">CX61</f>
        <v>257218</v>
      </c>
      <c r="CZ61" s="133">
        <f t="shared" ref="CZ61" si="1765">CY61</f>
        <v>257218</v>
      </c>
      <c r="DA61" s="133">
        <f t="shared" ref="DA61" si="1766">CZ61</f>
        <v>257218</v>
      </c>
      <c r="DB61" s="133">
        <f>ROUND(DA61*(1+取值表!$D$6)*取值表!$H$6,0)</f>
        <v>255116</v>
      </c>
      <c r="DC61" s="133">
        <f t="shared" ref="DC61" si="1767">DB61</f>
        <v>255116</v>
      </c>
      <c r="DD61" s="133">
        <f t="shared" ref="DD61" si="1768">DC61</f>
        <v>255116</v>
      </c>
      <c r="DE61" s="133">
        <f t="shared" ref="DE61" si="1769">DD61</f>
        <v>255116</v>
      </c>
      <c r="DF61" s="133">
        <f>ROUND(DE61*(1+取值表!$D$6)*取值表!$H$6,0)</f>
        <v>253031</v>
      </c>
      <c r="DG61" s="133">
        <f t="shared" ref="DG61" si="1770">DF61</f>
        <v>253031</v>
      </c>
      <c r="DH61" s="133">
        <f t="shared" ref="DH61" si="1771">DG61</f>
        <v>253031</v>
      </c>
      <c r="DI61" s="133">
        <f t="shared" ref="DI61" si="1772">DH61</f>
        <v>253031</v>
      </c>
      <c r="DJ61" s="133">
        <f>ROUND(DI61*(1+取值表!$D$6)*取值表!$H$6,0)</f>
        <v>250963</v>
      </c>
      <c r="DK61" s="133">
        <f t="shared" ref="DK61" si="1773">DJ61</f>
        <v>250963</v>
      </c>
      <c r="DL61" s="133">
        <f t="shared" ref="DL61" si="1774">DK61</f>
        <v>250963</v>
      </c>
      <c r="DM61" s="133">
        <f t="shared" ref="DM61" si="1775">DL61</f>
        <v>250963</v>
      </c>
      <c r="DN61" s="133">
        <f>ROUND(DM61*(1+取值表!$D$6)*取值表!$H$6,0)</f>
        <v>248912</v>
      </c>
      <c r="DO61" s="133">
        <f t="shared" ref="DO61" si="1776">DN61</f>
        <v>248912</v>
      </c>
      <c r="DP61" s="133">
        <f t="shared" ref="DP61" si="1777">DO61</f>
        <v>248912</v>
      </c>
      <c r="DQ61" s="133">
        <f t="shared" ref="DQ61" si="1778">DP61</f>
        <v>248912</v>
      </c>
      <c r="DR61" s="133">
        <f>ROUND(DQ61*(1+取值表!$D$6)*取值表!$H$6,0)</f>
        <v>246878</v>
      </c>
      <c r="DS61" s="133">
        <f t="shared" ref="DS61" si="1779">DR61</f>
        <v>246878</v>
      </c>
      <c r="DT61" s="133">
        <f t="shared" ref="DT61" si="1780">DS61</f>
        <v>246878</v>
      </c>
      <c r="DU61" s="133">
        <f t="shared" ref="DU61" si="1781">DT61</f>
        <v>246878</v>
      </c>
      <c r="DV61" s="133">
        <f>ROUND(DU61*(1+取值表!$D$6)*取值表!$H$6,0)</f>
        <v>244861</v>
      </c>
      <c r="DW61" s="133">
        <f t="shared" ref="DW61" si="1782">DV61</f>
        <v>244861</v>
      </c>
      <c r="DX61" s="133">
        <f t="shared" ref="DX61" si="1783">DW61</f>
        <v>244861</v>
      </c>
      <c r="DY61" s="133">
        <f t="shared" ref="DY61" si="1784">DX61</f>
        <v>244861</v>
      </c>
      <c r="DZ61" s="133">
        <f>ROUND(DY61*(1+取值表!$D$6)*取值表!$H$6,0)</f>
        <v>242860</v>
      </c>
      <c r="EA61" s="133">
        <f t="shared" ref="EA61" si="1785">DZ61</f>
        <v>242860</v>
      </c>
      <c r="EB61" s="133">
        <f t="shared" ref="EB61" si="1786">EA61</f>
        <v>242860</v>
      </c>
      <c r="EC61" s="133">
        <f t="shared" ref="EC61" si="1787">EB61</f>
        <v>242860</v>
      </c>
      <c r="ED61" s="133">
        <f>ROUND(EC61*(1+取值表!$D$6)*取值表!$H$6,0)</f>
        <v>240876</v>
      </c>
      <c r="EE61" s="133">
        <f t="shared" ref="EE61" si="1788">ED61</f>
        <v>240876</v>
      </c>
      <c r="EF61" s="133">
        <f t="shared" ref="EF61" si="1789">EE61</f>
        <v>240876</v>
      </c>
      <c r="EG61" s="133">
        <f t="shared" ref="EG61" si="1790">EF61</f>
        <v>240876</v>
      </c>
      <c r="EH61" s="133">
        <f>ROUND(EG61*(1+取值表!$D$6)*取值表!$H$6,0)</f>
        <v>238908</v>
      </c>
      <c r="EI61" s="133">
        <f t="shared" ref="EI61" si="1791">EH61</f>
        <v>238908</v>
      </c>
      <c r="EJ61" s="133">
        <f t="shared" ref="EJ61" si="1792">EI61</f>
        <v>238908</v>
      </c>
      <c r="EK61" s="133">
        <f t="shared" ref="EK61" si="1793">EJ61</f>
        <v>238908</v>
      </c>
      <c r="EL61" s="133">
        <f>ROUND(EK61*(1+取值表!$D$6)*取值表!$H$6,0)</f>
        <v>236956</v>
      </c>
      <c r="EM61" s="133">
        <f t="shared" ref="EM61" si="1794">EL61</f>
        <v>236956</v>
      </c>
      <c r="EN61" s="133">
        <f t="shared" ref="EN61" si="1795">EM61</f>
        <v>236956</v>
      </c>
      <c r="EO61" s="133">
        <f t="shared" ref="EO61" si="1796">EN61</f>
        <v>236956</v>
      </c>
      <c r="EP61" s="133">
        <f>ROUND(EO61*(1+取值表!$D$6)*取值表!$H$6,0)</f>
        <v>235020</v>
      </c>
      <c r="EQ61" s="133">
        <f t="shared" ref="EQ61" si="1797">EP61</f>
        <v>235020</v>
      </c>
      <c r="ER61" s="133">
        <f t="shared" ref="ER61" si="1798">EQ61</f>
        <v>235020</v>
      </c>
      <c r="ES61" s="133">
        <f t="shared" ref="ES61" si="1799">ER61</f>
        <v>235020</v>
      </c>
      <c r="ET61" s="133">
        <f t="shared" si="39"/>
        <v>37957476</v>
      </c>
      <c r="EU61" s="72"/>
    </row>
    <row r="62" spans="1:151" s="179" customFormat="1">
      <c r="A62" s="402"/>
      <c r="B62" s="406"/>
      <c r="C62" s="400"/>
      <c r="D62" s="401"/>
      <c r="E62" s="398"/>
      <c r="F62" s="399"/>
      <c r="G62" s="399"/>
      <c r="H62" s="482"/>
      <c r="I62" s="129"/>
      <c r="J62" s="131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>
        <f t="shared" si="39"/>
        <v>0</v>
      </c>
      <c r="EU62" s="72"/>
    </row>
    <row r="63" spans="1:151" ht="12" customHeight="1">
      <c r="A63" s="402">
        <v>31</v>
      </c>
      <c r="B63" s="406" t="s">
        <v>1116</v>
      </c>
      <c r="C63" s="400" t="s">
        <v>1117</v>
      </c>
      <c r="D63" s="401" t="s">
        <v>440</v>
      </c>
      <c r="E63" s="398" t="s">
        <v>422</v>
      </c>
      <c r="F63" s="399">
        <v>213.7</v>
      </c>
      <c r="G63" s="399">
        <f>AVERAGE(22,23)</f>
        <v>22.5</v>
      </c>
      <c r="H63" s="482">
        <f>F63*G63*365</f>
        <v>1755011.25</v>
      </c>
      <c r="I63" s="129">
        <v>429002.75</v>
      </c>
      <c r="J63" s="131">
        <f>ROUND(22*F63*365/4,0)</f>
        <v>429003</v>
      </c>
      <c r="K63" s="133">
        <f>J63</f>
        <v>429003</v>
      </c>
      <c r="L63" s="133">
        <f>M63</f>
        <v>448503</v>
      </c>
      <c r="M63" s="133">
        <f>N63</f>
        <v>448503</v>
      </c>
      <c r="N63" s="133">
        <f>O63</f>
        <v>448503</v>
      </c>
      <c r="O63" s="132">
        <f>ROUND(23*365*F63/4,0)</f>
        <v>448503</v>
      </c>
      <c r="P63" s="133">
        <f>O63</f>
        <v>448503</v>
      </c>
      <c r="Q63" s="133">
        <f>P63</f>
        <v>448503</v>
      </c>
      <c r="R63" s="133">
        <f>ROUND(Q63*(1+取值表!$D$6)*取值表!$H$6,0)</f>
        <v>444838</v>
      </c>
      <c r="S63" s="133">
        <f>R63</f>
        <v>444838</v>
      </c>
      <c r="T63" s="133">
        <f>S63</f>
        <v>444838</v>
      </c>
      <c r="U63" s="133">
        <f>T63</f>
        <v>444838</v>
      </c>
      <c r="V63" s="133">
        <f>ROUND(U63*(1+取值表!$D$6)*取值表!$H$6,0)</f>
        <v>441203</v>
      </c>
      <c r="W63" s="133">
        <f t="shared" ref="W63:Y63" si="1800">V63</f>
        <v>441203</v>
      </c>
      <c r="X63" s="133">
        <f t="shared" si="1800"/>
        <v>441203</v>
      </c>
      <c r="Y63" s="133">
        <f t="shared" si="1800"/>
        <v>441203</v>
      </c>
      <c r="Z63" s="133">
        <f>ROUND(Y63*(1+取值表!$D$6)*取值表!$H$6,0)</f>
        <v>437598</v>
      </c>
      <c r="AA63" s="133">
        <f t="shared" ref="AA63:AC63" si="1801">Z63</f>
        <v>437598</v>
      </c>
      <c r="AB63" s="133">
        <f t="shared" si="1801"/>
        <v>437598</v>
      </c>
      <c r="AC63" s="133">
        <f t="shared" si="1801"/>
        <v>437598</v>
      </c>
      <c r="AD63" s="133">
        <f>ROUND(AC63*(1+取值表!$D$6)*取值表!$H$6,0)</f>
        <v>434022</v>
      </c>
      <c r="AE63" s="133">
        <f t="shared" ref="AE63:AG63" si="1802">AD63</f>
        <v>434022</v>
      </c>
      <c r="AF63" s="133">
        <f t="shared" si="1802"/>
        <v>434022</v>
      </c>
      <c r="AG63" s="133">
        <f t="shared" si="1802"/>
        <v>434022</v>
      </c>
      <c r="AH63" s="133">
        <f>ROUND(AG63*(1+取值表!$D$6)*取值表!$H$6,0)</f>
        <v>430476</v>
      </c>
      <c r="AI63" s="133">
        <f t="shared" ref="AI63:AK63" si="1803">AH63</f>
        <v>430476</v>
      </c>
      <c r="AJ63" s="133">
        <f t="shared" si="1803"/>
        <v>430476</v>
      </c>
      <c r="AK63" s="133">
        <f t="shared" si="1803"/>
        <v>430476</v>
      </c>
      <c r="AL63" s="133">
        <f>ROUND(AK63*(1+取值表!$D$6)*取值表!$H$6,0)</f>
        <v>426959</v>
      </c>
      <c r="AM63" s="133">
        <f t="shared" ref="AM63:AO63" si="1804">AL63</f>
        <v>426959</v>
      </c>
      <c r="AN63" s="133">
        <f t="shared" si="1804"/>
        <v>426959</v>
      </c>
      <c r="AO63" s="133">
        <f t="shared" si="1804"/>
        <v>426959</v>
      </c>
      <c r="AP63" s="133">
        <f>ROUND(AO63*(1+取值表!$D$6)*取值表!$H$6,0)</f>
        <v>423470</v>
      </c>
      <c r="AQ63" s="133">
        <f t="shared" ref="AQ63:AS63" si="1805">AP63</f>
        <v>423470</v>
      </c>
      <c r="AR63" s="133">
        <f t="shared" si="1805"/>
        <v>423470</v>
      </c>
      <c r="AS63" s="133">
        <f t="shared" si="1805"/>
        <v>423470</v>
      </c>
      <c r="AT63" s="133">
        <f>ROUND(AS63*(1+取值表!$D$6)*取值表!$H$6,0)</f>
        <v>420010</v>
      </c>
      <c r="AU63" s="133">
        <f t="shared" ref="AU63:AW63" si="1806">AT63</f>
        <v>420010</v>
      </c>
      <c r="AV63" s="133">
        <f t="shared" si="1806"/>
        <v>420010</v>
      </c>
      <c r="AW63" s="133">
        <f t="shared" si="1806"/>
        <v>420010</v>
      </c>
      <c r="AX63" s="133">
        <f>ROUND(AW63*(1+取值表!$D$6)*取值表!$H$6,0)</f>
        <v>416578</v>
      </c>
      <c r="AY63" s="133">
        <f t="shared" ref="AY63:BA63" si="1807">AX63</f>
        <v>416578</v>
      </c>
      <c r="AZ63" s="133">
        <f t="shared" si="1807"/>
        <v>416578</v>
      </c>
      <c r="BA63" s="133">
        <f t="shared" si="1807"/>
        <v>416578</v>
      </c>
      <c r="BB63" s="133">
        <f>ROUND(BA63*(1+取值表!$D$6)*取值表!$H$6,0)</f>
        <v>413174</v>
      </c>
      <c r="BC63" s="133">
        <f t="shared" ref="BC63:BE63" si="1808">BB63</f>
        <v>413174</v>
      </c>
      <c r="BD63" s="133">
        <f t="shared" si="1808"/>
        <v>413174</v>
      </c>
      <c r="BE63" s="133">
        <f t="shared" si="1808"/>
        <v>413174</v>
      </c>
      <c r="BF63" s="133">
        <f>ROUND(BE63*(1+取值表!$D$6)*取值表!$H$6,0)</f>
        <v>409798</v>
      </c>
      <c r="BG63" s="133">
        <f t="shared" ref="BG63:BI63" si="1809">BF63</f>
        <v>409798</v>
      </c>
      <c r="BH63" s="133">
        <f t="shared" si="1809"/>
        <v>409798</v>
      </c>
      <c r="BI63" s="133">
        <f t="shared" si="1809"/>
        <v>409798</v>
      </c>
      <c r="BJ63" s="133">
        <f>ROUND(BI63*(1+取值表!$D$6)*取值表!$H$6,0)</f>
        <v>406450</v>
      </c>
      <c r="BK63" s="133">
        <f t="shared" ref="BK63:BM63" si="1810">BJ63</f>
        <v>406450</v>
      </c>
      <c r="BL63" s="133">
        <f t="shared" si="1810"/>
        <v>406450</v>
      </c>
      <c r="BM63" s="133">
        <f t="shared" si="1810"/>
        <v>406450</v>
      </c>
      <c r="BN63" s="133">
        <f>ROUND(BM63*(1+取值表!$D$6)*取值表!$H$6,0)</f>
        <v>403129</v>
      </c>
      <c r="BO63" s="133">
        <f t="shared" ref="BO63:BQ63" si="1811">BN63</f>
        <v>403129</v>
      </c>
      <c r="BP63" s="133">
        <f t="shared" si="1811"/>
        <v>403129</v>
      </c>
      <c r="BQ63" s="133">
        <f t="shared" si="1811"/>
        <v>403129</v>
      </c>
      <c r="BR63" s="133">
        <f>ROUND(BQ63*(1+取值表!$D$6)*取值表!$H$6,0)</f>
        <v>399835</v>
      </c>
      <c r="BS63" s="133">
        <f t="shared" ref="BS63:BU63" si="1812">BR63</f>
        <v>399835</v>
      </c>
      <c r="BT63" s="133">
        <f t="shared" si="1812"/>
        <v>399835</v>
      </c>
      <c r="BU63" s="133">
        <f t="shared" si="1812"/>
        <v>399835</v>
      </c>
      <c r="BV63" s="133">
        <f>ROUND(BU63*(1+取值表!$D$6)*取值表!$H$6,0)</f>
        <v>396568</v>
      </c>
      <c r="BW63" s="133">
        <f t="shared" ref="BW63:BY63" si="1813">BV63</f>
        <v>396568</v>
      </c>
      <c r="BX63" s="133">
        <f t="shared" si="1813"/>
        <v>396568</v>
      </c>
      <c r="BY63" s="133">
        <f t="shared" si="1813"/>
        <v>396568</v>
      </c>
      <c r="BZ63" s="133">
        <f>ROUND(BY63*(1+取值表!$D$6)*取值表!$H$6,0)</f>
        <v>393328</v>
      </c>
      <c r="CA63" s="133">
        <f t="shared" ref="CA63:CC63" si="1814">BZ63</f>
        <v>393328</v>
      </c>
      <c r="CB63" s="133">
        <f t="shared" si="1814"/>
        <v>393328</v>
      </c>
      <c r="CC63" s="133">
        <f t="shared" si="1814"/>
        <v>393328</v>
      </c>
      <c r="CD63" s="133">
        <f>ROUND(CC63*(1+取值表!$D$6)*取值表!$H$6,0)</f>
        <v>390114</v>
      </c>
      <c r="CE63" s="133">
        <f t="shared" ref="CE63:CG63" si="1815">CD63</f>
        <v>390114</v>
      </c>
      <c r="CF63" s="133">
        <f t="shared" si="1815"/>
        <v>390114</v>
      </c>
      <c r="CG63" s="133">
        <f t="shared" si="1815"/>
        <v>390114</v>
      </c>
      <c r="CH63" s="133">
        <f>ROUND(CG63*(1+取值表!$D$6)*取值表!$H$6,0)</f>
        <v>386926</v>
      </c>
      <c r="CI63" s="133">
        <f t="shared" ref="CI63:CK63" si="1816">CH63</f>
        <v>386926</v>
      </c>
      <c r="CJ63" s="133">
        <f t="shared" si="1816"/>
        <v>386926</v>
      </c>
      <c r="CK63" s="133">
        <f t="shared" si="1816"/>
        <v>386926</v>
      </c>
      <c r="CL63" s="133">
        <f>ROUND(CK63*(1+取值表!$D$6)*取值表!$H$6,0)</f>
        <v>383764</v>
      </c>
      <c r="CM63" s="133">
        <f t="shared" ref="CM63:CO63" si="1817">CL63</f>
        <v>383764</v>
      </c>
      <c r="CN63" s="133">
        <f t="shared" si="1817"/>
        <v>383764</v>
      </c>
      <c r="CO63" s="133">
        <f t="shared" si="1817"/>
        <v>383764</v>
      </c>
      <c r="CP63" s="133">
        <f>ROUND(CO63*(1+取值表!$D$6)*取值表!$H$6,0)</f>
        <v>380628</v>
      </c>
      <c r="CQ63" s="133">
        <f t="shared" ref="CQ63" si="1818">CP63</f>
        <v>380628</v>
      </c>
      <c r="CR63" s="133">
        <f t="shared" ref="CR63" si="1819">CQ63</f>
        <v>380628</v>
      </c>
      <c r="CS63" s="133">
        <f t="shared" ref="CS63" si="1820">CR63</f>
        <v>380628</v>
      </c>
      <c r="CT63" s="133">
        <f>ROUND(CS63*(1+取值表!$D$6)*取值表!$H$6,0)</f>
        <v>377518</v>
      </c>
      <c r="CU63" s="133">
        <f t="shared" ref="CU63" si="1821">CT63</f>
        <v>377518</v>
      </c>
      <c r="CV63" s="133">
        <f t="shared" ref="CV63" si="1822">CU63</f>
        <v>377518</v>
      </c>
      <c r="CW63" s="133">
        <f t="shared" ref="CW63" si="1823">CV63</f>
        <v>377518</v>
      </c>
      <c r="CX63" s="133">
        <f>ROUND(CW63*(1+取值表!$D$6)*取值表!$H$6,0)</f>
        <v>374433</v>
      </c>
      <c r="CY63" s="133">
        <f t="shared" ref="CY63" si="1824">CX63</f>
        <v>374433</v>
      </c>
      <c r="CZ63" s="133">
        <f t="shared" ref="CZ63" si="1825">CY63</f>
        <v>374433</v>
      </c>
      <c r="DA63" s="133">
        <f t="shared" ref="DA63" si="1826">CZ63</f>
        <v>374433</v>
      </c>
      <c r="DB63" s="133">
        <f>ROUND(DA63*(1+取值表!$D$6)*取值表!$H$6,0)</f>
        <v>371374</v>
      </c>
      <c r="DC63" s="133">
        <f t="shared" ref="DC63" si="1827">DB63</f>
        <v>371374</v>
      </c>
      <c r="DD63" s="133">
        <f t="shared" ref="DD63" si="1828">DC63</f>
        <v>371374</v>
      </c>
      <c r="DE63" s="133">
        <f t="shared" ref="DE63" si="1829">DD63</f>
        <v>371374</v>
      </c>
      <c r="DF63" s="133">
        <f>ROUND(DE63*(1+取值表!$D$6)*取值表!$H$6,0)</f>
        <v>368340</v>
      </c>
      <c r="DG63" s="133">
        <f t="shared" ref="DG63" si="1830">DF63</f>
        <v>368340</v>
      </c>
      <c r="DH63" s="133">
        <f t="shared" ref="DH63" si="1831">DG63</f>
        <v>368340</v>
      </c>
      <c r="DI63" s="133">
        <f t="shared" ref="DI63" si="1832">DH63</f>
        <v>368340</v>
      </c>
      <c r="DJ63" s="133">
        <f>ROUND(DI63*(1+取值表!$D$6)*取值表!$H$6,0)</f>
        <v>365330</v>
      </c>
      <c r="DK63" s="133">
        <f t="shared" ref="DK63" si="1833">DJ63</f>
        <v>365330</v>
      </c>
      <c r="DL63" s="133">
        <f t="shared" ref="DL63" si="1834">DK63</f>
        <v>365330</v>
      </c>
      <c r="DM63" s="133">
        <f t="shared" ref="DM63" si="1835">DL63</f>
        <v>365330</v>
      </c>
      <c r="DN63" s="133">
        <f>ROUND(DM63*(1+取值表!$D$6)*取值表!$H$6,0)</f>
        <v>362345</v>
      </c>
      <c r="DO63" s="133">
        <f t="shared" ref="DO63" si="1836">DN63</f>
        <v>362345</v>
      </c>
      <c r="DP63" s="133">
        <f t="shared" ref="DP63" si="1837">DO63</f>
        <v>362345</v>
      </c>
      <c r="DQ63" s="133">
        <f t="shared" ref="DQ63" si="1838">DP63</f>
        <v>362345</v>
      </c>
      <c r="DR63" s="133">
        <f>ROUND(DQ63*(1+取值表!$D$6)*取值表!$H$6,0)</f>
        <v>359384</v>
      </c>
      <c r="DS63" s="133">
        <f t="shared" ref="DS63" si="1839">DR63</f>
        <v>359384</v>
      </c>
      <c r="DT63" s="133">
        <f t="shared" ref="DT63" si="1840">DS63</f>
        <v>359384</v>
      </c>
      <c r="DU63" s="133">
        <f t="shared" ref="DU63" si="1841">DT63</f>
        <v>359384</v>
      </c>
      <c r="DV63" s="133">
        <f>ROUND(DU63*(1+取值表!$D$6)*取值表!$H$6,0)</f>
        <v>356447</v>
      </c>
      <c r="DW63" s="133">
        <f t="shared" ref="DW63" si="1842">DV63</f>
        <v>356447</v>
      </c>
      <c r="DX63" s="133">
        <f t="shared" ref="DX63" si="1843">DW63</f>
        <v>356447</v>
      </c>
      <c r="DY63" s="133">
        <f t="shared" ref="DY63" si="1844">DX63</f>
        <v>356447</v>
      </c>
      <c r="DZ63" s="133">
        <f>ROUND(DY63*(1+取值表!$D$6)*取值表!$H$6,0)</f>
        <v>353534</v>
      </c>
      <c r="EA63" s="133">
        <f t="shared" ref="EA63" si="1845">DZ63</f>
        <v>353534</v>
      </c>
      <c r="EB63" s="133">
        <f t="shared" ref="EB63" si="1846">EA63</f>
        <v>353534</v>
      </c>
      <c r="EC63" s="133">
        <f t="shared" ref="EC63" si="1847">EB63</f>
        <v>353534</v>
      </c>
      <c r="ED63" s="133">
        <f>ROUND(EC63*(1+取值表!$D$6)*取值表!$H$6,0)</f>
        <v>350645</v>
      </c>
      <c r="EE63" s="133">
        <f t="shared" ref="EE63" si="1848">ED63</f>
        <v>350645</v>
      </c>
      <c r="EF63" s="133">
        <f t="shared" ref="EF63" si="1849">EE63</f>
        <v>350645</v>
      </c>
      <c r="EG63" s="133">
        <f t="shared" ref="EG63" si="1850">EF63</f>
        <v>350645</v>
      </c>
      <c r="EH63" s="133">
        <f>ROUND(EG63*(1+取值表!$D$6)*取值表!$H$6,0)</f>
        <v>347780</v>
      </c>
      <c r="EI63" s="133">
        <f t="shared" ref="EI63" si="1851">EH63</f>
        <v>347780</v>
      </c>
      <c r="EJ63" s="133">
        <f t="shared" ref="EJ63" si="1852">EI63</f>
        <v>347780</v>
      </c>
      <c r="EK63" s="133">
        <f t="shared" ref="EK63" si="1853">EJ63</f>
        <v>347780</v>
      </c>
      <c r="EL63" s="133">
        <f>ROUND(EK63*(1+取值表!$D$6)*取值表!$H$6,0)</f>
        <v>344938</v>
      </c>
      <c r="EM63" s="133">
        <f t="shared" ref="EM63" si="1854">EL63</f>
        <v>344938</v>
      </c>
      <c r="EN63" s="133">
        <f t="shared" ref="EN63" si="1855">EM63</f>
        <v>344938</v>
      </c>
      <c r="EO63" s="133">
        <f t="shared" ref="EO63" si="1856">EN63</f>
        <v>344938</v>
      </c>
      <c r="EP63" s="133">
        <f>ROUND(EO63*(1+取值表!$D$6)*取值表!$H$6,0)</f>
        <v>342120</v>
      </c>
      <c r="EQ63" s="133">
        <f t="shared" ref="EQ63" si="1857">EP63</f>
        <v>342120</v>
      </c>
      <c r="ER63" s="133">
        <f t="shared" ref="ER63" si="1858">EQ63</f>
        <v>342120</v>
      </c>
      <c r="ES63" s="133">
        <f t="shared" ref="ES63" si="1859">ER63</f>
        <v>342120</v>
      </c>
      <c r="ET63" s="133">
        <f t="shared" si="39"/>
        <v>55201248</v>
      </c>
    </row>
    <row r="64" spans="1:151">
      <c r="A64" s="402"/>
      <c r="B64" s="406"/>
      <c r="C64" s="400"/>
      <c r="D64" s="401"/>
      <c r="E64" s="398"/>
      <c r="F64" s="399"/>
      <c r="G64" s="399"/>
      <c r="H64" s="482"/>
      <c r="I64" s="129"/>
      <c r="J64" s="131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>
        <f t="shared" si="39"/>
        <v>0</v>
      </c>
    </row>
    <row r="65" spans="1:268">
      <c r="A65" s="402">
        <v>32</v>
      </c>
      <c r="B65" s="406" t="s">
        <v>1118</v>
      </c>
      <c r="C65" s="400" t="s">
        <v>1119</v>
      </c>
      <c r="D65" s="401" t="s">
        <v>441</v>
      </c>
      <c r="E65" s="398" t="s">
        <v>422</v>
      </c>
      <c r="F65" s="399">
        <v>74.400000000000006</v>
      </c>
      <c r="G65" s="399">
        <v>31</v>
      </c>
      <c r="H65" s="482">
        <f>F65*G65*365</f>
        <v>841836</v>
      </c>
      <c r="I65" s="129">
        <v>210459</v>
      </c>
      <c r="J65" s="131">
        <f>ROUND(G65*F65*365/4,0)</f>
        <v>210459</v>
      </c>
      <c r="K65" s="132">
        <f>J65</f>
        <v>210459</v>
      </c>
      <c r="L65" s="133">
        <f>K65</f>
        <v>210459</v>
      </c>
      <c r="M65" s="133">
        <f>L65</f>
        <v>210459</v>
      </c>
      <c r="N65" s="133">
        <f>ROUND(M65*(1+取值表!$D$6)*取值表!$H$6,0)</f>
        <v>208739</v>
      </c>
      <c r="O65" s="133">
        <f>N65</f>
        <v>208739</v>
      </c>
      <c r="P65" s="133">
        <f>O65</f>
        <v>208739</v>
      </c>
      <c r="Q65" s="133">
        <f>P65</f>
        <v>208739</v>
      </c>
      <c r="R65" s="133">
        <f>ROUND(Q65*(1+取值表!$D$6)*取值表!$H$6,0)</f>
        <v>207033</v>
      </c>
      <c r="S65" s="133">
        <f t="shared" ref="S65:U65" si="1860">R65</f>
        <v>207033</v>
      </c>
      <c r="T65" s="133">
        <f t="shared" si="1860"/>
        <v>207033</v>
      </c>
      <c r="U65" s="133">
        <f t="shared" si="1860"/>
        <v>207033</v>
      </c>
      <c r="V65" s="133">
        <f>ROUND(U65*(1+取值表!$D$6)*取值表!$H$6,0)</f>
        <v>205341</v>
      </c>
      <c r="W65" s="133">
        <f t="shared" ref="W65:Y65" si="1861">V65</f>
        <v>205341</v>
      </c>
      <c r="X65" s="133">
        <f t="shared" si="1861"/>
        <v>205341</v>
      </c>
      <c r="Y65" s="133">
        <f t="shared" si="1861"/>
        <v>205341</v>
      </c>
      <c r="Z65" s="133">
        <f>ROUND(Y65*(1+取值表!$D$6)*取值表!$H$6,0)</f>
        <v>203663</v>
      </c>
      <c r="AA65" s="133">
        <f t="shared" ref="AA65:AC65" si="1862">Z65</f>
        <v>203663</v>
      </c>
      <c r="AB65" s="133">
        <f t="shared" si="1862"/>
        <v>203663</v>
      </c>
      <c r="AC65" s="133">
        <f t="shared" si="1862"/>
        <v>203663</v>
      </c>
      <c r="AD65" s="133">
        <f>ROUND(AC65*(1+取值表!$D$6)*取值表!$H$6,0)</f>
        <v>201999</v>
      </c>
      <c r="AE65" s="133">
        <f t="shared" ref="AE65:AG65" si="1863">AD65</f>
        <v>201999</v>
      </c>
      <c r="AF65" s="133">
        <f t="shared" si="1863"/>
        <v>201999</v>
      </c>
      <c r="AG65" s="133">
        <f t="shared" si="1863"/>
        <v>201999</v>
      </c>
      <c r="AH65" s="133">
        <f>ROUND(AG65*(1+取值表!$D$6)*取值表!$H$6,0)</f>
        <v>200348</v>
      </c>
      <c r="AI65" s="133">
        <f t="shared" ref="AI65:AK65" si="1864">AH65</f>
        <v>200348</v>
      </c>
      <c r="AJ65" s="133">
        <f t="shared" si="1864"/>
        <v>200348</v>
      </c>
      <c r="AK65" s="133">
        <f t="shared" si="1864"/>
        <v>200348</v>
      </c>
      <c r="AL65" s="133">
        <f>ROUND(AK65*(1+取值表!$D$6)*取值表!$H$6,0)</f>
        <v>198711</v>
      </c>
      <c r="AM65" s="133">
        <f t="shared" ref="AM65:AO65" si="1865">AL65</f>
        <v>198711</v>
      </c>
      <c r="AN65" s="133">
        <f t="shared" si="1865"/>
        <v>198711</v>
      </c>
      <c r="AO65" s="133">
        <f t="shared" si="1865"/>
        <v>198711</v>
      </c>
      <c r="AP65" s="133">
        <f>ROUND(AO65*(1+取值表!$D$6)*取值表!$H$6,0)</f>
        <v>197087</v>
      </c>
      <c r="AQ65" s="133">
        <f t="shared" ref="AQ65:AS65" si="1866">AP65</f>
        <v>197087</v>
      </c>
      <c r="AR65" s="133">
        <f t="shared" si="1866"/>
        <v>197087</v>
      </c>
      <c r="AS65" s="133">
        <f t="shared" si="1866"/>
        <v>197087</v>
      </c>
      <c r="AT65" s="133">
        <f>ROUND(AS65*(1+取值表!$D$6)*取值表!$H$6,0)</f>
        <v>195477</v>
      </c>
      <c r="AU65" s="133">
        <f t="shared" ref="AU65:AW65" si="1867">AT65</f>
        <v>195477</v>
      </c>
      <c r="AV65" s="133">
        <f t="shared" si="1867"/>
        <v>195477</v>
      </c>
      <c r="AW65" s="133">
        <f t="shared" si="1867"/>
        <v>195477</v>
      </c>
      <c r="AX65" s="133">
        <f>ROUND(AW65*(1+取值表!$D$6)*取值表!$H$6,0)</f>
        <v>193880</v>
      </c>
      <c r="AY65" s="133">
        <f t="shared" ref="AY65:BA65" si="1868">AX65</f>
        <v>193880</v>
      </c>
      <c r="AZ65" s="133">
        <f t="shared" si="1868"/>
        <v>193880</v>
      </c>
      <c r="BA65" s="133">
        <f t="shared" si="1868"/>
        <v>193880</v>
      </c>
      <c r="BB65" s="133">
        <f>ROUND(BA65*(1+取值表!$D$6)*取值表!$H$6,0)</f>
        <v>192296</v>
      </c>
      <c r="BC65" s="133">
        <f t="shared" ref="BC65:BE65" si="1869">BB65</f>
        <v>192296</v>
      </c>
      <c r="BD65" s="133">
        <f t="shared" si="1869"/>
        <v>192296</v>
      </c>
      <c r="BE65" s="133">
        <f t="shared" si="1869"/>
        <v>192296</v>
      </c>
      <c r="BF65" s="133">
        <f>ROUND(BE65*(1+取值表!$D$6)*取值表!$H$6,0)</f>
        <v>190725</v>
      </c>
      <c r="BG65" s="133">
        <f t="shared" ref="BG65:BI65" si="1870">BF65</f>
        <v>190725</v>
      </c>
      <c r="BH65" s="133">
        <f t="shared" si="1870"/>
        <v>190725</v>
      </c>
      <c r="BI65" s="133">
        <f t="shared" si="1870"/>
        <v>190725</v>
      </c>
      <c r="BJ65" s="133">
        <f>ROUND(BI65*(1+取值表!$D$6)*取值表!$H$6,0)</f>
        <v>189167</v>
      </c>
      <c r="BK65" s="133">
        <f t="shared" ref="BK65:BM65" si="1871">BJ65</f>
        <v>189167</v>
      </c>
      <c r="BL65" s="133">
        <f t="shared" si="1871"/>
        <v>189167</v>
      </c>
      <c r="BM65" s="133">
        <f t="shared" si="1871"/>
        <v>189167</v>
      </c>
      <c r="BN65" s="133">
        <f>ROUND(BM65*(1+取值表!$D$6)*取值表!$H$6,0)</f>
        <v>187621</v>
      </c>
      <c r="BO65" s="133">
        <f t="shared" ref="BO65:BQ65" si="1872">BN65</f>
        <v>187621</v>
      </c>
      <c r="BP65" s="133">
        <f t="shared" si="1872"/>
        <v>187621</v>
      </c>
      <c r="BQ65" s="133">
        <f t="shared" si="1872"/>
        <v>187621</v>
      </c>
      <c r="BR65" s="133">
        <f>ROUND(BQ65*(1+取值表!$D$6)*取值表!$H$6,0)</f>
        <v>186088</v>
      </c>
      <c r="BS65" s="133">
        <f t="shared" ref="BS65:BU65" si="1873">BR65</f>
        <v>186088</v>
      </c>
      <c r="BT65" s="133">
        <f t="shared" si="1873"/>
        <v>186088</v>
      </c>
      <c r="BU65" s="133">
        <f t="shared" si="1873"/>
        <v>186088</v>
      </c>
      <c r="BV65" s="133">
        <f>ROUND(BU65*(1+取值表!$D$6)*取值表!$H$6,0)</f>
        <v>184567</v>
      </c>
      <c r="BW65" s="133">
        <f t="shared" ref="BW65:BY65" si="1874">BV65</f>
        <v>184567</v>
      </c>
      <c r="BX65" s="133">
        <f t="shared" si="1874"/>
        <v>184567</v>
      </c>
      <c r="BY65" s="133">
        <f t="shared" si="1874"/>
        <v>184567</v>
      </c>
      <c r="BZ65" s="133">
        <f>ROUND(BY65*(1+取值表!$D$6)*取值表!$H$6,0)</f>
        <v>183059</v>
      </c>
      <c r="CA65" s="133">
        <f t="shared" ref="CA65:CC65" si="1875">BZ65</f>
        <v>183059</v>
      </c>
      <c r="CB65" s="133">
        <f t="shared" si="1875"/>
        <v>183059</v>
      </c>
      <c r="CC65" s="133">
        <f t="shared" si="1875"/>
        <v>183059</v>
      </c>
      <c r="CD65" s="133">
        <f>ROUND(CC65*(1+取值表!$D$6)*取值表!$H$6,0)</f>
        <v>181563</v>
      </c>
      <c r="CE65" s="133">
        <f t="shared" ref="CE65:CG65" si="1876">CD65</f>
        <v>181563</v>
      </c>
      <c r="CF65" s="133">
        <f t="shared" si="1876"/>
        <v>181563</v>
      </c>
      <c r="CG65" s="133">
        <f t="shared" si="1876"/>
        <v>181563</v>
      </c>
      <c r="CH65" s="133">
        <f>ROUND(CG65*(1+取值表!$D$6)*取值表!$H$6,0)</f>
        <v>180079</v>
      </c>
      <c r="CI65" s="133">
        <f t="shared" ref="CI65:CK65" si="1877">CH65</f>
        <v>180079</v>
      </c>
      <c r="CJ65" s="133">
        <f t="shared" si="1877"/>
        <v>180079</v>
      </c>
      <c r="CK65" s="133">
        <f t="shared" si="1877"/>
        <v>180079</v>
      </c>
      <c r="CL65" s="133">
        <f>ROUND(CK65*(1+取值表!$D$6)*取值表!$H$6,0)</f>
        <v>178608</v>
      </c>
      <c r="CM65" s="133">
        <f t="shared" ref="CM65:CO65" si="1878">CL65</f>
        <v>178608</v>
      </c>
      <c r="CN65" s="133">
        <f t="shared" si="1878"/>
        <v>178608</v>
      </c>
      <c r="CO65" s="133">
        <f t="shared" si="1878"/>
        <v>178608</v>
      </c>
      <c r="CP65" s="133">
        <f>ROUND(CO65*(1+取值表!$D$6)*取值表!$H$6,0)</f>
        <v>177149</v>
      </c>
      <c r="CQ65" s="133">
        <f t="shared" ref="CQ65" si="1879">CP65</f>
        <v>177149</v>
      </c>
      <c r="CR65" s="133">
        <f t="shared" ref="CR65" si="1880">CQ65</f>
        <v>177149</v>
      </c>
      <c r="CS65" s="133">
        <f t="shared" ref="CS65" si="1881">CR65</f>
        <v>177149</v>
      </c>
      <c r="CT65" s="133">
        <f>ROUND(CS65*(1+取值表!$D$6)*取值表!$H$6,0)</f>
        <v>175702</v>
      </c>
      <c r="CU65" s="133">
        <f t="shared" ref="CU65" si="1882">CT65</f>
        <v>175702</v>
      </c>
      <c r="CV65" s="133">
        <f t="shared" ref="CV65" si="1883">CU65</f>
        <v>175702</v>
      </c>
      <c r="CW65" s="133">
        <f t="shared" ref="CW65" si="1884">CV65</f>
        <v>175702</v>
      </c>
      <c r="CX65" s="133">
        <f>ROUND(CW65*(1+取值表!$D$6)*取值表!$H$6,0)</f>
        <v>174266</v>
      </c>
      <c r="CY65" s="133">
        <f t="shared" ref="CY65" si="1885">CX65</f>
        <v>174266</v>
      </c>
      <c r="CZ65" s="133">
        <f t="shared" ref="CZ65" si="1886">CY65</f>
        <v>174266</v>
      </c>
      <c r="DA65" s="133">
        <f t="shared" ref="DA65" si="1887">CZ65</f>
        <v>174266</v>
      </c>
      <c r="DB65" s="133">
        <f>ROUND(DA65*(1+取值表!$D$6)*取值表!$H$6,0)</f>
        <v>172842</v>
      </c>
      <c r="DC65" s="133">
        <f t="shared" ref="DC65" si="1888">DB65</f>
        <v>172842</v>
      </c>
      <c r="DD65" s="133">
        <f t="shared" ref="DD65" si="1889">DC65</f>
        <v>172842</v>
      </c>
      <c r="DE65" s="133">
        <f t="shared" ref="DE65" si="1890">DD65</f>
        <v>172842</v>
      </c>
      <c r="DF65" s="133">
        <f>ROUND(DE65*(1+取值表!$D$6)*取值表!$H$6,0)</f>
        <v>171430</v>
      </c>
      <c r="DG65" s="133">
        <f t="shared" ref="DG65" si="1891">DF65</f>
        <v>171430</v>
      </c>
      <c r="DH65" s="133">
        <f t="shared" ref="DH65" si="1892">DG65</f>
        <v>171430</v>
      </c>
      <c r="DI65" s="133">
        <f t="shared" ref="DI65" si="1893">DH65</f>
        <v>171430</v>
      </c>
      <c r="DJ65" s="133">
        <f>ROUND(DI65*(1+取值表!$D$6)*取值表!$H$6,0)</f>
        <v>170029</v>
      </c>
      <c r="DK65" s="133">
        <f t="shared" ref="DK65" si="1894">DJ65</f>
        <v>170029</v>
      </c>
      <c r="DL65" s="133">
        <f t="shared" ref="DL65" si="1895">DK65</f>
        <v>170029</v>
      </c>
      <c r="DM65" s="133">
        <f t="shared" ref="DM65" si="1896">DL65</f>
        <v>170029</v>
      </c>
      <c r="DN65" s="133">
        <f>ROUND(DM65*(1+取值表!$D$6)*取值表!$H$6,0)</f>
        <v>168640</v>
      </c>
      <c r="DO65" s="133">
        <f t="shared" ref="DO65" si="1897">DN65</f>
        <v>168640</v>
      </c>
      <c r="DP65" s="133">
        <f t="shared" ref="DP65" si="1898">DO65</f>
        <v>168640</v>
      </c>
      <c r="DQ65" s="133">
        <f t="shared" ref="DQ65" si="1899">DP65</f>
        <v>168640</v>
      </c>
      <c r="DR65" s="133">
        <f>ROUND(DQ65*(1+取值表!$D$6)*取值表!$H$6,0)</f>
        <v>167262</v>
      </c>
      <c r="DS65" s="133">
        <f t="shared" ref="DS65" si="1900">DR65</f>
        <v>167262</v>
      </c>
      <c r="DT65" s="133">
        <f t="shared" ref="DT65" si="1901">DS65</f>
        <v>167262</v>
      </c>
      <c r="DU65" s="133">
        <f t="shared" ref="DU65" si="1902">DT65</f>
        <v>167262</v>
      </c>
      <c r="DV65" s="133">
        <f>ROUND(DU65*(1+取值表!$D$6)*取值表!$H$6,0)</f>
        <v>165895</v>
      </c>
      <c r="DW65" s="133">
        <f t="shared" ref="DW65" si="1903">DV65</f>
        <v>165895</v>
      </c>
      <c r="DX65" s="133">
        <f t="shared" ref="DX65" si="1904">DW65</f>
        <v>165895</v>
      </c>
      <c r="DY65" s="133">
        <f t="shared" ref="DY65" si="1905">DX65</f>
        <v>165895</v>
      </c>
      <c r="DZ65" s="133">
        <f>ROUND(DY65*(1+取值表!$D$6)*取值表!$H$6,0)</f>
        <v>164539</v>
      </c>
      <c r="EA65" s="133">
        <f t="shared" ref="EA65" si="1906">DZ65</f>
        <v>164539</v>
      </c>
      <c r="EB65" s="133">
        <f t="shared" ref="EB65" si="1907">EA65</f>
        <v>164539</v>
      </c>
      <c r="EC65" s="133">
        <f t="shared" ref="EC65" si="1908">EB65</f>
        <v>164539</v>
      </c>
      <c r="ED65" s="133">
        <f>ROUND(EC65*(1+取值表!$D$6)*取值表!$H$6,0)</f>
        <v>163195</v>
      </c>
      <c r="EE65" s="133">
        <f t="shared" ref="EE65" si="1909">ED65</f>
        <v>163195</v>
      </c>
      <c r="EF65" s="133">
        <f t="shared" ref="EF65" si="1910">EE65</f>
        <v>163195</v>
      </c>
      <c r="EG65" s="133">
        <f t="shared" ref="EG65" si="1911">EF65</f>
        <v>163195</v>
      </c>
      <c r="EH65" s="133">
        <f>ROUND(EG65*(1+取值表!$D$6)*取值表!$H$6,0)</f>
        <v>161862</v>
      </c>
      <c r="EI65" s="133">
        <f t="shared" ref="EI65" si="1912">EH65</f>
        <v>161862</v>
      </c>
      <c r="EJ65" s="133">
        <f t="shared" ref="EJ65" si="1913">EI65</f>
        <v>161862</v>
      </c>
      <c r="EK65" s="133">
        <f t="shared" ref="EK65" si="1914">EJ65</f>
        <v>161862</v>
      </c>
      <c r="EL65" s="133">
        <f>ROUND(EK65*(1+取值表!$D$6)*取值表!$H$6,0)</f>
        <v>160539</v>
      </c>
      <c r="EM65" s="133">
        <f t="shared" ref="EM65" si="1915">EL65</f>
        <v>160539</v>
      </c>
      <c r="EN65" s="133">
        <f t="shared" ref="EN65" si="1916">EM65</f>
        <v>160539</v>
      </c>
      <c r="EO65" s="133">
        <f t="shared" ref="EO65" si="1917">EN65</f>
        <v>160539</v>
      </c>
      <c r="EP65" s="133">
        <f>ROUND(EO65*(1+取值表!$D$6)*取值表!$H$6,0)</f>
        <v>159227</v>
      </c>
      <c r="EQ65" s="133">
        <f t="shared" ref="EQ65" si="1918">EP65</f>
        <v>159227</v>
      </c>
      <c r="ER65" s="133">
        <f t="shared" ref="ER65" si="1919">EQ65</f>
        <v>159227</v>
      </c>
      <c r="ES65" s="133">
        <f t="shared" ref="ES65" si="1920">ER65</f>
        <v>159227</v>
      </c>
      <c r="ET65" s="133">
        <f t="shared" si="39"/>
        <v>25716348</v>
      </c>
    </row>
    <row r="66" spans="1:268">
      <c r="A66" s="402"/>
      <c r="B66" s="406"/>
      <c r="C66" s="400"/>
      <c r="D66" s="401"/>
      <c r="E66" s="398"/>
      <c r="F66" s="399"/>
      <c r="G66" s="399"/>
      <c r="H66" s="482"/>
      <c r="I66" s="129"/>
      <c r="J66" s="131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  <c r="AC66" s="133"/>
      <c r="AD66" s="133"/>
      <c r="AE66" s="133"/>
      <c r="AF66" s="133"/>
      <c r="AG66" s="133"/>
      <c r="AH66" s="133"/>
      <c r="AI66" s="133"/>
      <c r="AJ66" s="133"/>
      <c r="AK66" s="133"/>
      <c r="AL66" s="133"/>
      <c r="AM66" s="133"/>
      <c r="AN66" s="133"/>
      <c r="AO66" s="133"/>
      <c r="AP66" s="133"/>
      <c r="AQ66" s="133"/>
      <c r="AR66" s="133"/>
      <c r="AS66" s="133"/>
      <c r="AT66" s="133"/>
      <c r="AU66" s="133"/>
      <c r="AV66" s="133"/>
      <c r="AW66" s="133"/>
      <c r="AX66" s="133"/>
      <c r="AY66" s="133"/>
      <c r="AZ66" s="133"/>
      <c r="BA66" s="133"/>
      <c r="BB66" s="133"/>
      <c r="BC66" s="133"/>
      <c r="BD66" s="133"/>
      <c r="BE66" s="133"/>
      <c r="BF66" s="133"/>
      <c r="BG66" s="133"/>
      <c r="BH66" s="133"/>
      <c r="BI66" s="133"/>
      <c r="BJ66" s="133"/>
      <c r="BK66" s="133"/>
      <c r="BL66" s="133"/>
      <c r="BM66" s="133"/>
      <c r="BN66" s="133"/>
      <c r="BO66" s="133"/>
      <c r="BP66" s="133"/>
      <c r="BQ66" s="133"/>
      <c r="BR66" s="133"/>
      <c r="BS66" s="133"/>
      <c r="BT66" s="133"/>
      <c r="BU66" s="133"/>
      <c r="BV66" s="133"/>
      <c r="BW66" s="133"/>
      <c r="BX66" s="133"/>
      <c r="BY66" s="133"/>
      <c r="BZ66" s="133"/>
      <c r="CA66" s="133"/>
      <c r="CB66" s="133"/>
      <c r="CC66" s="133"/>
      <c r="CD66" s="133"/>
      <c r="CE66" s="133"/>
      <c r="CF66" s="133"/>
      <c r="CG66" s="133"/>
      <c r="CH66" s="133"/>
      <c r="CI66" s="133"/>
      <c r="CJ66" s="133"/>
      <c r="CK66" s="133"/>
      <c r="CL66" s="133"/>
      <c r="CM66" s="133"/>
      <c r="CN66" s="133"/>
      <c r="CO66" s="133"/>
      <c r="CP66" s="133"/>
      <c r="CQ66" s="133"/>
      <c r="CR66" s="133"/>
      <c r="CS66" s="133"/>
      <c r="CT66" s="133"/>
      <c r="CU66" s="133"/>
      <c r="CV66" s="133"/>
      <c r="CW66" s="133"/>
      <c r="CX66" s="133"/>
      <c r="CY66" s="133"/>
      <c r="CZ66" s="133"/>
      <c r="DA66" s="133"/>
      <c r="DB66" s="133"/>
      <c r="DC66" s="133"/>
      <c r="DD66" s="133"/>
      <c r="DE66" s="133"/>
      <c r="DF66" s="133"/>
      <c r="DG66" s="133"/>
      <c r="DH66" s="133"/>
      <c r="DI66" s="133"/>
      <c r="DJ66" s="133"/>
      <c r="DK66" s="133"/>
      <c r="DL66" s="133"/>
      <c r="DM66" s="133"/>
      <c r="DN66" s="133"/>
      <c r="DO66" s="133"/>
      <c r="DP66" s="133"/>
      <c r="DQ66" s="133"/>
      <c r="DR66" s="133"/>
      <c r="DS66" s="133"/>
      <c r="DT66" s="133"/>
      <c r="DU66" s="133"/>
      <c r="DV66" s="133"/>
      <c r="DW66" s="133"/>
      <c r="DX66" s="133"/>
      <c r="DY66" s="133"/>
      <c r="DZ66" s="133"/>
      <c r="EA66" s="133"/>
      <c r="EB66" s="133"/>
      <c r="EC66" s="133"/>
      <c r="ED66" s="133"/>
      <c r="EE66" s="133"/>
      <c r="EF66" s="133"/>
      <c r="EG66" s="133"/>
      <c r="EH66" s="133"/>
      <c r="EI66" s="133"/>
      <c r="EJ66" s="133"/>
      <c r="EK66" s="133"/>
      <c r="EL66" s="133"/>
      <c r="EM66" s="133"/>
      <c r="EN66" s="133"/>
      <c r="EO66" s="133"/>
      <c r="EP66" s="133"/>
      <c r="EQ66" s="133"/>
      <c r="ER66" s="133"/>
      <c r="ES66" s="133"/>
      <c r="ET66" s="133">
        <f t="shared" si="39"/>
        <v>0</v>
      </c>
    </row>
    <row r="67" spans="1:268">
      <c r="A67" s="402">
        <v>33</v>
      </c>
      <c r="B67" s="406" t="s">
        <v>1120</v>
      </c>
      <c r="C67" s="400" t="s">
        <v>1121</v>
      </c>
      <c r="D67" s="401" t="s">
        <v>34</v>
      </c>
      <c r="E67" s="398" t="s">
        <v>422</v>
      </c>
      <c r="F67" s="399">
        <v>160.4</v>
      </c>
      <c r="G67" s="399">
        <v>16</v>
      </c>
      <c r="H67" s="482">
        <f>F67*G67*365</f>
        <v>936736</v>
      </c>
      <c r="I67" s="129"/>
      <c r="J67" s="131">
        <f>ROUND(G67*F67*365/4,0)</f>
        <v>234184</v>
      </c>
      <c r="K67" s="133">
        <f>J67</f>
        <v>234184</v>
      </c>
      <c r="L67" s="132">
        <f>K67</f>
        <v>234184</v>
      </c>
      <c r="M67" s="133">
        <f>L67</f>
        <v>234184</v>
      </c>
      <c r="N67" s="133">
        <f>ROUND(M67*(1+取值表!$D$6)*取值表!$H$6,0)</f>
        <v>232270</v>
      </c>
      <c r="O67" s="133">
        <f>N67</f>
        <v>232270</v>
      </c>
      <c r="P67" s="133">
        <f>O67</f>
        <v>232270</v>
      </c>
      <c r="Q67" s="133">
        <f>P67</f>
        <v>232270</v>
      </c>
      <c r="R67" s="133">
        <f>ROUND(Q67*(1+取值表!$D$6)*取值表!$H$6,0)</f>
        <v>230372</v>
      </c>
      <c r="S67" s="133">
        <f t="shared" ref="S67:U67" si="1921">R67</f>
        <v>230372</v>
      </c>
      <c r="T67" s="133">
        <f t="shared" si="1921"/>
        <v>230372</v>
      </c>
      <c r="U67" s="133">
        <f t="shared" si="1921"/>
        <v>230372</v>
      </c>
      <c r="V67" s="133">
        <f>ROUND(U67*(1+取值表!$D$6)*取值表!$H$6,0)</f>
        <v>228490</v>
      </c>
      <c r="W67" s="133">
        <f t="shared" ref="W67:Y67" si="1922">V67</f>
        <v>228490</v>
      </c>
      <c r="X67" s="133">
        <f t="shared" si="1922"/>
        <v>228490</v>
      </c>
      <c r="Y67" s="133">
        <f t="shared" si="1922"/>
        <v>228490</v>
      </c>
      <c r="Z67" s="133">
        <f>ROUND(Y67*(1+取值表!$D$6)*取值表!$H$6,0)</f>
        <v>226623</v>
      </c>
      <c r="AA67" s="133">
        <f t="shared" ref="AA67:AC67" si="1923">Z67</f>
        <v>226623</v>
      </c>
      <c r="AB67" s="133">
        <f t="shared" si="1923"/>
        <v>226623</v>
      </c>
      <c r="AC67" s="133">
        <f t="shared" si="1923"/>
        <v>226623</v>
      </c>
      <c r="AD67" s="133">
        <f>ROUND(AC67*(1+取值表!$D$6)*取值表!$H$6,0)</f>
        <v>224771</v>
      </c>
      <c r="AE67" s="133">
        <f t="shared" ref="AE67:AG67" si="1924">AD67</f>
        <v>224771</v>
      </c>
      <c r="AF67" s="133">
        <f t="shared" si="1924"/>
        <v>224771</v>
      </c>
      <c r="AG67" s="133">
        <f t="shared" si="1924"/>
        <v>224771</v>
      </c>
      <c r="AH67" s="133">
        <f>ROUND(AG67*(1+取值表!$D$6)*取值表!$H$6,0)</f>
        <v>222934</v>
      </c>
      <c r="AI67" s="133">
        <f t="shared" ref="AI67:AK67" si="1925">AH67</f>
        <v>222934</v>
      </c>
      <c r="AJ67" s="133">
        <f t="shared" si="1925"/>
        <v>222934</v>
      </c>
      <c r="AK67" s="133">
        <f t="shared" si="1925"/>
        <v>222934</v>
      </c>
      <c r="AL67" s="133">
        <f>ROUND(AK67*(1+取值表!$D$6)*取值表!$H$6,0)</f>
        <v>221112</v>
      </c>
      <c r="AM67" s="133">
        <f t="shared" ref="AM67:AO67" si="1926">AL67</f>
        <v>221112</v>
      </c>
      <c r="AN67" s="133">
        <f t="shared" si="1926"/>
        <v>221112</v>
      </c>
      <c r="AO67" s="133">
        <f t="shared" si="1926"/>
        <v>221112</v>
      </c>
      <c r="AP67" s="133">
        <f>ROUND(AO67*(1+取值表!$D$6)*取值表!$H$6,0)</f>
        <v>219305</v>
      </c>
      <c r="AQ67" s="133">
        <f t="shared" ref="AQ67:AS67" si="1927">AP67</f>
        <v>219305</v>
      </c>
      <c r="AR67" s="133">
        <f t="shared" si="1927"/>
        <v>219305</v>
      </c>
      <c r="AS67" s="133">
        <f t="shared" si="1927"/>
        <v>219305</v>
      </c>
      <c r="AT67" s="133">
        <f>ROUND(AS67*(1+取值表!$D$6)*取值表!$H$6,0)</f>
        <v>217513</v>
      </c>
      <c r="AU67" s="133">
        <f t="shared" ref="AU67:AW67" si="1928">AT67</f>
        <v>217513</v>
      </c>
      <c r="AV67" s="133">
        <f t="shared" si="1928"/>
        <v>217513</v>
      </c>
      <c r="AW67" s="133">
        <f t="shared" si="1928"/>
        <v>217513</v>
      </c>
      <c r="AX67" s="133">
        <f>ROUND(AW67*(1+取值表!$D$6)*取值表!$H$6,0)</f>
        <v>215736</v>
      </c>
      <c r="AY67" s="133">
        <f t="shared" ref="AY67:BA67" si="1929">AX67</f>
        <v>215736</v>
      </c>
      <c r="AZ67" s="133">
        <f t="shared" si="1929"/>
        <v>215736</v>
      </c>
      <c r="BA67" s="133">
        <f t="shared" si="1929"/>
        <v>215736</v>
      </c>
      <c r="BB67" s="133">
        <f>ROUND(BA67*(1+取值表!$D$6)*取值表!$H$6,0)</f>
        <v>213973</v>
      </c>
      <c r="BC67" s="133">
        <f t="shared" ref="BC67:BE67" si="1930">BB67</f>
        <v>213973</v>
      </c>
      <c r="BD67" s="133">
        <f t="shared" si="1930"/>
        <v>213973</v>
      </c>
      <c r="BE67" s="133">
        <f t="shared" si="1930"/>
        <v>213973</v>
      </c>
      <c r="BF67" s="133">
        <f>ROUND(BE67*(1+取值表!$D$6)*取值表!$H$6,0)</f>
        <v>212225</v>
      </c>
      <c r="BG67" s="133">
        <f t="shared" ref="BG67:BI67" si="1931">BF67</f>
        <v>212225</v>
      </c>
      <c r="BH67" s="133">
        <f t="shared" si="1931"/>
        <v>212225</v>
      </c>
      <c r="BI67" s="133">
        <f t="shared" si="1931"/>
        <v>212225</v>
      </c>
      <c r="BJ67" s="133">
        <f>ROUND(BI67*(1+取值表!$D$6)*取值表!$H$6,0)</f>
        <v>210491</v>
      </c>
      <c r="BK67" s="133">
        <f t="shared" ref="BK67:BM67" si="1932">BJ67</f>
        <v>210491</v>
      </c>
      <c r="BL67" s="133">
        <f t="shared" si="1932"/>
        <v>210491</v>
      </c>
      <c r="BM67" s="133">
        <f t="shared" si="1932"/>
        <v>210491</v>
      </c>
      <c r="BN67" s="133">
        <f>ROUND(BM67*(1+取值表!$D$6)*取值表!$H$6,0)</f>
        <v>208771</v>
      </c>
      <c r="BO67" s="133">
        <f t="shared" ref="BO67:BQ67" si="1933">BN67</f>
        <v>208771</v>
      </c>
      <c r="BP67" s="133">
        <f t="shared" si="1933"/>
        <v>208771</v>
      </c>
      <c r="BQ67" s="133">
        <f t="shared" si="1933"/>
        <v>208771</v>
      </c>
      <c r="BR67" s="133">
        <f>ROUND(BQ67*(1+取值表!$D$6)*取值表!$H$6,0)</f>
        <v>207065</v>
      </c>
      <c r="BS67" s="133">
        <f t="shared" ref="BS67:BU67" si="1934">BR67</f>
        <v>207065</v>
      </c>
      <c r="BT67" s="133">
        <f t="shared" si="1934"/>
        <v>207065</v>
      </c>
      <c r="BU67" s="133">
        <f t="shared" si="1934"/>
        <v>207065</v>
      </c>
      <c r="BV67" s="133">
        <f>ROUND(BU67*(1+取值表!$D$6)*取值表!$H$6,0)</f>
        <v>205373</v>
      </c>
      <c r="BW67" s="133">
        <f t="shared" ref="BW67:BY67" si="1935">BV67</f>
        <v>205373</v>
      </c>
      <c r="BX67" s="133">
        <f t="shared" si="1935"/>
        <v>205373</v>
      </c>
      <c r="BY67" s="133">
        <f t="shared" si="1935"/>
        <v>205373</v>
      </c>
      <c r="BZ67" s="133">
        <f>ROUND(BY67*(1+取值表!$D$6)*取值表!$H$6,0)</f>
        <v>203695</v>
      </c>
      <c r="CA67" s="133">
        <f t="shared" ref="CA67:CC67" si="1936">BZ67</f>
        <v>203695</v>
      </c>
      <c r="CB67" s="133">
        <f t="shared" si="1936"/>
        <v>203695</v>
      </c>
      <c r="CC67" s="133">
        <f t="shared" si="1936"/>
        <v>203695</v>
      </c>
      <c r="CD67" s="133">
        <f>ROUND(CC67*(1+取值表!$D$6)*取值表!$H$6,0)</f>
        <v>202031</v>
      </c>
      <c r="CE67" s="133">
        <f t="shared" ref="CE67:CG67" si="1937">CD67</f>
        <v>202031</v>
      </c>
      <c r="CF67" s="133">
        <f t="shared" si="1937"/>
        <v>202031</v>
      </c>
      <c r="CG67" s="133">
        <f t="shared" si="1937"/>
        <v>202031</v>
      </c>
      <c r="CH67" s="133">
        <f>ROUND(CG67*(1+取值表!$D$6)*取值表!$H$6,0)</f>
        <v>200380</v>
      </c>
      <c r="CI67" s="133">
        <f t="shared" ref="CI67:CK67" si="1938">CH67</f>
        <v>200380</v>
      </c>
      <c r="CJ67" s="133">
        <f t="shared" si="1938"/>
        <v>200380</v>
      </c>
      <c r="CK67" s="133">
        <f t="shared" si="1938"/>
        <v>200380</v>
      </c>
      <c r="CL67" s="133">
        <f>ROUND(CK67*(1+取值表!$D$6)*取值表!$H$6,0)</f>
        <v>198743</v>
      </c>
      <c r="CM67" s="133">
        <f t="shared" ref="CM67:CO67" si="1939">CL67</f>
        <v>198743</v>
      </c>
      <c r="CN67" s="133">
        <f t="shared" si="1939"/>
        <v>198743</v>
      </c>
      <c r="CO67" s="133">
        <f t="shared" si="1939"/>
        <v>198743</v>
      </c>
      <c r="CP67" s="133">
        <f>ROUND(CO67*(1+取值表!$D$6)*取值表!$H$6,0)</f>
        <v>197119</v>
      </c>
      <c r="CQ67" s="133">
        <f t="shared" ref="CQ67" si="1940">CP67</f>
        <v>197119</v>
      </c>
      <c r="CR67" s="133">
        <f t="shared" ref="CR67" si="1941">CQ67</f>
        <v>197119</v>
      </c>
      <c r="CS67" s="133">
        <f t="shared" ref="CS67" si="1942">CR67</f>
        <v>197119</v>
      </c>
      <c r="CT67" s="133">
        <f>ROUND(CS67*(1+取值表!$D$6)*取值表!$H$6,0)</f>
        <v>195508</v>
      </c>
      <c r="CU67" s="133">
        <f t="shared" ref="CU67" si="1943">CT67</f>
        <v>195508</v>
      </c>
      <c r="CV67" s="133">
        <f t="shared" ref="CV67" si="1944">CU67</f>
        <v>195508</v>
      </c>
      <c r="CW67" s="133">
        <f t="shared" ref="CW67" si="1945">CV67</f>
        <v>195508</v>
      </c>
      <c r="CX67" s="133">
        <f>ROUND(CW67*(1+取值表!$D$6)*取值表!$H$6,0)</f>
        <v>193911</v>
      </c>
      <c r="CY67" s="133">
        <f t="shared" ref="CY67" si="1946">CX67</f>
        <v>193911</v>
      </c>
      <c r="CZ67" s="133">
        <f t="shared" ref="CZ67" si="1947">CY67</f>
        <v>193911</v>
      </c>
      <c r="DA67" s="133">
        <f t="shared" ref="DA67" si="1948">CZ67</f>
        <v>193911</v>
      </c>
      <c r="DB67" s="133">
        <f>ROUND(DA67*(1+取值表!$D$6)*取值表!$H$6,0)</f>
        <v>192327</v>
      </c>
      <c r="DC67" s="133">
        <f t="shared" ref="DC67" si="1949">DB67</f>
        <v>192327</v>
      </c>
      <c r="DD67" s="133">
        <f t="shared" ref="DD67" si="1950">DC67</f>
        <v>192327</v>
      </c>
      <c r="DE67" s="133">
        <f t="shared" ref="DE67" si="1951">DD67</f>
        <v>192327</v>
      </c>
      <c r="DF67" s="133">
        <f>ROUND(DE67*(1+取值表!$D$6)*取值表!$H$6,0)</f>
        <v>190755</v>
      </c>
      <c r="DG67" s="133">
        <f t="shared" ref="DG67" si="1952">DF67</f>
        <v>190755</v>
      </c>
      <c r="DH67" s="133">
        <f t="shared" ref="DH67" si="1953">DG67</f>
        <v>190755</v>
      </c>
      <c r="DI67" s="133">
        <f t="shared" ref="DI67" si="1954">DH67</f>
        <v>190755</v>
      </c>
      <c r="DJ67" s="133">
        <f>ROUND(DI67*(1+取值表!$D$6)*取值表!$H$6,0)</f>
        <v>189196</v>
      </c>
      <c r="DK67" s="133">
        <f t="shared" ref="DK67" si="1955">DJ67</f>
        <v>189196</v>
      </c>
      <c r="DL67" s="133">
        <f t="shared" ref="DL67" si="1956">DK67</f>
        <v>189196</v>
      </c>
      <c r="DM67" s="133">
        <f t="shared" ref="DM67" si="1957">DL67</f>
        <v>189196</v>
      </c>
      <c r="DN67" s="133">
        <f>ROUND(DM67*(1+取值表!$D$6)*取值表!$H$6,0)</f>
        <v>187650</v>
      </c>
      <c r="DO67" s="133">
        <f t="shared" ref="DO67" si="1958">DN67</f>
        <v>187650</v>
      </c>
      <c r="DP67" s="133">
        <f t="shared" ref="DP67" si="1959">DO67</f>
        <v>187650</v>
      </c>
      <c r="DQ67" s="133">
        <f t="shared" ref="DQ67" si="1960">DP67</f>
        <v>187650</v>
      </c>
      <c r="DR67" s="133">
        <f>ROUND(DQ67*(1+取值表!$D$6)*取值表!$H$6,0)</f>
        <v>186117</v>
      </c>
      <c r="DS67" s="133">
        <f t="shared" ref="DS67" si="1961">DR67</f>
        <v>186117</v>
      </c>
      <c r="DT67" s="133">
        <f t="shared" ref="DT67" si="1962">DS67</f>
        <v>186117</v>
      </c>
      <c r="DU67" s="133">
        <f t="shared" ref="DU67" si="1963">DT67</f>
        <v>186117</v>
      </c>
      <c r="DV67" s="133">
        <f>ROUND(DU67*(1+取值表!$D$6)*取值表!$H$6,0)</f>
        <v>184596</v>
      </c>
      <c r="DW67" s="133">
        <f t="shared" ref="DW67" si="1964">DV67</f>
        <v>184596</v>
      </c>
      <c r="DX67" s="133">
        <f t="shared" ref="DX67" si="1965">DW67</f>
        <v>184596</v>
      </c>
      <c r="DY67" s="133">
        <f t="shared" ref="DY67" si="1966">DX67</f>
        <v>184596</v>
      </c>
      <c r="DZ67" s="133">
        <f>ROUND(DY67*(1+取值表!$D$6)*取值表!$H$6,0)</f>
        <v>183088</v>
      </c>
      <c r="EA67" s="133">
        <f t="shared" ref="EA67" si="1967">DZ67</f>
        <v>183088</v>
      </c>
      <c r="EB67" s="133">
        <f t="shared" ref="EB67" si="1968">EA67</f>
        <v>183088</v>
      </c>
      <c r="EC67" s="133">
        <f t="shared" ref="EC67" si="1969">EB67</f>
        <v>183088</v>
      </c>
      <c r="ED67" s="133">
        <f>ROUND(EC67*(1+取值表!$D$6)*取值表!$H$6,0)</f>
        <v>181592</v>
      </c>
      <c r="EE67" s="133">
        <f t="shared" ref="EE67" si="1970">ED67</f>
        <v>181592</v>
      </c>
      <c r="EF67" s="133">
        <f t="shared" ref="EF67" si="1971">EE67</f>
        <v>181592</v>
      </c>
      <c r="EG67" s="133">
        <f t="shared" ref="EG67" si="1972">EF67</f>
        <v>181592</v>
      </c>
      <c r="EH67" s="133">
        <f>ROUND(EG67*(1+取值表!$D$6)*取值表!$H$6,0)</f>
        <v>180108</v>
      </c>
      <c r="EI67" s="133">
        <f t="shared" ref="EI67" si="1973">EH67</f>
        <v>180108</v>
      </c>
      <c r="EJ67" s="133">
        <f t="shared" ref="EJ67" si="1974">EI67</f>
        <v>180108</v>
      </c>
      <c r="EK67" s="133">
        <f t="shared" ref="EK67" si="1975">EJ67</f>
        <v>180108</v>
      </c>
      <c r="EL67" s="133">
        <f>ROUND(EK67*(1+取值表!$D$6)*取值表!$H$6,0)</f>
        <v>178636</v>
      </c>
      <c r="EM67" s="133">
        <f t="shared" ref="EM67" si="1976">EL67</f>
        <v>178636</v>
      </c>
      <c r="EN67" s="133">
        <f t="shared" ref="EN67" si="1977">EM67</f>
        <v>178636</v>
      </c>
      <c r="EO67" s="133">
        <f t="shared" ref="EO67" si="1978">EN67</f>
        <v>178636</v>
      </c>
      <c r="EP67" s="133">
        <f>ROUND(EO67*(1+取值表!$D$6)*取值表!$H$6,0)</f>
        <v>177176</v>
      </c>
      <c r="EQ67" s="133">
        <f t="shared" ref="EQ67" si="1979">EP67</f>
        <v>177176</v>
      </c>
      <c r="ER67" s="133">
        <f t="shared" ref="ER67" si="1980">EQ67</f>
        <v>177176</v>
      </c>
      <c r="ES67" s="133">
        <f t="shared" ref="ES67" si="1981">ER67</f>
        <v>177176</v>
      </c>
      <c r="ET67" s="133">
        <f t="shared" si="39"/>
        <v>28615344</v>
      </c>
    </row>
    <row r="68" spans="1:268">
      <c r="A68" s="402"/>
      <c r="B68" s="406"/>
      <c r="C68" s="400"/>
      <c r="D68" s="401"/>
      <c r="E68" s="398"/>
      <c r="F68" s="399"/>
      <c r="G68" s="399"/>
      <c r="H68" s="482"/>
      <c r="I68" s="129"/>
      <c r="J68" s="131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33"/>
      <c r="BR68" s="133"/>
      <c r="BS68" s="133"/>
      <c r="BT68" s="133"/>
      <c r="BU68" s="133"/>
      <c r="BV68" s="133"/>
      <c r="BW68" s="133"/>
      <c r="BX68" s="133"/>
      <c r="BY68" s="133"/>
      <c r="BZ68" s="133"/>
      <c r="CA68" s="133"/>
      <c r="CB68" s="133"/>
      <c r="CC68" s="133"/>
      <c r="CD68" s="133"/>
      <c r="CE68" s="133"/>
      <c r="CF68" s="133"/>
      <c r="CG68" s="133"/>
      <c r="CH68" s="133"/>
      <c r="CI68" s="133"/>
      <c r="CJ68" s="133"/>
      <c r="CK68" s="133"/>
      <c r="CL68" s="133"/>
      <c r="CM68" s="133"/>
      <c r="CN68" s="133"/>
      <c r="CO68" s="133"/>
      <c r="CP68" s="133"/>
      <c r="CQ68" s="133"/>
      <c r="CR68" s="133"/>
      <c r="CS68" s="133"/>
      <c r="CT68" s="133"/>
      <c r="CU68" s="133"/>
      <c r="CV68" s="133"/>
      <c r="CW68" s="133"/>
      <c r="CX68" s="133"/>
      <c r="CY68" s="133"/>
      <c r="CZ68" s="133"/>
      <c r="DA68" s="133"/>
      <c r="DB68" s="133"/>
      <c r="DC68" s="133"/>
      <c r="DD68" s="133"/>
      <c r="DE68" s="133"/>
      <c r="DF68" s="133"/>
      <c r="DG68" s="133"/>
      <c r="DH68" s="133"/>
      <c r="DI68" s="133"/>
      <c r="DJ68" s="133"/>
      <c r="DK68" s="133"/>
      <c r="DL68" s="133"/>
      <c r="DM68" s="133"/>
      <c r="DN68" s="133"/>
      <c r="DO68" s="133"/>
      <c r="DP68" s="133"/>
      <c r="DQ68" s="133"/>
      <c r="DR68" s="133"/>
      <c r="DS68" s="133"/>
      <c r="DT68" s="133"/>
      <c r="DU68" s="133"/>
      <c r="DV68" s="133"/>
      <c r="DW68" s="133"/>
      <c r="DX68" s="133"/>
      <c r="DY68" s="133"/>
      <c r="DZ68" s="133"/>
      <c r="EA68" s="133"/>
      <c r="EB68" s="133"/>
      <c r="EC68" s="133"/>
      <c r="ED68" s="133"/>
      <c r="EE68" s="133"/>
      <c r="EF68" s="133"/>
      <c r="EG68" s="133"/>
      <c r="EH68" s="133"/>
      <c r="EI68" s="133"/>
      <c r="EJ68" s="133"/>
      <c r="EK68" s="133"/>
      <c r="EL68" s="133"/>
      <c r="EM68" s="133"/>
      <c r="EN68" s="133"/>
      <c r="EO68" s="133"/>
      <c r="EP68" s="133"/>
      <c r="EQ68" s="133"/>
      <c r="ER68" s="133"/>
      <c r="ES68" s="133"/>
      <c r="ET68" s="133">
        <f t="shared" ref="ET68:ET81" si="1982">SUM(J68:ES68)</f>
        <v>0</v>
      </c>
    </row>
    <row r="69" spans="1:268" s="86" customFormat="1" ht="12" customHeight="1">
      <c r="A69" s="402">
        <v>34</v>
      </c>
      <c r="B69" s="414" t="s">
        <v>1122</v>
      </c>
      <c r="C69" s="427" t="s">
        <v>1123</v>
      </c>
      <c r="D69" s="428" t="s">
        <v>637</v>
      </c>
      <c r="E69" s="429" t="s">
        <v>422</v>
      </c>
      <c r="F69" s="430">
        <v>25</v>
      </c>
      <c r="G69" s="430">
        <v>14</v>
      </c>
      <c r="H69" s="481">
        <f>F69*G69*365</f>
        <v>127750</v>
      </c>
      <c r="I69" s="183">
        <v>31937.5</v>
      </c>
      <c r="J69" s="132">
        <f>ROUND(G69*F69*365/4,0)</f>
        <v>31938</v>
      </c>
      <c r="K69" s="131">
        <f>J69</f>
        <v>31938</v>
      </c>
      <c r="L69" s="131">
        <f>K69</f>
        <v>31938</v>
      </c>
      <c r="M69" s="131">
        <f>L69</f>
        <v>31938</v>
      </c>
      <c r="N69" s="133">
        <f>ROUND(M69*(1+取值表!$D$6)*取值表!$H$6,0)</f>
        <v>31677</v>
      </c>
      <c r="O69" s="131">
        <f>N69</f>
        <v>31677</v>
      </c>
      <c r="P69" s="131">
        <f>O69</f>
        <v>31677</v>
      </c>
      <c r="Q69" s="131">
        <f>P69</f>
        <v>31677</v>
      </c>
      <c r="R69" s="133">
        <f>ROUND(Q69*(1+取值表!$D$6)*取值表!$H$6,0)</f>
        <v>31418</v>
      </c>
      <c r="S69" s="131">
        <f t="shared" ref="S69:U69" si="1983">R69</f>
        <v>31418</v>
      </c>
      <c r="T69" s="131">
        <f t="shared" si="1983"/>
        <v>31418</v>
      </c>
      <c r="U69" s="131">
        <f t="shared" si="1983"/>
        <v>31418</v>
      </c>
      <c r="V69" s="133">
        <f>ROUND(U69*(1+取值表!$D$6)*取值表!$H$6,0)</f>
        <v>31161</v>
      </c>
      <c r="W69" s="131">
        <f t="shared" ref="W69:Y69" si="1984">V69</f>
        <v>31161</v>
      </c>
      <c r="X69" s="131">
        <f t="shared" si="1984"/>
        <v>31161</v>
      </c>
      <c r="Y69" s="131">
        <f t="shared" si="1984"/>
        <v>31161</v>
      </c>
      <c r="Z69" s="133">
        <f>ROUND(Y69*(1+取值表!$D$6)*取值表!$H$6,0)</f>
        <v>30906</v>
      </c>
      <c r="AA69" s="131">
        <f t="shared" ref="AA69:AC69" si="1985">Z69</f>
        <v>30906</v>
      </c>
      <c r="AB69" s="131">
        <f t="shared" si="1985"/>
        <v>30906</v>
      </c>
      <c r="AC69" s="131">
        <f t="shared" si="1985"/>
        <v>30906</v>
      </c>
      <c r="AD69" s="133">
        <f>ROUND(AC69*(1+取值表!$D$6)*取值表!$H$6,0)</f>
        <v>30653</v>
      </c>
      <c r="AE69" s="131">
        <f t="shared" ref="AE69:AG69" si="1986">AD69</f>
        <v>30653</v>
      </c>
      <c r="AF69" s="131">
        <f t="shared" si="1986"/>
        <v>30653</v>
      </c>
      <c r="AG69" s="131">
        <f t="shared" si="1986"/>
        <v>30653</v>
      </c>
      <c r="AH69" s="133">
        <f>ROUND(AG69*(1+取值表!$D$6)*取值表!$H$6,0)</f>
        <v>30403</v>
      </c>
      <c r="AI69" s="131">
        <f t="shared" ref="AI69:AK69" si="1987">AH69</f>
        <v>30403</v>
      </c>
      <c r="AJ69" s="131">
        <f t="shared" si="1987"/>
        <v>30403</v>
      </c>
      <c r="AK69" s="131">
        <f t="shared" si="1987"/>
        <v>30403</v>
      </c>
      <c r="AL69" s="133">
        <f>ROUND(AK69*(1+取值表!$D$6)*取值表!$H$6,0)</f>
        <v>30155</v>
      </c>
      <c r="AM69" s="131">
        <f t="shared" ref="AM69:AO69" si="1988">AL69</f>
        <v>30155</v>
      </c>
      <c r="AN69" s="131">
        <f t="shared" si="1988"/>
        <v>30155</v>
      </c>
      <c r="AO69" s="131">
        <f t="shared" si="1988"/>
        <v>30155</v>
      </c>
      <c r="AP69" s="133">
        <f>ROUND(AO69*(1+取值表!$D$6)*取值表!$H$6,0)</f>
        <v>29909</v>
      </c>
      <c r="AQ69" s="131">
        <f t="shared" ref="AQ69:AS69" si="1989">AP69</f>
        <v>29909</v>
      </c>
      <c r="AR69" s="131">
        <f t="shared" si="1989"/>
        <v>29909</v>
      </c>
      <c r="AS69" s="131">
        <f t="shared" si="1989"/>
        <v>29909</v>
      </c>
      <c r="AT69" s="133">
        <f>ROUND(AS69*(1+取值表!$D$6)*取值表!$H$6,0)</f>
        <v>29665</v>
      </c>
      <c r="AU69" s="131">
        <f t="shared" ref="AU69:AW69" si="1990">AT69</f>
        <v>29665</v>
      </c>
      <c r="AV69" s="131">
        <f t="shared" si="1990"/>
        <v>29665</v>
      </c>
      <c r="AW69" s="131">
        <f t="shared" si="1990"/>
        <v>29665</v>
      </c>
      <c r="AX69" s="133">
        <f>ROUND(AW69*(1+取值表!$D$6)*取值表!$H$6,0)</f>
        <v>29423</v>
      </c>
      <c r="AY69" s="131">
        <f t="shared" ref="AY69:BA69" si="1991">AX69</f>
        <v>29423</v>
      </c>
      <c r="AZ69" s="131">
        <f t="shared" si="1991"/>
        <v>29423</v>
      </c>
      <c r="BA69" s="131">
        <f t="shared" si="1991"/>
        <v>29423</v>
      </c>
      <c r="BB69" s="133">
        <f>ROUND(BA69*(1+取值表!$D$6)*取值表!$H$6,0)</f>
        <v>29183</v>
      </c>
      <c r="BC69" s="131">
        <f t="shared" ref="BC69:BE69" si="1992">BB69</f>
        <v>29183</v>
      </c>
      <c r="BD69" s="131">
        <f t="shared" si="1992"/>
        <v>29183</v>
      </c>
      <c r="BE69" s="131">
        <f t="shared" si="1992"/>
        <v>29183</v>
      </c>
      <c r="BF69" s="133">
        <f>ROUND(BE69*(1+取值表!$D$6)*取值表!$H$6,0)</f>
        <v>28945</v>
      </c>
      <c r="BG69" s="131">
        <f t="shared" ref="BG69:BI69" si="1993">BF69</f>
        <v>28945</v>
      </c>
      <c r="BH69" s="131">
        <f t="shared" si="1993"/>
        <v>28945</v>
      </c>
      <c r="BI69" s="131">
        <f t="shared" si="1993"/>
        <v>28945</v>
      </c>
      <c r="BJ69" s="133">
        <f>ROUND(BI69*(1+取值表!$D$6)*取值表!$H$6,0)</f>
        <v>28708</v>
      </c>
      <c r="BK69" s="131">
        <f t="shared" ref="BK69:BM69" si="1994">BJ69</f>
        <v>28708</v>
      </c>
      <c r="BL69" s="131">
        <f t="shared" si="1994"/>
        <v>28708</v>
      </c>
      <c r="BM69" s="131">
        <f t="shared" si="1994"/>
        <v>28708</v>
      </c>
      <c r="BN69" s="133">
        <f>ROUND(BM69*(1+取值表!$D$6)*取值表!$H$6,0)</f>
        <v>28473</v>
      </c>
      <c r="BO69" s="131">
        <f t="shared" ref="BO69:BQ69" si="1995">BN69</f>
        <v>28473</v>
      </c>
      <c r="BP69" s="131">
        <f t="shared" si="1995"/>
        <v>28473</v>
      </c>
      <c r="BQ69" s="131">
        <f t="shared" si="1995"/>
        <v>28473</v>
      </c>
      <c r="BR69" s="133">
        <f>ROUND(BQ69*(1+取值表!$D$6)*取值表!$H$6,0)</f>
        <v>28240</v>
      </c>
      <c r="BS69" s="131">
        <f t="shared" ref="BS69:BU69" si="1996">BR69</f>
        <v>28240</v>
      </c>
      <c r="BT69" s="131">
        <f t="shared" si="1996"/>
        <v>28240</v>
      </c>
      <c r="BU69" s="131">
        <f t="shared" si="1996"/>
        <v>28240</v>
      </c>
      <c r="BV69" s="133">
        <f>ROUND(BU69*(1+取值表!$D$6)*取值表!$H$6,0)</f>
        <v>28009</v>
      </c>
      <c r="BW69" s="131">
        <f t="shared" ref="BW69:BY69" si="1997">BV69</f>
        <v>28009</v>
      </c>
      <c r="BX69" s="131">
        <f t="shared" si="1997"/>
        <v>28009</v>
      </c>
      <c r="BY69" s="131">
        <f t="shared" si="1997"/>
        <v>28009</v>
      </c>
      <c r="BZ69" s="133">
        <f>ROUND(BY69*(1+取值表!$D$6)*取值表!$H$6,0)</f>
        <v>27780</v>
      </c>
      <c r="CA69" s="131">
        <f t="shared" ref="CA69:CC69" si="1998">BZ69</f>
        <v>27780</v>
      </c>
      <c r="CB69" s="131">
        <f t="shared" si="1998"/>
        <v>27780</v>
      </c>
      <c r="CC69" s="131">
        <f t="shared" si="1998"/>
        <v>27780</v>
      </c>
      <c r="CD69" s="133">
        <f>ROUND(CC69*(1+取值表!$D$6)*取值表!$H$6,0)</f>
        <v>27553</v>
      </c>
      <c r="CE69" s="131">
        <f t="shared" ref="CE69:CG69" si="1999">CD69</f>
        <v>27553</v>
      </c>
      <c r="CF69" s="131">
        <f t="shared" si="1999"/>
        <v>27553</v>
      </c>
      <c r="CG69" s="131">
        <f t="shared" si="1999"/>
        <v>27553</v>
      </c>
      <c r="CH69" s="133">
        <f>ROUND(CG69*(1+取值表!$D$6)*取值表!$H$6,0)</f>
        <v>27328</v>
      </c>
      <c r="CI69" s="131">
        <f t="shared" ref="CI69:CK69" si="2000">CH69</f>
        <v>27328</v>
      </c>
      <c r="CJ69" s="131">
        <f t="shared" si="2000"/>
        <v>27328</v>
      </c>
      <c r="CK69" s="131">
        <f t="shared" si="2000"/>
        <v>27328</v>
      </c>
      <c r="CL69" s="133">
        <f>ROUND(CK69*(1+取值表!$D$6)*取值表!$H$6,0)</f>
        <v>27105</v>
      </c>
      <c r="CM69" s="131">
        <f t="shared" ref="CM69:CO69" si="2001">CL69</f>
        <v>27105</v>
      </c>
      <c r="CN69" s="131">
        <f t="shared" si="2001"/>
        <v>27105</v>
      </c>
      <c r="CO69" s="131">
        <f t="shared" si="2001"/>
        <v>27105</v>
      </c>
      <c r="CP69" s="133">
        <f>ROUND(CO69*(1+取值表!$D$6)*取值表!$H$6,0)</f>
        <v>26884</v>
      </c>
      <c r="CQ69" s="131">
        <f t="shared" ref="CQ69" si="2002">CP69</f>
        <v>26884</v>
      </c>
      <c r="CR69" s="131">
        <f t="shared" ref="CR69" si="2003">CQ69</f>
        <v>26884</v>
      </c>
      <c r="CS69" s="131">
        <f t="shared" ref="CS69" si="2004">CR69</f>
        <v>26884</v>
      </c>
      <c r="CT69" s="133">
        <f>ROUND(CS69*(1+取值表!$D$6)*取值表!$H$6,0)</f>
        <v>26664</v>
      </c>
      <c r="CU69" s="131">
        <f t="shared" ref="CU69" si="2005">CT69</f>
        <v>26664</v>
      </c>
      <c r="CV69" s="131">
        <f t="shared" ref="CV69" si="2006">CU69</f>
        <v>26664</v>
      </c>
      <c r="CW69" s="131">
        <f t="shared" ref="CW69" si="2007">CV69</f>
        <v>26664</v>
      </c>
      <c r="CX69" s="133">
        <f>ROUND(CW69*(1+取值表!$D$6)*取值表!$H$6,0)</f>
        <v>26446</v>
      </c>
      <c r="CY69" s="131">
        <f t="shared" ref="CY69" si="2008">CX69</f>
        <v>26446</v>
      </c>
      <c r="CZ69" s="131">
        <f t="shared" ref="CZ69" si="2009">CY69</f>
        <v>26446</v>
      </c>
      <c r="DA69" s="131">
        <f t="shared" ref="DA69" si="2010">CZ69</f>
        <v>26446</v>
      </c>
      <c r="DB69" s="133">
        <f>ROUND(DA69*(1+取值表!$D$6)*取值表!$H$6,0)</f>
        <v>26230</v>
      </c>
      <c r="DC69" s="131">
        <f t="shared" ref="DC69" si="2011">DB69</f>
        <v>26230</v>
      </c>
      <c r="DD69" s="131">
        <f t="shared" ref="DD69" si="2012">DC69</f>
        <v>26230</v>
      </c>
      <c r="DE69" s="131">
        <f t="shared" ref="DE69" si="2013">DD69</f>
        <v>26230</v>
      </c>
      <c r="DF69" s="133">
        <f>ROUND(DE69*(1+取值表!$D$6)*取值表!$H$6,0)</f>
        <v>26016</v>
      </c>
      <c r="DG69" s="131">
        <f t="shared" ref="DG69" si="2014">DF69</f>
        <v>26016</v>
      </c>
      <c r="DH69" s="131">
        <f t="shared" ref="DH69" si="2015">DG69</f>
        <v>26016</v>
      </c>
      <c r="DI69" s="131">
        <f t="shared" ref="DI69" si="2016">DH69</f>
        <v>26016</v>
      </c>
      <c r="DJ69" s="133">
        <f>ROUND(DI69*(1+取值表!$D$6)*取值表!$H$6,0)</f>
        <v>25803</v>
      </c>
      <c r="DK69" s="131">
        <f t="shared" ref="DK69" si="2017">DJ69</f>
        <v>25803</v>
      </c>
      <c r="DL69" s="131">
        <f t="shared" ref="DL69" si="2018">DK69</f>
        <v>25803</v>
      </c>
      <c r="DM69" s="131">
        <f t="shared" ref="DM69" si="2019">DL69</f>
        <v>25803</v>
      </c>
      <c r="DN69" s="133">
        <f>ROUND(DM69*(1+取值表!$D$6)*取值表!$H$6,0)</f>
        <v>25592</v>
      </c>
      <c r="DO69" s="131">
        <f t="shared" ref="DO69" si="2020">DN69</f>
        <v>25592</v>
      </c>
      <c r="DP69" s="131">
        <f t="shared" ref="DP69" si="2021">DO69</f>
        <v>25592</v>
      </c>
      <c r="DQ69" s="131">
        <f t="shared" ref="DQ69" si="2022">DP69</f>
        <v>25592</v>
      </c>
      <c r="DR69" s="133">
        <f>ROUND(DQ69*(1+取值表!$D$6)*取值表!$H$6,0)</f>
        <v>25383</v>
      </c>
      <c r="DS69" s="131">
        <f t="shared" ref="DS69" si="2023">DR69</f>
        <v>25383</v>
      </c>
      <c r="DT69" s="131">
        <f t="shared" ref="DT69" si="2024">DS69</f>
        <v>25383</v>
      </c>
      <c r="DU69" s="131">
        <f t="shared" ref="DU69" si="2025">DT69</f>
        <v>25383</v>
      </c>
      <c r="DV69" s="133">
        <f>ROUND(DU69*(1+取值表!$D$6)*取值表!$H$6,0)</f>
        <v>25176</v>
      </c>
      <c r="DW69" s="131">
        <f t="shared" ref="DW69" si="2026">DV69</f>
        <v>25176</v>
      </c>
      <c r="DX69" s="131">
        <f t="shared" ref="DX69" si="2027">DW69</f>
        <v>25176</v>
      </c>
      <c r="DY69" s="131">
        <f t="shared" ref="DY69" si="2028">DX69</f>
        <v>25176</v>
      </c>
      <c r="DZ69" s="133">
        <f>ROUND(DY69*(1+取值表!$D$6)*取值表!$H$6,0)</f>
        <v>24970</v>
      </c>
      <c r="EA69" s="131">
        <f t="shared" ref="EA69" si="2029">DZ69</f>
        <v>24970</v>
      </c>
      <c r="EB69" s="131">
        <f t="shared" ref="EB69" si="2030">EA69</f>
        <v>24970</v>
      </c>
      <c r="EC69" s="131">
        <f t="shared" ref="EC69" si="2031">EB69</f>
        <v>24970</v>
      </c>
      <c r="ED69" s="133">
        <f>ROUND(EC69*(1+取值表!$D$6)*取值表!$H$6,0)</f>
        <v>24766</v>
      </c>
      <c r="EE69" s="131">
        <f t="shared" ref="EE69" si="2032">ED69</f>
        <v>24766</v>
      </c>
      <c r="EF69" s="131">
        <f t="shared" ref="EF69" si="2033">EE69</f>
        <v>24766</v>
      </c>
      <c r="EG69" s="131">
        <f t="shared" ref="EG69" si="2034">EF69</f>
        <v>24766</v>
      </c>
      <c r="EH69" s="133">
        <f>ROUND(EG69*(1+取值表!$D$6)*取值表!$H$6,0)</f>
        <v>24564</v>
      </c>
      <c r="EI69" s="131">
        <f t="shared" ref="EI69" si="2035">EH69</f>
        <v>24564</v>
      </c>
      <c r="EJ69" s="131">
        <f t="shared" ref="EJ69" si="2036">EI69</f>
        <v>24564</v>
      </c>
      <c r="EK69" s="131">
        <f t="shared" ref="EK69" si="2037">EJ69</f>
        <v>24564</v>
      </c>
      <c r="EL69" s="133">
        <f>ROUND(EK69*(1+取值表!$D$6)*取值表!$H$6,0)</f>
        <v>24363</v>
      </c>
      <c r="EM69" s="131">
        <f t="shared" ref="EM69" si="2038">EL69</f>
        <v>24363</v>
      </c>
      <c r="EN69" s="131">
        <f t="shared" ref="EN69" si="2039">EM69</f>
        <v>24363</v>
      </c>
      <c r="EO69" s="131">
        <f t="shared" ref="EO69" si="2040">EN69</f>
        <v>24363</v>
      </c>
      <c r="EP69" s="133">
        <f>ROUND(EO69*(1+取值表!$D$6)*取值表!$H$6,0)</f>
        <v>24164</v>
      </c>
      <c r="EQ69" s="131">
        <f t="shared" ref="EQ69" si="2041">EP69</f>
        <v>24164</v>
      </c>
      <c r="ER69" s="131">
        <f t="shared" ref="ER69" si="2042">EQ69</f>
        <v>24164</v>
      </c>
      <c r="ES69" s="131">
        <f t="shared" ref="ES69" si="2043">ER69</f>
        <v>24164</v>
      </c>
      <c r="ET69" s="133">
        <f t="shared" si="1982"/>
        <v>3902612</v>
      </c>
      <c r="EU69" s="159"/>
      <c r="EV69" s="159"/>
      <c r="EW69" s="159"/>
      <c r="EX69" s="159"/>
      <c r="EY69" s="159"/>
      <c r="EZ69" s="159"/>
      <c r="FA69" s="159"/>
      <c r="FB69" s="159"/>
      <c r="FC69" s="159"/>
      <c r="FD69" s="159"/>
      <c r="FE69" s="159"/>
      <c r="FF69" s="159"/>
      <c r="FG69" s="149"/>
      <c r="FH69" s="149"/>
      <c r="FI69" s="149"/>
      <c r="FJ69" s="149"/>
      <c r="FK69" s="149"/>
      <c r="FL69" s="149"/>
      <c r="FM69" s="149"/>
      <c r="FN69" s="149"/>
      <c r="FO69" s="149"/>
      <c r="FP69" s="149"/>
      <c r="FQ69" s="149"/>
      <c r="FR69" s="149"/>
      <c r="FS69" s="149"/>
      <c r="FT69" s="149"/>
      <c r="FU69" s="149"/>
      <c r="FV69" s="149"/>
      <c r="FW69" s="149"/>
      <c r="FX69" s="149"/>
      <c r="FY69" s="149"/>
      <c r="FZ69" s="149"/>
      <c r="GA69" s="149"/>
      <c r="GB69" s="149"/>
      <c r="GC69" s="149"/>
      <c r="GD69" s="149"/>
      <c r="GE69" s="149"/>
      <c r="GF69" s="149"/>
      <c r="GG69" s="149"/>
      <c r="GH69" s="149"/>
      <c r="GI69" s="149"/>
      <c r="GJ69" s="149"/>
      <c r="GK69" s="149"/>
      <c r="GL69" s="149"/>
      <c r="GM69" s="149"/>
      <c r="GN69" s="149"/>
      <c r="GO69" s="149"/>
      <c r="GP69" s="149"/>
      <c r="GQ69" s="149"/>
      <c r="GR69" s="149"/>
      <c r="GS69" s="149"/>
      <c r="GT69" s="149"/>
      <c r="GU69" s="149"/>
      <c r="GV69" s="149"/>
      <c r="GW69" s="149"/>
      <c r="GX69" s="149"/>
      <c r="GY69" s="149"/>
      <c r="GZ69" s="149"/>
      <c r="HA69" s="149"/>
      <c r="HB69" s="149"/>
      <c r="HC69" s="149"/>
      <c r="HD69" s="149"/>
      <c r="HE69" s="149"/>
      <c r="HF69" s="149"/>
      <c r="HG69" s="149"/>
      <c r="HH69" s="149"/>
      <c r="HI69" s="149"/>
      <c r="HJ69" s="149"/>
      <c r="HK69" s="149"/>
      <c r="HL69" s="149"/>
      <c r="HM69" s="149"/>
      <c r="HN69" s="149"/>
      <c r="HO69" s="149"/>
      <c r="HP69" s="149"/>
      <c r="HQ69" s="149"/>
      <c r="HR69" s="149"/>
      <c r="HS69" s="149"/>
      <c r="HT69" s="149"/>
      <c r="HU69" s="149"/>
      <c r="HV69" s="149"/>
      <c r="HW69" s="149"/>
      <c r="HX69" s="149"/>
      <c r="HY69" s="149"/>
      <c r="HZ69" s="149"/>
      <c r="IA69" s="149"/>
      <c r="IB69" s="149"/>
      <c r="IC69" s="149"/>
      <c r="ID69" s="149"/>
      <c r="IE69" s="149"/>
      <c r="IF69" s="149"/>
      <c r="IG69" s="149"/>
      <c r="IH69" s="149"/>
      <c r="II69" s="149"/>
      <c r="IJ69" s="149"/>
      <c r="IK69" s="149"/>
      <c r="IL69" s="149"/>
      <c r="IM69" s="149"/>
      <c r="IN69" s="149"/>
      <c r="IO69" s="149"/>
      <c r="IP69" s="149"/>
      <c r="IQ69" s="149"/>
      <c r="IR69" s="149"/>
      <c r="IS69" s="149"/>
      <c r="IT69" s="149"/>
      <c r="IU69" s="149"/>
      <c r="IV69" s="149"/>
      <c r="IW69" s="149"/>
      <c r="IX69" s="149"/>
      <c r="IY69" s="149"/>
      <c r="IZ69" s="149"/>
      <c r="JA69" s="149"/>
      <c r="JB69" s="149"/>
      <c r="JC69" s="149"/>
      <c r="JD69" s="149"/>
      <c r="JE69" s="184">
        <f t="shared" ref="JE69:JE78" si="2044">SUM(J69:JD69)</f>
        <v>7805224</v>
      </c>
      <c r="JF69" s="149">
        <f>JG69*2</f>
        <v>14467.04</v>
      </c>
      <c r="JG69" s="184">
        <v>7233.52</v>
      </c>
      <c r="JH69" s="159">
        <v>299427.33666666702</v>
      </c>
    </row>
    <row r="70" spans="1:268" s="86" customFormat="1">
      <c r="A70" s="402"/>
      <c r="B70" s="414"/>
      <c r="C70" s="427"/>
      <c r="D70" s="428"/>
      <c r="E70" s="429"/>
      <c r="F70" s="430"/>
      <c r="G70" s="430"/>
      <c r="H70" s="481"/>
      <c r="I70" s="185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131"/>
      <c r="AJ70" s="131"/>
      <c r="AK70" s="131"/>
      <c r="AL70" s="131"/>
      <c r="AM70" s="131"/>
      <c r="AN70" s="131"/>
      <c r="AO70" s="131"/>
      <c r="AP70" s="131"/>
      <c r="AQ70" s="131"/>
      <c r="AR70" s="131"/>
      <c r="AS70" s="131"/>
      <c r="AT70" s="131"/>
      <c r="AU70" s="131"/>
      <c r="AV70" s="131"/>
      <c r="AW70" s="131"/>
      <c r="AX70" s="131"/>
      <c r="AY70" s="131"/>
      <c r="AZ70" s="131"/>
      <c r="BA70" s="131"/>
      <c r="BB70" s="131"/>
      <c r="BC70" s="131"/>
      <c r="BD70" s="131"/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  <c r="BP70" s="131"/>
      <c r="BQ70" s="131"/>
      <c r="BR70" s="131"/>
      <c r="BS70" s="131"/>
      <c r="BT70" s="131"/>
      <c r="BU70" s="131"/>
      <c r="BV70" s="131"/>
      <c r="BW70" s="131"/>
      <c r="BX70" s="131"/>
      <c r="BY70" s="131"/>
      <c r="BZ70" s="131"/>
      <c r="CA70" s="131"/>
      <c r="CB70" s="131"/>
      <c r="CC70" s="131"/>
      <c r="CD70" s="131"/>
      <c r="CE70" s="131"/>
      <c r="CF70" s="131"/>
      <c r="CG70" s="131"/>
      <c r="CH70" s="131"/>
      <c r="CI70" s="131"/>
      <c r="CJ70" s="131"/>
      <c r="CK70" s="131"/>
      <c r="CL70" s="131"/>
      <c r="CM70" s="131"/>
      <c r="CN70" s="131"/>
      <c r="CO70" s="131"/>
      <c r="CP70" s="131"/>
      <c r="CQ70" s="131"/>
      <c r="CR70" s="131"/>
      <c r="CS70" s="131"/>
      <c r="CT70" s="131"/>
      <c r="CU70" s="131"/>
      <c r="CV70" s="131"/>
      <c r="CW70" s="131"/>
      <c r="CX70" s="131"/>
      <c r="CY70" s="131"/>
      <c r="CZ70" s="131"/>
      <c r="DA70" s="131"/>
      <c r="DB70" s="131"/>
      <c r="DC70" s="131"/>
      <c r="DD70" s="131"/>
      <c r="DE70" s="131"/>
      <c r="DF70" s="131"/>
      <c r="DG70" s="131"/>
      <c r="DH70" s="131"/>
      <c r="DI70" s="131"/>
      <c r="DJ70" s="131"/>
      <c r="DK70" s="131"/>
      <c r="DL70" s="131"/>
      <c r="DM70" s="131"/>
      <c r="DN70" s="131"/>
      <c r="DO70" s="131"/>
      <c r="DP70" s="131"/>
      <c r="DQ70" s="131"/>
      <c r="DR70" s="131"/>
      <c r="DS70" s="131"/>
      <c r="DT70" s="131"/>
      <c r="DU70" s="131"/>
      <c r="DV70" s="131"/>
      <c r="DW70" s="131"/>
      <c r="DX70" s="131"/>
      <c r="DY70" s="131"/>
      <c r="DZ70" s="131"/>
      <c r="EA70" s="131"/>
      <c r="EB70" s="131"/>
      <c r="EC70" s="131"/>
      <c r="ED70" s="131"/>
      <c r="EE70" s="131"/>
      <c r="EF70" s="131"/>
      <c r="EG70" s="131"/>
      <c r="EH70" s="131"/>
      <c r="EI70" s="131"/>
      <c r="EJ70" s="131"/>
      <c r="EK70" s="131"/>
      <c r="EL70" s="131"/>
      <c r="EM70" s="131"/>
      <c r="EN70" s="131"/>
      <c r="EO70" s="131"/>
      <c r="EP70" s="131"/>
      <c r="EQ70" s="131"/>
      <c r="ER70" s="131"/>
      <c r="ES70" s="131"/>
      <c r="ET70" s="133">
        <f t="shared" si="1982"/>
        <v>0</v>
      </c>
      <c r="EU70" s="159"/>
      <c r="EV70" s="159"/>
      <c r="EW70" s="159"/>
      <c r="EX70" s="159"/>
      <c r="EY70" s="159"/>
      <c r="EZ70" s="159"/>
      <c r="FA70" s="159"/>
      <c r="FB70" s="159"/>
      <c r="FC70" s="159"/>
      <c r="FD70" s="159"/>
      <c r="FE70" s="159"/>
      <c r="FF70" s="159"/>
      <c r="FG70" s="144"/>
      <c r="FH70" s="144"/>
      <c r="FI70" s="144"/>
      <c r="FJ70" s="144"/>
      <c r="FK70" s="144"/>
      <c r="FL70" s="144"/>
      <c r="FM70" s="144"/>
      <c r="FN70" s="144"/>
      <c r="FO70" s="144"/>
      <c r="FP70" s="144"/>
      <c r="FQ70" s="144"/>
      <c r="FR70" s="144"/>
      <c r="FS70" s="144"/>
      <c r="FT70" s="144"/>
      <c r="FU70" s="144"/>
      <c r="FV70" s="144"/>
      <c r="FW70" s="144"/>
      <c r="FX70" s="144"/>
      <c r="FY70" s="144"/>
      <c r="FZ70" s="144"/>
      <c r="GA70" s="144"/>
      <c r="GB70" s="144"/>
      <c r="GC70" s="144"/>
      <c r="GD70" s="144"/>
      <c r="GE70" s="144"/>
      <c r="GF70" s="144"/>
      <c r="GG70" s="144"/>
      <c r="GH70" s="144"/>
      <c r="GI70" s="144"/>
      <c r="GJ70" s="144"/>
      <c r="GK70" s="144"/>
      <c r="GL70" s="144"/>
      <c r="GM70" s="144"/>
      <c r="GN70" s="144"/>
      <c r="GO70" s="144"/>
      <c r="GP70" s="144"/>
      <c r="GQ70" s="144"/>
      <c r="GR70" s="144"/>
      <c r="GS70" s="144"/>
      <c r="GT70" s="144"/>
      <c r="GU70" s="144"/>
      <c r="GV70" s="144"/>
      <c r="GW70" s="144"/>
      <c r="GX70" s="144"/>
      <c r="GY70" s="144"/>
      <c r="GZ70" s="144"/>
      <c r="HA70" s="144"/>
      <c r="HB70" s="144"/>
      <c r="HC70" s="144"/>
      <c r="HD70" s="144"/>
      <c r="HE70" s="144"/>
      <c r="HF70" s="144"/>
      <c r="HG70" s="144"/>
      <c r="HH70" s="144"/>
      <c r="HI70" s="144"/>
      <c r="HJ70" s="144"/>
      <c r="HK70" s="144"/>
      <c r="HL70" s="144"/>
      <c r="HM70" s="144"/>
      <c r="HN70" s="144"/>
      <c r="HO70" s="144"/>
      <c r="HP70" s="144"/>
      <c r="HQ70" s="144"/>
      <c r="HR70" s="144"/>
      <c r="HS70" s="144"/>
      <c r="HT70" s="144"/>
      <c r="HU70" s="144"/>
      <c r="HV70" s="144"/>
      <c r="HW70" s="144"/>
      <c r="HX70" s="144"/>
      <c r="HY70" s="144"/>
      <c r="HZ70" s="144"/>
      <c r="IA70" s="144"/>
      <c r="IB70" s="144"/>
      <c r="IC70" s="144"/>
      <c r="ID70" s="144"/>
      <c r="IE70" s="144"/>
      <c r="IF70" s="144"/>
      <c r="IG70" s="144"/>
      <c r="IH70" s="144"/>
      <c r="II70" s="144"/>
      <c r="IJ70" s="144"/>
      <c r="IK70" s="144"/>
      <c r="IL70" s="144"/>
      <c r="IM70" s="144"/>
      <c r="IN70" s="144"/>
      <c r="IO70" s="144"/>
      <c r="IP70" s="144"/>
      <c r="IQ70" s="144"/>
      <c r="IR70" s="144"/>
      <c r="IS70" s="144"/>
      <c r="IT70" s="144"/>
      <c r="IU70" s="144"/>
      <c r="IV70" s="144"/>
      <c r="IW70" s="144"/>
      <c r="IX70" s="144"/>
      <c r="IY70" s="144"/>
      <c r="IZ70" s="144"/>
      <c r="JA70" s="144"/>
      <c r="JB70" s="144"/>
      <c r="JC70" s="144"/>
      <c r="JD70" s="144"/>
      <c r="JE70" s="186">
        <f t="shared" si="2044"/>
        <v>0</v>
      </c>
      <c r="JF70" s="144">
        <v>14467.04</v>
      </c>
      <c r="JG70" s="186">
        <v>7233.52</v>
      </c>
      <c r="JH70" s="159">
        <v>276919</v>
      </c>
    </row>
    <row r="71" spans="1:268" s="86" customFormat="1">
      <c r="A71" s="402">
        <v>35</v>
      </c>
      <c r="B71" s="414" t="s">
        <v>1124</v>
      </c>
      <c r="C71" s="427" t="s">
        <v>1125</v>
      </c>
      <c r="D71" s="428" t="s">
        <v>638</v>
      </c>
      <c r="E71" s="429" t="s">
        <v>422</v>
      </c>
      <c r="F71" s="430">
        <v>12.43</v>
      </c>
      <c r="G71" s="430">
        <v>29.5</v>
      </c>
      <c r="H71" s="481">
        <f>F71*G71*365</f>
        <v>133840.02499999999</v>
      </c>
      <c r="I71" s="183">
        <v>33460.01</v>
      </c>
      <c r="J71" s="132">
        <f>ROUND(G71*F71*365/4,0)</f>
        <v>33460</v>
      </c>
      <c r="K71" s="131">
        <f>J71</f>
        <v>33460</v>
      </c>
      <c r="L71" s="131">
        <f>K71</f>
        <v>33460</v>
      </c>
      <c r="M71" s="131">
        <f>L71</f>
        <v>33460</v>
      </c>
      <c r="N71" s="133">
        <f>ROUND(M71*(1+取值表!$D$6)*取值表!$H$6,0)</f>
        <v>33187</v>
      </c>
      <c r="O71" s="131">
        <f>N71</f>
        <v>33187</v>
      </c>
      <c r="P71" s="131">
        <f>O71</f>
        <v>33187</v>
      </c>
      <c r="Q71" s="131">
        <f>O71</f>
        <v>33187</v>
      </c>
      <c r="R71" s="133">
        <f>ROUND(Q71*(1+取值表!$D$6)*取值表!$H$6,0)</f>
        <v>32916</v>
      </c>
      <c r="S71" s="131">
        <f t="shared" ref="S71:T71" si="2045">R71</f>
        <v>32916</v>
      </c>
      <c r="T71" s="131">
        <f t="shared" si="2045"/>
        <v>32916</v>
      </c>
      <c r="U71" s="131">
        <f t="shared" ref="U71" si="2046">S71</f>
        <v>32916</v>
      </c>
      <c r="V71" s="133">
        <f>ROUND(U71*(1+取值表!$D$6)*取值表!$H$6,0)</f>
        <v>32647</v>
      </c>
      <c r="W71" s="131">
        <f t="shared" ref="W71:X71" si="2047">V71</f>
        <v>32647</v>
      </c>
      <c r="X71" s="131">
        <f t="shared" si="2047"/>
        <v>32647</v>
      </c>
      <c r="Y71" s="131">
        <f t="shared" ref="Y71" si="2048">W71</f>
        <v>32647</v>
      </c>
      <c r="Z71" s="133">
        <f>ROUND(Y71*(1+取值表!$D$6)*取值表!$H$6,0)</f>
        <v>32380</v>
      </c>
      <c r="AA71" s="131">
        <f t="shared" ref="AA71:AB71" si="2049">Z71</f>
        <v>32380</v>
      </c>
      <c r="AB71" s="131">
        <f t="shared" si="2049"/>
        <v>32380</v>
      </c>
      <c r="AC71" s="131">
        <f t="shared" ref="AC71" si="2050">AA71</f>
        <v>32380</v>
      </c>
      <c r="AD71" s="133">
        <f>ROUND(AC71*(1+取值表!$D$6)*取值表!$H$6,0)</f>
        <v>32115</v>
      </c>
      <c r="AE71" s="131">
        <f t="shared" ref="AE71:AF71" si="2051">AD71</f>
        <v>32115</v>
      </c>
      <c r="AF71" s="131">
        <f t="shared" si="2051"/>
        <v>32115</v>
      </c>
      <c r="AG71" s="131">
        <f t="shared" ref="AG71" si="2052">AE71</f>
        <v>32115</v>
      </c>
      <c r="AH71" s="133">
        <f>ROUND(AG71*(1+取值表!$D$6)*取值表!$H$6,0)</f>
        <v>31853</v>
      </c>
      <c r="AI71" s="131">
        <f t="shared" ref="AI71:AJ71" si="2053">AH71</f>
        <v>31853</v>
      </c>
      <c r="AJ71" s="131">
        <f t="shared" si="2053"/>
        <v>31853</v>
      </c>
      <c r="AK71" s="131">
        <f t="shared" ref="AK71" si="2054">AI71</f>
        <v>31853</v>
      </c>
      <c r="AL71" s="133">
        <f>ROUND(AK71*(1+取值表!$D$6)*取值表!$H$6,0)</f>
        <v>31593</v>
      </c>
      <c r="AM71" s="131">
        <f t="shared" ref="AM71:AN71" si="2055">AL71</f>
        <v>31593</v>
      </c>
      <c r="AN71" s="131">
        <f t="shared" si="2055"/>
        <v>31593</v>
      </c>
      <c r="AO71" s="131">
        <f t="shared" ref="AO71" si="2056">AM71</f>
        <v>31593</v>
      </c>
      <c r="AP71" s="133">
        <f>ROUND(AO71*(1+取值表!$D$6)*取值表!$H$6,0)</f>
        <v>31335</v>
      </c>
      <c r="AQ71" s="131">
        <f t="shared" ref="AQ71:AR71" si="2057">AP71</f>
        <v>31335</v>
      </c>
      <c r="AR71" s="131">
        <f t="shared" si="2057"/>
        <v>31335</v>
      </c>
      <c r="AS71" s="131">
        <f t="shared" ref="AS71" si="2058">AQ71</f>
        <v>31335</v>
      </c>
      <c r="AT71" s="133">
        <f>ROUND(AS71*(1+取值表!$D$6)*取值表!$H$6,0)</f>
        <v>31079</v>
      </c>
      <c r="AU71" s="131">
        <f t="shared" ref="AU71:AV71" si="2059">AT71</f>
        <v>31079</v>
      </c>
      <c r="AV71" s="131">
        <f t="shared" si="2059"/>
        <v>31079</v>
      </c>
      <c r="AW71" s="131">
        <f t="shared" ref="AW71" si="2060">AU71</f>
        <v>31079</v>
      </c>
      <c r="AX71" s="133">
        <f>ROUND(AW71*(1+取值表!$D$6)*取值表!$H$6,0)</f>
        <v>30825</v>
      </c>
      <c r="AY71" s="131">
        <f t="shared" ref="AY71:AZ71" si="2061">AX71</f>
        <v>30825</v>
      </c>
      <c r="AZ71" s="131">
        <f t="shared" si="2061"/>
        <v>30825</v>
      </c>
      <c r="BA71" s="131">
        <f t="shared" ref="BA71" si="2062">AY71</f>
        <v>30825</v>
      </c>
      <c r="BB71" s="133">
        <f>ROUND(BA71*(1+取值表!$D$6)*取值表!$H$6,0)</f>
        <v>30573</v>
      </c>
      <c r="BC71" s="131">
        <f t="shared" ref="BC71:BD71" si="2063">BB71</f>
        <v>30573</v>
      </c>
      <c r="BD71" s="131">
        <f t="shared" si="2063"/>
        <v>30573</v>
      </c>
      <c r="BE71" s="131">
        <f t="shared" ref="BE71" si="2064">BC71</f>
        <v>30573</v>
      </c>
      <c r="BF71" s="133">
        <f>ROUND(BE71*(1+取值表!$D$6)*取值表!$H$6,0)</f>
        <v>30323</v>
      </c>
      <c r="BG71" s="131">
        <f t="shared" ref="BG71:BH71" si="2065">BF71</f>
        <v>30323</v>
      </c>
      <c r="BH71" s="131">
        <f t="shared" si="2065"/>
        <v>30323</v>
      </c>
      <c r="BI71" s="131">
        <f t="shared" ref="BI71" si="2066">BG71</f>
        <v>30323</v>
      </c>
      <c r="BJ71" s="133">
        <f>ROUND(BI71*(1+取值表!$D$6)*取值表!$H$6,0)</f>
        <v>30075</v>
      </c>
      <c r="BK71" s="131">
        <f t="shared" ref="BK71:BL71" si="2067">BJ71</f>
        <v>30075</v>
      </c>
      <c r="BL71" s="131">
        <f t="shared" si="2067"/>
        <v>30075</v>
      </c>
      <c r="BM71" s="131">
        <f t="shared" ref="BM71" si="2068">BK71</f>
        <v>30075</v>
      </c>
      <c r="BN71" s="133">
        <f>ROUND(BM71*(1+取值表!$D$6)*取值表!$H$6,0)</f>
        <v>29829</v>
      </c>
      <c r="BO71" s="131">
        <f t="shared" ref="BO71:BP71" si="2069">BN71</f>
        <v>29829</v>
      </c>
      <c r="BP71" s="131">
        <f t="shared" si="2069"/>
        <v>29829</v>
      </c>
      <c r="BQ71" s="131">
        <f t="shared" ref="BQ71" si="2070">BO71</f>
        <v>29829</v>
      </c>
      <c r="BR71" s="133">
        <f>ROUND(BQ71*(1+取值表!$D$6)*取值表!$H$6,0)</f>
        <v>29585</v>
      </c>
      <c r="BS71" s="131">
        <f t="shared" ref="BS71:BT71" si="2071">BR71</f>
        <v>29585</v>
      </c>
      <c r="BT71" s="131">
        <f t="shared" si="2071"/>
        <v>29585</v>
      </c>
      <c r="BU71" s="131">
        <f t="shared" ref="BU71" si="2072">BS71</f>
        <v>29585</v>
      </c>
      <c r="BV71" s="133">
        <f>ROUND(BU71*(1+取值表!$D$6)*取值表!$H$6,0)</f>
        <v>29343</v>
      </c>
      <c r="BW71" s="131">
        <f t="shared" ref="BW71:BX71" si="2073">BV71</f>
        <v>29343</v>
      </c>
      <c r="BX71" s="131">
        <f t="shared" si="2073"/>
        <v>29343</v>
      </c>
      <c r="BY71" s="131">
        <f t="shared" ref="BY71" si="2074">BW71</f>
        <v>29343</v>
      </c>
      <c r="BZ71" s="133">
        <f>ROUND(BY71*(1+取值表!$D$6)*取值表!$H$6,0)</f>
        <v>29103</v>
      </c>
      <c r="CA71" s="131">
        <f t="shared" ref="CA71:CB71" si="2075">BZ71</f>
        <v>29103</v>
      </c>
      <c r="CB71" s="131">
        <f t="shared" si="2075"/>
        <v>29103</v>
      </c>
      <c r="CC71" s="131">
        <f t="shared" ref="CC71" si="2076">CA71</f>
        <v>29103</v>
      </c>
      <c r="CD71" s="133">
        <f>ROUND(CC71*(1+取值表!$D$6)*取值表!$H$6,0)</f>
        <v>28865</v>
      </c>
      <c r="CE71" s="131">
        <f t="shared" ref="CE71:CF71" si="2077">CD71</f>
        <v>28865</v>
      </c>
      <c r="CF71" s="131">
        <f t="shared" si="2077"/>
        <v>28865</v>
      </c>
      <c r="CG71" s="131">
        <f t="shared" ref="CG71" si="2078">CE71</f>
        <v>28865</v>
      </c>
      <c r="CH71" s="133">
        <f>ROUND(CG71*(1+取值表!$D$6)*取值表!$H$6,0)</f>
        <v>28629</v>
      </c>
      <c r="CI71" s="131">
        <f t="shared" ref="CI71:CJ71" si="2079">CH71</f>
        <v>28629</v>
      </c>
      <c r="CJ71" s="131">
        <f t="shared" si="2079"/>
        <v>28629</v>
      </c>
      <c r="CK71" s="131">
        <f t="shared" ref="CK71" si="2080">CI71</f>
        <v>28629</v>
      </c>
      <c r="CL71" s="133">
        <f>ROUND(CK71*(1+取值表!$D$6)*取值表!$H$6,0)</f>
        <v>28395</v>
      </c>
      <c r="CM71" s="131">
        <f t="shared" ref="CM71:CN71" si="2081">CL71</f>
        <v>28395</v>
      </c>
      <c r="CN71" s="131">
        <f t="shared" si="2081"/>
        <v>28395</v>
      </c>
      <c r="CO71" s="131">
        <f t="shared" ref="CO71" si="2082">CM71</f>
        <v>28395</v>
      </c>
      <c r="CP71" s="133">
        <f>ROUND(CO71*(1+取值表!$D$6)*取值表!$H$6,0)</f>
        <v>28163</v>
      </c>
      <c r="CQ71" s="131">
        <f t="shared" ref="CQ71" si="2083">CP71</f>
        <v>28163</v>
      </c>
      <c r="CR71" s="131">
        <f t="shared" ref="CR71" si="2084">CQ71</f>
        <v>28163</v>
      </c>
      <c r="CS71" s="131">
        <f t="shared" ref="CS71" si="2085">CQ71</f>
        <v>28163</v>
      </c>
      <c r="CT71" s="133">
        <f>ROUND(CS71*(1+取值表!$D$6)*取值表!$H$6,0)</f>
        <v>27933</v>
      </c>
      <c r="CU71" s="131">
        <f t="shared" ref="CU71" si="2086">CT71</f>
        <v>27933</v>
      </c>
      <c r="CV71" s="131">
        <f t="shared" ref="CV71" si="2087">CU71</f>
        <v>27933</v>
      </c>
      <c r="CW71" s="131">
        <f t="shared" ref="CW71" si="2088">CU71</f>
        <v>27933</v>
      </c>
      <c r="CX71" s="133">
        <f>ROUND(CW71*(1+取值表!$D$6)*取值表!$H$6,0)</f>
        <v>27705</v>
      </c>
      <c r="CY71" s="131">
        <f t="shared" ref="CY71" si="2089">CX71</f>
        <v>27705</v>
      </c>
      <c r="CZ71" s="131">
        <f t="shared" ref="CZ71" si="2090">CY71</f>
        <v>27705</v>
      </c>
      <c r="DA71" s="131">
        <f t="shared" ref="DA71" si="2091">CY71</f>
        <v>27705</v>
      </c>
      <c r="DB71" s="133">
        <f>ROUND(DA71*(1+取值表!$D$6)*取值表!$H$6,0)</f>
        <v>27479</v>
      </c>
      <c r="DC71" s="131">
        <f t="shared" ref="DC71" si="2092">DB71</f>
        <v>27479</v>
      </c>
      <c r="DD71" s="131">
        <f t="shared" ref="DD71" si="2093">DC71</f>
        <v>27479</v>
      </c>
      <c r="DE71" s="131">
        <f t="shared" ref="DE71" si="2094">DC71</f>
        <v>27479</v>
      </c>
      <c r="DF71" s="133">
        <f>ROUND(DE71*(1+取值表!$D$6)*取值表!$H$6,0)</f>
        <v>27254</v>
      </c>
      <c r="DG71" s="131">
        <f t="shared" ref="DG71" si="2095">DF71</f>
        <v>27254</v>
      </c>
      <c r="DH71" s="131">
        <f t="shared" ref="DH71" si="2096">DG71</f>
        <v>27254</v>
      </c>
      <c r="DI71" s="131">
        <f t="shared" ref="DI71" si="2097">DG71</f>
        <v>27254</v>
      </c>
      <c r="DJ71" s="133">
        <f>ROUND(DI71*(1+取值表!$D$6)*取值表!$H$6,0)</f>
        <v>27031</v>
      </c>
      <c r="DK71" s="131">
        <f t="shared" ref="DK71" si="2098">DJ71</f>
        <v>27031</v>
      </c>
      <c r="DL71" s="131">
        <f t="shared" ref="DL71" si="2099">DK71</f>
        <v>27031</v>
      </c>
      <c r="DM71" s="131">
        <f t="shared" ref="DM71" si="2100">DK71</f>
        <v>27031</v>
      </c>
      <c r="DN71" s="133">
        <f>ROUND(DM71*(1+取值表!$D$6)*取值表!$H$6,0)</f>
        <v>26810</v>
      </c>
      <c r="DO71" s="131">
        <f t="shared" ref="DO71" si="2101">DN71</f>
        <v>26810</v>
      </c>
      <c r="DP71" s="131">
        <f t="shared" ref="DP71" si="2102">DO71</f>
        <v>26810</v>
      </c>
      <c r="DQ71" s="131">
        <f t="shared" ref="DQ71" si="2103">DO71</f>
        <v>26810</v>
      </c>
      <c r="DR71" s="133">
        <f>ROUND(DQ71*(1+取值表!$D$6)*取值表!$H$6,0)</f>
        <v>26591</v>
      </c>
      <c r="DS71" s="131">
        <f t="shared" ref="DS71" si="2104">DR71</f>
        <v>26591</v>
      </c>
      <c r="DT71" s="131">
        <f t="shared" ref="DT71" si="2105">DS71</f>
        <v>26591</v>
      </c>
      <c r="DU71" s="131">
        <f t="shared" ref="DU71" si="2106">DS71</f>
        <v>26591</v>
      </c>
      <c r="DV71" s="133">
        <f>ROUND(DU71*(1+取值表!$D$6)*取值表!$H$6,0)</f>
        <v>26374</v>
      </c>
      <c r="DW71" s="131">
        <f t="shared" ref="DW71" si="2107">DV71</f>
        <v>26374</v>
      </c>
      <c r="DX71" s="131">
        <f t="shared" ref="DX71" si="2108">DW71</f>
        <v>26374</v>
      </c>
      <c r="DY71" s="131">
        <f t="shared" ref="DY71" si="2109">DW71</f>
        <v>26374</v>
      </c>
      <c r="DZ71" s="133">
        <f>ROUND(DY71*(1+取值表!$D$6)*取值表!$H$6,0)</f>
        <v>26158</v>
      </c>
      <c r="EA71" s="131">
        <f t="shared" ref="EA71" si="2110">DZ71</f>
        <v>26158</v>
      </c>
      <c r="EB71" s="131">
        <f t="shared" ref="EB71" si="2111">EA71</f>
        <v>26158</v>
      </c>
      <c r="EC71" s="131">
        <f t="shared" ref="EC71" si="2112">EA71</f>
        <v>26158</v>
      </c>
      <c r="ED71" s="133">
        <f>ROUND(EC71*(1+取值表!$D$6)*取值表!$H$6,0)</f>
        <v>25944</v>
      </c>
      <c r="EE71" s="131">
        <f t="shared" ref="EE71" si="2113">ED71</f>
        <v>25944</v>
      </c>
      <c r="EF71" s="131">
        <f t="shared" ref="EF71" si="2114">EE71</f>
        <v>25944</v>
      </c>
      <c r="EG71" s="131">
        <f t="shared" ref="EG71" si="2115">EE71</f>
        <v>25944</v>
      </c>
      <c r="EH71" s="133">
        <f>ROUND(EG71*(1+取值表!$D$6)*取值表!$H$6,0)</f>
        <v>25732</v>
      </c>
      <c r="EI71" s="131">
        <f t="shared" ref="EI71" si="2116">EH71</f>
        <v>25732</v>
      </c>
      <c r="EJ71" s="131">
        <f t="shared" ref="EJ71" si="2117">EI71</f>
        <v>25732</v>
      </c>
      <c r="EK71" s="131">
        <f t="shared" ref="EK71" si="2118">EI71</f>
        <v>25732</v>
      </c>
      <c r="EL71" s="133">
        <f>ROUND(EK71*(1+取值表!$D$6)*取值表!$H$6,0)</f>
        <v>25522</v>
      </c>
      <c r="EM71" s="131">
        <f t="shared" ref="EM71" si="2119">EL71</f>
        <v>25522</v>
      </c>
      <c r="EN71" s="131">
        <f t="shared" ref="EN71" si="2120">EM71</f>
        <v>25522</v>
      </c>
      <c r="EO71" s="131">
        <f t="shared" ref="EO71" si="2121">EM71</f>
        <v>25522</v>
      </c>
      <c r="EP71" s="133">
        <f>ROUND(EO71*(1+取值表!$D$6)*取值表!$H$6,0)</f>
        <v>25313</v>
      </c>
      <c r="EQ71" s="131">
        <f t="shared" ref="EQ71" si="2122">EP71</f>
        <v>25313</v>
      </c>
      <c r="ER71" s="131">
        <f t="shared" ref="ER71" si="2123">EQ71</f>
        <v>25313</v>
      </c>
      <c r="ES71" s="131">
        <f t="shared" ref="ES71" si="2124">EQ71</f>
        <v>25313</v>
      </c>
      <c r="ET71" s="133">
        <f t="shared" si="1982"/>
        <v>4088476</v>
      </c>
      <c r="EU71" s="159"/>
      <c r="EV71" s="159"/>
      <c r="EW71" s="159"/>
      <c r="EX71" s="159"/>
      <c r="EY71" s="159"/>
      <c r="EZ71" s="159"/>
      <c r="FA71" s="159"/>
      <c r="FB71" s="159"/>
      <c r="FC71" s="159"/>
      <c r="FD71" s="159"/>
      <c r="FE71" s="159"/>
      <c r="FF71" s="159"/>
      <c r="FG71" s="149"/>
      <c r="FH71" s="149"/>
      <c r="FI71" s="149"/>
      <c r="FJ71" s="149"/>
      <c r="FK71" s="149"/>
      <c r="FL71" s="149"/>
      <c r="FM71" s="149"/>
      <c r="FN71" s="149"/>
      <c r="FO71" s="149"/>
      <c r="FP71" s="149"/>
      <c r="FQ71" s="149"/>
      <c r="FR71" s="149"/>
      <c r="FS71" s="149"/>
      <c r="FT71" s="149"/>
      <c r="FU71" s="149"/>
      <c r="FV71" s="149"/>
      <c r="FW71" s="149"/>
      <c r="FX71" s="149"/>
      <c r="FY71" s="149"/>
      <c r="FZ71" s="149"/>
      <c r="GA71" s="149"/>
      <c r="GB71" s="149"/>
      <c r="GC71" s="149"/>
      <c r="GD71" s="149"/>
      <c r="GE71" s="149"/>
      <c r="GF71" s="149"/>
      <c r="GG71" s="149"/>
      <c r="GH71" s="149"/>
      <c r="GI71" s="149"/>
      <c r="GJ71" s="149"/>
      <c r="GK71" s="149"/>
      <c r="GL71" s="149"/>
      <c r="GM71" s="149"/>
      <c r="GN71" s="149"/>
      <c r="GO71" s="149"/>
      <c r="GP71" s="149"/>
      <c r="GQ71" s="149"/>
      <c r="GR71" s="149"/>
      <c r="GS71" s="149"/>
      <c r="GT71" s="149"/>
      <c r="GU71" s="149"/>
      <c r="GV71" s="149"/>
      <c r="GW71" s="149"/>
      <c r="GX71" s="149"/>
      <c r="GY71" s="149"/>
      <c r="GZ71" s="149"/>
      <c r="HA71" s="149"/>
      <c r="HB71" s="149"/>
      <c r="HC71" s="149"/>
      <c r="HD71" s="149"/>
      <c r="HE71" s="149"/>
      <c r="HF71" s="149"/>
      <c r="HG71" s="149"/>
      <c r="HH71" s="149"/>
      <c r="HI71" s="149"/>
      <c r="HJ71" s="149"/>
      <c r="HK71" s="149"/>
      <c r="HL71" s="149"/>
      <c r="HM71" s="149"/>
      <c r="HN71" s="149"/>
      <c r="HO71" s="149"/>
      <c r="HP71" s="149"/>
      <c r="HQ71" s="149"/>
      <c r="HR71" s="149"/>
      <c r="HS71" s="149"/>
      <c r="HT71" s="149"/>
      <c r="HU71" s="149"/>
      <c r="HV71" s="149"/>
      <c r="HW71" s="149"/>
      <c r="HX71" s="149"/>
      <c r="HY71" s="149"/>
      <c r="HZ71" s="149"/>
      <c r="IA71" s="149"/>
      <c r="IB71" s="149"/>
      <c r="IC71" s="149"/>
      <c r="ID71" s="149"/>
      <c r="IE71" s="149"/>
      <c r="IF71" s="149"/>
      <c r="IG71" s="149"/>
      <c r="IH71" s="149"/>
      <c r="II71" s="149"/>
      <c r="IJ71" s="149"/>
      <c r="IK71" s="149"/>
      <c r="IL71" s="149"/>
      <c r="IM71" s="149"/>
      <c r="IN71" s="149"/>
      <c r="IO71" s="149"/>
      <c r="IP71" s="149"/>
      <c r="IQ71" s="149"/>
      <c r="IR71" s="149"/>
      <c r="IS71" s="149"/>
      <c r="IT71" s="149"/>
      <c r="IU71" s="149"/>
      <c r="IV71" s="149"/>
      <c r="IW71" s="149"/>
      <c r="IX71" s="149"/>
      <c r="IY71" s="149"/>
      <c r="IZ71" s="149"/>
      <c r="JA71" s="149"/>
      <c r="JB71" s="149"/>
      <c r="JC71" s="149"/>
      <c r="JD71" s="149"/>
      <c r="JE71" s="184">
        <f t="shared" si="2044"/>
        <v>8176952</v>
      </c>
      <c r="JF71" s="149">
        <f>JG71*2</f>
        <v>114929.60000000001</v>
      </c>
      <c r="JG71" s="184">
        <v>57464.800000000003</v>
      </c>
      <c r="JH71" s="159">
        <v>121388.656</v>
      </c>
    </row>
    <row r="72" spans="1:268" s="86" customFormat="1">
      <c r="A72" s="402"/>
      <c r="B72" s="414"/>
      <c r="C72" s="427"/>
      <c r="D72" s="428"/>
      <c r="E72" s="429"/>
      <c r="F72" s="430"/>
      <c r="G72" s="430"/>
      <c r="H72" s="481"/>
      <c r="I72" s="185"/>
      <c r="J72" s="131"/>
      <c r="K72" s="131"/>
      <c r="L72" s="131"/>
      <c r="M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1"/>
      <c r="AT72" s="131"/>
      <c r="AU72" s="131"/>
      <c r="AV72" s="131"/>
      <c r="AW72" s="131"/>
      <c r="AX72" s="131"/>
      <c r="AY72" s="131"/>
      <c r="AZ72" s="131"/>
      <c r="BA72" s="131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  <c r="BP72" s="131"/>
      <c r="BQ72" s="131"/>
      <c r="BR72" s="131"/>
      <c r="BS72" s="131"/>
      <c r="BT72" s="131"/>
      <c r="BU72" s="131"/>
      <c r="BV72" s="131"/>
      <c r="BW72" s="131"/>
      <c r="BX72" s="131"/>
      <c r="BY72" s="131"/>
      <c r="BZ72" s="131"/>
      <c r="CA72" s="131"/>
      <c r="CB72" s="131"/>
      <c r="CC72" s="131"/>
      <c r="CD72" s="131"/>
      <c r="CE72" s="131"/>
      <c r="CF72" s="131"/>
      <c r="CG72" s="131"/>
      <c r="CH72" s="131"/>
      <c r="CI72" s="131"/>
      <c r="CJ72" s="131"/>
      <c r="CK72" s="131"/>
      <c r="CL72" s="131"/>
      <c r="CM72" s="131"/>
      <c r="CN72" s="131"/>
      <c r="CO72" s="131"/>
      <c r="CP72" s="131"/>
      <c r="CQ72" s="131"/>
      <c r="CR72" s="131"/>
      <c r="CS72" s="131"/>
      <c r="CT72" s="131"/>
      <c r="CU72" s="131"/>
      <c r="CV72" s="131"/>
      <c r="CW72" s="131"/>
      <c r="CX72" s="131"/>
      <c r="CY72" s="131"/>
      <c r="CZ72" s="131"/>
      <c r="DA72" s="131"/>
      <c r="DB72" s="131"/>
      <c r="DC72" s="131"/>
      <c r="DD72" s="131"/>
      <c r="DE72" s="131"/>
      <c r="DF72" s="131"/>
      <c r="DG72" s="131"/>
      <c r="DH72" s="131"/>
      <c r="DI72" s="131"/>
      <c r="DJ72" s="131"/>
      <c r="DK72" s="131"/>
      <c r="DL72" s="131"/>
      <c r="DM72" s="131"/>
      <c r="DN72" s="131"/>
      <c r="DO72" s="131"/>
      <c r="DP72" s="131"/>
      <c r="DQ72" s="131"/>
      <c r="DR72" s="131"/>
      <c r="DS72" s="131"/>
      <c r="DT72" s="131"/>
      <c r="DU72" s="131"/>
      <c r="DV72" s="131"/>
      <c r="DW72" s="131"/>
      <c r="DX72" s="131"/>
      <c r="DY72" s="131"/>
      <c r="DZ72" s="131"/>
      <c r="EA72" s="131"/>
      <c r="EB72" s="131"/>
      <c r="EC72" s="131"/>
      <c r="ED72" s="131"/>
      <c r="EE72" s="131"/>
      <c r="EF72" s="131"/>
      <c r="EG72" s="131"/>
      <c r="EH72" s="131"/>
      <c r="EI72" s="131"/>
      <c r="EJ72" s="131"/>
      <c r="EK72" s="131"/>
      <c r="EL72" s="131"/>
      <c r="EM72" s="131"/>
      <c r="EN72" s="131"/>
      <c r="EO72" s="131"/>
      <c r="EP72" s="131"/>
      <c r="EQ72" s="131"/>
      <c r="ER72" s="131"/>
      <c r="ES72" s="131"/>
      <c r="ET72" s="133">
        <f t="shared" si="1982"/>
        <v>0</v>
      </c>
      <c r="EU72" s="159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9"/>
      <c r="FG72" s="144"/>
      <c r="FH72" s="144"/>
      <c r="FI72" s="144"/>
      <c r="FJ72" s="144"/>
      <c r="FK72" s="144"/>
      <c r="FL72" s="144"/>
      <c r="FM72" s="144"/>
      <c r="FN72" s="144"/>
      <c r="FO72" s="144"/>
      <c r="FP72" s="144"/>
      <c r="FQ72" s="144"/>
      <c r="FR72" s="144"/>
      <c r="FS72" s="144"/>
      <c r="FT72" s="144"/>
      <c r="FU72" s="144"/>
      <c r="FV72" s="144"/>
      <c r="FW72" s="144"/>
      <c r="FX72" s="144"/>
      <c r="FY72" s="144"/>
      <c r="FZ72" s="144"/>
      <c r="GA72" s="144"/>
      <c r="GB72" s="144"/>
      <c r="GC72" s="144"/>
      <c r="GD72" s="144"/>
      <c r="GE72" s="144"/>
      <c r="GF72" s="144"/>
      <c r="GG72" s="144"/>
      <c r="GH72" s="144"/>
      <c r="GI72" s="144"/>
      <c r="GJ72" s="144"/>
      <c r="GK72" s="144"/>
      <c r="GL72" s="144"/>
      <c r="GM72" s="144"/>
      <c r="GN72" s="144"/>
      <c r="GO72" s="144"/>
      <c r="GP72" s="144"/>
      <c r="GQ72" s="144"/>
      <c r="GR72" s="144"/>
      <c r="GS72" s="144"/>
      <c r="GT72" s="144"/>
      <c r="GU72" s="144"/>
      <c r="GV72" s="144"/>
      <c r="GW72" s="144"/>
      <c r="GX72" s="144"/>
      <c r="GY72" s="144"/>
      <c r="GZ72" s="144"/>
      <c r="HA72" s="144"/>
      <c r="HB72" s="144"/>
      <c r="HC72" s="144"/>
      <c r="HD72" s="144"/>
      <c r="HE72" s="144"/>
      <c r="HF72" s="144"/>
      <c r="HG72" s="144"/>
      <c r="HH72" s="144"/>
      <c r="HI72" s="144"/>
      <c r="HJ72" s="144"/>
      <c r="HK72" s="144"/>
      <c r="HL72" s="144"/>
      <c r="HM72" s="144"/>
      <c r="HN72" s="144"/>
      <c r="HO72" s="144"/>
      <c r="HP72" s="144"/>
      <c r="HQ72" s="144"/>
      <c r="HR72" s="144"/>
      <c r="HS72" s="144"/>
      <c r="HT72" s="144"/>
      <c r="HU72" s="144"/>
      <c r="HV72" s="144"/>
      <c r="HW72" s="144"/>
      <c r="HX72" s="144"/>
      <c r="HY72" s="144"/>
      <c r="HZ72" s="144"/>
      <c r="IA72" s="144"/>
      <c r="IB72" s="144"/>
      <c r="IC72" s="144"/>
      <c r="ID72" s="144"/>
      <c r="IE72" s="144"/>
      <c r="IF72" s="144"/>
      <c r="IG72" s="144"/>
      <c r="IH72" s="144"/>
      <c r="II72" s="144"/>
      <c r="IJ72" s="144"/>
      <c r="IK72" s="144"/>
      <c r="IL72" s="144"/>
      <c r="IM72" s="144"/>
      <c r="IN72" s="144"/>
      <c r="IO72" s="144"/>
      <c r="IP72" s="144"/>
      <c r="IQ72" s="144"/>
      <c r="IR72" s="144"/>
      <c r="IS72" s="144"/>
      <c r="IT72" s="144"/>
      <c r="IU72" s="144"/>
      <c r="IV72" s="144"/>
      <c r="IW72" s="144"/>
      <c r="IX72" s="144"/>
      <c r="IY72" s="144"/>
      <c r="IZ72" s="144"/>
      <c r="JA72" s="144"/>
      <c r="JB72" s="144"/>
      <c r="JC72" s="144"/>
      <c r="JD72" s="144"/>
      <c r="JE72" s="186">
        <f t="shared" si="2044"/>
        <v>0</v>
      </c>
      <c r="JF72" s="144"/>
      <c r="JG72" s="186"/>
      <c r="JH72" s="159">
        <v>111155.31</v>
      </c>
    </row>
    <row r="73" spans="1:268" s="86" customFormat="1">
      <c r="A73" s="402">
        <v>36</v>
      </c>
      <c r="B73" s="414" t="s">
        <v>1126</v>
      </c>
      <c r="C73" s="427" t="s">
        <v>1127</v>
      </c>
      <c r="D73" s="428" t="s">
        <v>552</v>
      </c>
      <c r="E73" s="429" t="s">
        <v>422</v>
      </c>
      <c r="F73" s="430">
        <v>103.33</v>
      </c>
      <c r="G73" s="430">
        <v>17</v>
      </c>
      <c r="H73" s="481">
        <f>F73*G73*365</f>
        <v>641162.64999999991</v>
      </c>
      <c r="I73" s="183">
        <v>141432.94</v>
      </c>
      <c r="J73" s="132">
        <f>ROUND(G73*F73*365/4,0)</f>
        <v>160291</v>
      </c>
      <c r="K73" s="131">
        <f>J73</f>
        <v>160291</v>
      </c>
      <c r="L73" s="131">
        <f>K73</f>
        <v>160291</v>
      </c>
      <c r="M73" s="131">
        <f>L73</f>
        <v>160291</v>
      </c>
      <c r="N73" s="133">
        <f>ROUND(M73*(1+取值表!$D$6)*取值表!$H$6,0)</f>
        <v>158981</v>
      </c>
      <c r="O73" s="131">
        <f>N73</f>
        <v>158981</v>
      </c>
      <c r="P73" s="131">
        <f>O73</f>
        <v>158981</v>
      </c>
      <c r="Q73" s="131">
        <f>P73</f>
        <v>158981</v>
      </c>
      <c r="R73" s="133">
        <f>ROUND(Q73*(1+取值表!$D$6)*取值表!$H$6,0)</f>
        <v>157682</v>
      </c>
      <c r="S73" s="131">
        <f t="shared" ref="S73:U73" si="2125">R73</f>
        <v>157682</v>
      </c>
      <c r="T73" s="131">
        <f t="shared" si="2125"/>
        <v>157682</v>
      </c>
      <c r="U73" s="131">
        <f t="shared" si="2125"/>
        <v>157682</v>
      </c>
      <c r="V73" s="133">
        <f>ROUND(U73*(1+取值表!$D$6)*取值表!$H$6,0)</f>
        <v>156394</v>
      </c>
      <c r="W73" s="131">
        <f t="shared" ref="W73:Y73" si="2126">V73</f>
        <v>156394</v>
      </c>
      <c r="X73" s="131">
        <f t="shared" si="2126"/>
        <v>156394</v>
      </c>
      <c r="Y73" s="131">
        <f t="shared" si="2126"/>
        <v>156394</v>
      </c>
      <c r="Z73" s="133">
        <f>ROUND(Y73*(1+取值表!$D$6)*取值表!$H$6,0)</f>
        <v>155116</v>
      </c>
      <c r="AA73" s="131">
        <f t="shared" ref="AA73:AC73" si="2127">Z73</f>
        <v>155116</v>
      </c>
      <c r="AB73" s="131">
        <f t="shared" si="2127"/>
        <v>155116</v>
      </c>
      <c r="AC73" s="131">
        <f t="shared" si="2127"/>
        <v>155116</v>
      </c>
      <c r="AD73" s="133">
        <f>ROUND(AC73*(1+取值表!$D$6)*取值表!$H$6,0)</f>
        <v>153849</v>
      </c>
      <c r="AE73" s="131">
        <f t="shared" ref="AE73:AG73" si="2128">AD73</f>
        <v>153849</v>
      </c>
      <c r="AF73" s="131">
        <f t="shared" si="2128"/>
        <v>153849</v>
      </c>
      <c r="AG73" s="131">
        <f t="shared" si="2128"/>
        <v>153849</v>
      </c>
      <c r="AH73" s="133">
        <f>ROUND(AG73*(1+取值表!$D$6)*取值表!$H$6,0)</f>
        <v>152592</v>
      </c>
      <c r="AI73" s="131">
        <f t="shared" ref="AI73:AK73" si="2129">AH73</f>
        <v>152592</v>
      </c>
      <c r="AJ73" s="131">
        <f t="shared" si="2129"/>
        <v>152592</v>
      </c>
      <c r="AK73" s="131">
        <f t="shared" si="2129"/>
        <v>152592</v>
      </c>
      <c r="AL73" s="133">
        <f>ROUND(AK73*(1+取值表!$D$6)*取值表!$H$6,0)</f>
        <v>151345</v>
      </c>
      <c r="AM73" s="131">
        <f t="shared" ref="AM73:AO73" si="2130">AL73</f>
        <v>151345</v>
      </c>
      <c r="AN73" s="131">
        <f t="shared" si="2130"/>
        <v>151345</v>
      </c>
      <c r="AO73" s="131">
        <f t="shared" si="2130"/>
        <v>151345</v>
      </c>
      <c r="AP73" s="133">
        <f>ROUND(AO73*(1+取值表!$D$6)*取值表!$H$6,0)</f>
        <v>150108</v>
      </c>
      <c r="AQ73" s="131">
        <f t="shared" ref="AQ73:AS73" si="2131">AP73</f>
        <v>150108</v>
      </c>
      <c r="AR73" s="131">
        <f t="shared" si="2131"/>
        <v>150108</v>
      </c>
      <c r="AS73" s="131">
        <f t="shared" si="2131"/>
        <v>150108</v>
      </c>
      <c r="AT73" s="133">
        <f>ROUND(AS73*(1+取值表!$D$6)*取值表!$H$6,0)</f>
        <v>148881</v>
      </c>
      <c r="AU73" s="131">
        <f t="shared" ref="AU73:AW73" si="2132">AT73</f>
        <v>148881</v>
      </c>
      <c r="AV73" s="131">
        <f t="shared" si="2132"/>
        <v>148881</v>
      </c>
      <c r="AW73" s="131">
        <f t="shared" si="2132"/>
        <v>148881</v>
      </c>
      <c r="AX73" s="133">
        <f>ROUND(AW73*(1+取值表!$D$6)*取值表!$H$6,0)</f>
        <v>147664</v>
      </c>
      <c r="AY73" s="131">
        <f t="shared" ref="AY73:BA73" si="2133">AX73</f>
        <v>147664</v>
      </c>
      <c r="AZ73" s="131">
        <f t="shared" si="2133"/>
        <v>147664</v>
      </c>
      <c r="BA73" s="131">
        <f t="shared" si="2133"/>
        <v>147664</v>
      </c>
      <c r="BB73" s="133">
        <f>ROUND(BA73*(1+取值表!$D$6)*取值表!$H$6,0)</f>
        <v>146457</v>
      </c>
      <c r="BC73" s="131">
        <f t="shared" ref="BC73:BE73" si="2134">BB73</f>
        <v>146457</v>
      </c>
      <c r="BD73" s="131">
        <f t="shared" si="2134"/>
        <v>146457</v>
      </c>
      <c r="BE73" s="131">
        <f t="shared" si="2134"/>
        <v>146457</v>
      </c>
      <c r="BF73" s="133">
        <f>ROUND(BE73*(1+取值表!$D$6)*取值表!$H$6,0)</f>
        <v>145260</v>
      </c>
      <c r="BG73" s="131">
        <f t="shared" ref="BG73:BI73" si="2135">BF73</f>
        <v>145260</v>
      </c>
      <c r="BH73" s="131">
        <f t="shared" si="2135"/>
        <v>145260</v>
      </c>
      <c r="BI73" s="131">
        <f t="shared" si="2135"/>
        <v>145260</v>
      </c>
      <c r="BJ73" s="133">
        <f>ROUND(BI73*(1+取值表!$D$6)*取值表!$H$6,0)</f>
        <v>144073</v>
      </c>
      <c r="BK73" s="131">
        <f t="shared" ref="BK73:BM73" si="2136">BJ73</f>
        <v>144073</v>
      </c>
      <c r="BL73" s="131">
        <f t="shared" si="2136"/>
        <v>144073</v>
      </c>
      <c r="BM73" s="131">
        <f t="shared" si="2136"/>
        <v>144073</v>
      </c>
      <c r="BN73" s="133">
        <f>ROUND(BM73*(1+取值表!$D$6)*取值表!$H$6,0)</f>
        <v>142896</v>
      </c>
      <c r="BO73" s="131">
        <f t="shared" ref="BO73:BQ73" si="2137">BN73</f>
        <v>142896</v>
      </c>
      <c r="BP73" s="131">
        <f t="shared" si="2137"/>
        <v>142896</v>
      </c>
      <c r="BQ73" s="131">
        <f t="shared" si="2137"/>
        <v>142896</v>
      </c>
      <c r="BR73" s="133">
        <f>ROUND(BQ73*(1+取值表!$D$6)*取值表!$H$6,0)</f>
        <v>141728</v>
      </c>
      <c r="BS73" s="131">
        <f t="shared" ref="BS73:BU73" si="2138">BR73</f>
        <v>141728</v>
      </c>
      <c r="BT73" s="131">
        <f t="shared" si="2138"/>
        <v>141728</v>
      </c>
      <c r="BU73" s="131">
        <f t="shared" si="2138"/>
        <v>141728</v>
      </c>
      <c r="BV73" s="133">
        <f>ROUND(BU73*(1+取值表!$D$6)*取值表!$H$6,0)</f>
        <v>140570</v>
      </c>
      <c r="BW73" s="131">
        <f t="shared" ref="BW73:BY73" si="2139">BV73</f>
        <v>140570</v>
      </c>
      <c r="BX73" s="131">
        <f t="shared" si="2139"/>
        <v>140570</v>
      </c>
      <c r="BY73" s="131">
        <f t="shared" si="2139"/>
        <v>140570</v>
      </c>
      <c r="BZ73" s="133">
        <f>ROUND(BY73*(1+取值表!$D$6)*取值表!$H$6,0)</f>
        <v>139421</v>
      </c>
      <c r="CA73" s="131">
        <f t="shared" ref="CA73:CC73" si="2140">BZ73</f>
        <v>139421</v>
      </c>
      <c r="CB73" s="131">
        <f t="shared" si="2140"/>
        <v>139421</v>
      </c>
      <c r="CC73" s="131">
        <f t="shared" si="2140"/>
        <v>139421</v>
      </c>
      <c r="CD73" s="133">
        <f>ROUND(CC73*(1+取值表!$D$6)*取值表!$H$6,0)</f>
        <v>138282</v>
      </c>
      <c r="CE73" s="131">
        <f t="shared" ref="CE73:CG73" si="2141">CD73</f>
        <v>138282</v>
      </c>
      <c r="CF73" s="131">
        <f t="shared" si="2141"/>
        <v>138282</v>
      </c>
      <c r="CG73" s="131">
        <f t="shared" si="2141"/>
        <v>138282</v>
      </c>
      <c r="CH73" s="133">
        <f>ROUND(CG73*(1+取值表!$D$6)*取值表!$H$6,0)</f>
        <v>137152</v>
      </c>
      <c r="CI73" s="131">
        <f t="shared" ref="CI73:CK73" si="2142">CH73</f>
        <v>137152</v>
      </c>
      <c r="CJ73" s="131">
        <f t="shared" si="2142"/>
        <v>137152</v>
      </c>
      <c r="CK73" s="131">
        <f t="shared" si="2142"/>
        <v>137152</v>
      </c>
      <c r="CL73" s="133">
        <f>ROUND(CK73*(1+取值表!$D$6)*取值表!$H$6,0)</f>
        <v>136031</v>
      </c>
      <c r="CM73" s="131">
        <f t="shared" ref="CM73:CO73" si="2143">CL73</f>
        <v>136031</v>
      </c>
      <c r="CN73" s="131">
        <f t="shared" si="2143"/>
        <v>136031</v>
      </c>
      <c r="CO73" s="131">
        <f t="shared" si="2143"/>
        <v>136031</v>
      </c>
      <c r="CP73" s="133">
        <f>ROUND(CO73*(1+取值表!$D$6)*取值表!$H$6,0)</f>
        <v>134919</v>
      </c>
      <c r="CQ73" s="131">
        <f t="shared" ref="CQ73" si="2144">CP73</f>
        <v>134919</v>
      </c>
      <c r="CR73" s="131">
        <f t="shared" ref="CR73" si="2145">CQ73</f>
        <v>134919</v>
      </c>
      <c r="CS73" s="131">
        <f t="shared" ref="CS73" si="2146">CR73</f>
        <v>134919</v>
      </c>
      <c r="CT73" s="133">
        <f>ROUND(CS73*(1+取值表!$D$6)*取值表!$H$6,0)</f>
        <v>133817</v>
      </c>
      <c r="CU73" s="131">
        <f t="shared" ref="CU73" si="2147">CT73</f>
        <v>133817</v>
      </c>
      <c r="CV73" s="131">
        <f t="shared" ref="CV73" si="2148">CU73</f>
        <v>133817</v>
      </c>
      <c r="CW73" s="131">
        <f t="shared" ref="CW73" si="2149">CV73</f>
        <v>133817</v>
      </c>
      <c r="CX73" s="133">
        <f>ROUND(CW73*(1+取值表!$D$6)*取值表!$H$6,0)</f>
        <v>132724</v>
      </c>
      <c r="CY73" s="131">
        <f t="shared" ref="CY73" si="2150">CX73</f>
        <v>132724</v>
      </c>
      <c r="CZ73" s="131">
        <f t="shared" ref="CZ73" si="2151">CY73</f>
        <v>132724</v>
      </c>
      <c r="DA73" s="131">
        <f t="shared" ref="DA73" si="2152">CZ73</f>
        <v>132724</v>
      </c>
      <c r="DB73" s="133">
        <f>ROUND(DA73*(1+取值表!$D$6)*取值表!$H$6,0)</f>
        <v>131640</v>
      </c>
      <c r="DC73" s="131">
        <f t="shared" ref="DC73" si="2153">DB73</f>
        <v>131640</v>
      </c>
      <c r="DD73" s="131">
        <f t="shared" ref="DD73" si="2154">DC73</f>
        <v>131640</v>
      </c>
      <c r="DE73" s="131">
        <f t="shared" ref="DE73" si="2155">DD73</f>
        <v>131640</v>
      </c>
      <c r="DF73" s="133">
        <f>ROUND(DE73*(1+取值表!$D$6)*取值表!$H$6,0)</f>
        <v>130564</v>
      </c>
      <c r="DG73" s="131">
        <f t="shared" ref="DG73" si="2156">DF73</f>
        <v>130564</v>
      </c>
      <c r="DH73" s="131">
        <f t="shared" ref="DH73" si="2157">DG73</f>
        <v>130564</v>
      </c>
      <c r="DI73" s="131">
        <f t="shared" ref="DI73" si="2158">DH73</f>
        <v>130564</v>
      </c>
      <c r="DJ73" s="133">
        <f>ROUND(DI73*(1+取值表!$D$6)*取值表!$H$6,0)</f>
        <v>129497</v>
      </c>
      <c r="DK73" s="131">
        <f t="shared" ref="DK73" si="2159">DJ73</f>
        <v>129497</v>
      </c>
      <c r="DL73" s="131">
        <f t="shared" ref="DL73" si="2160">DK73</f>
        <v>129497</v>
      </c>
      <c r="DM73" s="131">
        <f t="shared" ref="DM73" si="2161">DL73</f>
        <v>129497</v>
      </c>
      <c r="DN73" s="133">
        <f>ROUND(DM73*(1+取值表!$D$6)*取值表!$H$6,0)</f>
        <v>128439</v>
      </c>
      <c r="DO73" s="131">
        <f t="shared" ref="DO73" si="2162">DN73</f>
        <v>128439</v>
      </c>
      <c r="DP73" s="131">
        <f t="shared" ref="DP73" si="2163">DO73</f>
        <v>128439</v>
      </c>
      <c r="DQ73" s="131">
        <f t="shared" ref="DQ73" si="2164">DP73</f>
        <v>128439</v>
      </c>
      <c r="DR73" s="133">
        <f>ROUND(DQ73*(1+取值表!$D$6)*取值表!$H$6,0)</f>
        <v>127390</v>
      </c>
      <c r="DS73" s="131">
        <f t="shared" ref="DS73" si="2165">DR73</f>
        <v>127390</v>
      </c>
      <c r="DT73" s="131">
        <f t="shared" ref="DT73" si="2166">DS73</f>
        <v>127390</v>
      </c>
      <c r="DU73" s="131">
        <f t="shared" ref="DU73" si="2167">DT73</f>
        <v>127390</v>
      </c>
      <c r="DV73" s="133">
        <f>ROUND(DU73*(1+取值表!$D$6)*取值表!$H$6,0)</f>
        <v>126349</v>
      </c>
      <c r="DW73" s="131">
        <f t="shared" ref="DW73" si="2168">DV73</f>
        <v>126349</v>
      </c>
      <c r="DX73" s="131">
        <f t="shared" ref="DX73" si="2169">DW73</f>
        <v>126349</v>
      </c>
      <c r="DY73" s="131">
        <f t="shared" ref="DY73" si="2170">DX73</f>
        <v>126349</v>
      </c>
      <c r="DZ73" s="133">
        <f>ROUND(DY73*(1+取值表!$D$6)*取值表!$H$6,0)</f>
        <v>125317</v>
      </c>
      <c r="EA73" s="131">
        <f t="shared" ref="EA73" si="2171">DZ73</f>
        <v>125317</v>
      </c>
      <c r="EB73" s="131">
        <f t="shared" ref="EB73" si="2172">EA73</f>
        <v>125317</v>
      </c>
      <c r="EC73" s="131">
        <f t="shared" ref="EC73" si="2173">EB73</f>
        <v>125317</v>
      </c>
      <c r="ED73" s="133">
        <f>ROUND(EC73*(1+取值表!$D$6)*取值表!$H$6,0)</f>
        <v>124293</v>
      </c>
      <c r="EE73" s="131">
        <f t="shared" ref="EE73" si="2174">ED73</f>
        <v>124293</v>
      </c>
      <c r="EF73" s="131">
        <f t="shared" ref="EF73" si="2175">EE73</f>
        <v>124293</v>
      </c>
      <c r="EG73" s="131">
        <f t="shared" ref="EG73" si="2176">EF73</f>
        <v>124293</v>
      </c>
      <c r="EH73" s="133">
        <f>ROUND(EG73*(1+取值表!$D$6)*取值表!$H$6,0)</f>
        <v>123277</v>
      </c>
      <c r="EI73" s="131">
        <f t="shared" ref="EI73" si="2177">EH73</f>
        <v>123277</v>
      </c>
      <c r="EJ73" s="131">
        <f t="shared" ref="EJ73" si="2178">EI73</f>
        <v>123277</v>
      </c>
      <c r="EK73" s="131">
        <f t="shared" ref="EK73" si="2179">EJ73</f>
        <v>123277</v>
      </c>
      <c r="EL73" s="133">
        <f>ROUND(EK73*(1+取值表!$D$6)*取值表!$H$6,0)</f>
        <v>122270</v>
      </c>
      <c r="EM73" s="131">
        <f t="shared" ref="EM73" si="2180">EL73</f>
        <v>122270</v>
      </c>
      <c r="EN73" s="131">
        <f t="shared" ref="EN73" si="2181">EM73</f>
        <v>122270</v>
      </c>
      <c r="EO73" s="131">
        <f t="shared" ref="EO73" si="2182">EN73</f>
        <v>122270</v>
      </c>
      <c r="EP73" s="133">
        <f>ROUND(EO73*(1+取值表!$D$6)*取值表!$H$6,0)</f>
        <v>121271</v>
      </c>
      <c r="EQ73" s="131">
        <f t="shared" ref="EQ73" si="2183">EP73</f>
        <v>121271</v>
      </c>
      <c r="ER73" s="131">
        <f t="shared" ref="ER73" si="2184">EQ73</f>
        <v>121271</v>
      </c>
      <c r="ES73" s="131">
        <f t="shared" ref="ES73" si="2185">ER73</f>
        <v>121271</v>
      </c>
      <c r="ET73" s="133">
        <f t="shared" si="1982"/>
        <v>19586160</v>
      </c>
      <c r="EU73" s="159"/>
      <c r="EV73" s="159"/>
      <c r="EW73" s="159"/>
      <c r="EX73" s="159"/>
      <c r="EY73" s="159"/>
      <c r="EZ73" s="159"/>
      <c r="FA73" s="159"/>
      <c r="FB73" s="159"/>
      <c r="FC73" s="159"/>
      <c r="FD73" s="159"/>
      <c r="FE73" s="159"/>
      <c r="FF73" s="159"/>
      <c r="FG73" s="149"/>
      <c r="FH73" s="149"/>
      <c r="FI73" s="149"/>
      <c r="FJ73" s="149"/>
      <c r="FK73" s="149"/>
      <c r="FL73" s="149"/>
      <c r="FM73" s="149"/>
      <c r="FN73" s="149"/>
      <c r="FO73" s="149"/>
      <c r="FP73" s="149"/>
      <c r="FQ73" s="149"/>
      <c r="FR73" s="149"/>
      <c r="FS73" s="149"/>
      <c r="FT73" s="149"/>
      <c r="FU73" s="149"/>
      <c r="FV73" s="149"/>
      <c r="FW73" s="149"/>
      <c r="FX73" s="149"/>
      <c r="FY73" s="149"/>
      <c r="FZ73" s="149"/>
      <c r="GA73" s="149"/>
      <c r="GB73" s="149"/>
      <c r="GC73" s="149"/>
      <c r="GD73" s="149"/>
      <c r="GE73" s="149"/>
      <c r="GF73" s="149"/>
      <c r="GG73" s="149"/>
      <c r="GH73" s="149"/>
      <c r="GI73" s="149"/>
      <c r="GJ73" s="149"/>
      <c r="GK73" s="149"/>
      <c r="GL73" s="149"/>
      <c r="GM73" s="149"/>
      <c r="GN73" s="149"/>
      <c r="GO73" s="149"/>
      <c r="GP73" s="149"/>
      <c r="GQ73" s="149"/>
      <c r="GR73" s="149"/>
      <c r="GS73" s="149"/>
      <c r="GT73" s="149"/>
      <c r="GU73" s="149"/>
      <c r="GV73" s="149"/>
      <c r="GW73" s="149"/>
      <c r="GX73" s="149"/>
      <c r="GY73" s="149"/>
      <c r="GZ73" s="149"/>
      <c r="HA73" s="149"/>
      <c r="HB73" s="149"/>
      <c r="HC73" s="149"/>
      <c r="HD73" s="149"/>
      <c r="HE73" s="149"/>
      <c r="HF73" s="149"/>
      <c r="HG73" s="149"/>
      <c r="HH73" s="149"/>
      <c r="HI73" s="149"/>
      <c r="HJ73" s="149"/>
      <c r="HK73" s="149"/>
      <c r="HL73" s="149"/>
      <c r="HM73" s="149"/>
      <c r="HN73" s="149"/>
      <c r="HO73" s="149"/>
      <c r="HP73" s="149"/>
      <c r="HQ73" s="149"/>
      <c r="HR73" s="149"/>
      <c r="HS73" s="149"/>
      <c r="HT73" s="149"/>
      <c r="HU73" s="149"/>
      <c r="HV73" s="149"/>
      <c r="HW73" s="149"/>
      <c r="HX73" s="149"/>
      <c r="HY73" s="149"/>
      <c r="HZ73" s="149"/>
      <c r="IA73" s="149"/>
      <c r="IB73" s="149"/>
      <c r="IC73" s="149"/>
      <c r="ID73" s="149"/>
      <c r="IE73" s="149"/>
      <c r="IF73" s="149"/>
      <c r="IG73" s="149"/>
      <c r="IH73" s="149"/>
      <c r="II73" s="149"/>
      <c r="IJ73" s="149"/>
      <c r="IK73" s="149"/>
      <c r="IL73" s="149"/>
      <c r="IM73" s="149"/>
      <c r="IN73" s="149"/>
      <c r="IO73" s="149"/>
      <c r="IP73" s="149"/>
      <c r="IQ73" s="149"/>
      <c r="IR73" s="149"/>
      <c r="IS73" s="149"/>
      <c r="IT73" s="149"/>
      <c r="IU73" s="149"/>
      <c r="IV73" s="149"/>
      <c r="IW73" s="149"/>
      <c r="IX73" s="149"/>
      <c r="IY73" s="149"/>
      <c r="IZ73" s="149"/>
      <c r="JA73" s="149"/>
      <c r="JB73" s="149"/>
      <c r="JC73" s="149"/>
      <c r="JD73" s="149"/>
      <c r="JE73" s="184">
        <f t="shared" si="2044"/>
        <v>39172320</v>
      </c>
      <c r="JF73" s="149"/>
      <c r="JG73" s="184">
        <v>4865.28</v>
      </c>
      <c r="JH73" s="159">
        <v>1049521.45366667</v>
      </c>
    </row>
    <row r="74" spans="1:268" s="86" customFormat="1">
      <c r="A74" s="402"/>
      <c r="B74" s="414"/>
      <c r="C74" s="427"/>
      <c r="D74" s="428"/>
      <c r="E74" s="429"/>
      <c r="F74" s="430"/>
      <c r="G74" s="430"/>
      <c r="H74" s="481"/>
      <c r="I74" s="185"/>
      <c r="J74" s="131"/>
      <c r="K74" s="131"/>
      <c r="L74" s="131"/>
      <c r="M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31"/>
      <c r="AK74" s="131"/>
      <c r="AL74" s="131"/>
      <c r="AM74" s="131"/>
      <c r="AN74" s="131"/>
      <c r="AO74" s="131"/>
      <c r="AP74" s="131"/>
      <c r="AQ74" s="131"/>
      <c r="AR74" s="131"/>
      <c r="AS74" s="131"/>
      <c r="AT74" s="131"/>
      <c r="AU74" s="131"/>
      <c r="AV74" s="131"/>
      <c r="AW74" s="131"/>
      <c r="AX74" s="131"/>
      <c r="AY74" s="131"/>
      <c r="AZ74" s="131"/>
      <c r="BA74" s="131"/>
      <c r="BB74" s="131"/>
      <c r="BC74" s="131"/>
      <c r="BD74" s="131"/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  <c r="BP74" s="131"/>
      <c r="BQ74" s="131"/>
      <c r="BR74" s="131"/>
      <c r="BS74" s="131"/>
      <c r="BT74" s="131"/>
      <c r="BU74" s="131"/>
      <c r="BV74" s="131"/>
      <c r="BW74" s="131"/>
      <c r="BX74" s="131"/>
      <c r="BY74" s="131"/>
      <c r="BZ74" s="131"/>
      <c r="CA74" s="131"/>
      <c r="CB74" s="131"/>
      <c r="CC74" s="131"/>
      <c r="CD74" s="131"/>
      <c r="CE74" s="131"/>
      <c r="CF74" s="131"/>
      <c r="CG74" s="131"/>
      <c r="CH74" s="131"/>
      <c r="CI74" s="131"/>
      <c r="CJ74" s="131"/>
      <c r="CK74" s="131"/>
      <c r="CL74" s="131"/>
      <c r="CM74" s="131"/>
      <c r="CN74" s="131"/>
      <c r="CO74" s="131"/>
      <c r="CP74" s="131"/>
      <c r="CQ74" s="131"/>
      <c r="CR74" s="131"/>
      <c r="CS74" s="131"/>
      <c r="CT74" s="131"/>
      <c r="CU74" s="131"/>
      <c r="CV74" s="131"/>
      <c r="CW74" s="131"/>
      <c r="CX74" s="131"/>
      <c r="CY74" s="131"/>
      <c r="CZ74" s="131"/>
      <c r="DA74" s="131"/>
      <c r="DB74" s="131"/>
      <c r="DC74" s="131"/>
      <c r="DD74" s="131"/>
      <c r="DE74" s="131"/>
      <c r="DF74" s="131"/>
      <c r="DG74" s="131"/>
      <c r="DH74" s="131"/>
      <c r="DI74" s="131"/>
      <c r="DJ74" s="131"/>
      <c r="DK74" s="131"/>
      <c r="DL74" s="131"/>
      <c r="DM74" s="131"/>
      <c r="DN74" s="131"/>
      <c r="DO74" s="131"/>
      <c r="DP74" s="131"/>
      <c r="DQ74" s="131"/>
      <c r="DR74" s="131"/>
      <c r="DS74" s="131"/>
      <c r="DT74" s="131"/>
      <c r="DU74" s="131"/>
      <c r="DV74" s="131"/>
      <c r="DW74" s="131"/>
      <c r="DX74" s="131"/>
      <c r="DY74" s="131"/>
      <c r="DZ74" s="131"/>
      <c r="EA74" s="131"/>
      <c r="EB74" s="131"/>
      <c r="EC74" s="131"/>
      <c r="ED74" s="131"/>
      <c r="EE74" s="131"/>
      <c r="EF74" s="131"/>
      <c r="EG74" s="131"/>
      <c r="EH74" s="131"/>
      <c r="EI74" s="131"/>
      <c r="EJ74" s="131"/>
      <c r="EK74" s="131"/>
      <c r="EL74" s="131"/>
      <c r="EM74" s="131"/>
      <c r="EN74" s="131"/>
      <c r="EO74" s="131"/>
      <c r="EP74" s="131"/>
      <c r="EQ74" s="131"/>
      <c r="ER74" s="131"/>
      <c r="ES74" s="131"/>
      <c r="ET74" s="133">
        <f t="shared" si="1982"/>
        <v>0</v>
      </c>
      <c r="EU74" s="159"/>
      <c r="EV74" s="159"/>
      <c r="EW74" s="159"/>
      <c r="EX74" s="159"/>
      <c r="EY74" s="159"/>
      <c r="EZ74" s="159"/>
      <c r="FA74" s="159"/>
      <c r="FB74" s="159"/>
      <c r="FC74" s="159"/>
      <c r="FD74" s="159"/>
      <c r="FE74" s="159"/>
      <c r="FF74" s="159"/>
      <c r="FG74" s="144"/>
      <c r="FH74" s="144"/>
      <c r="FI74" s="144"/>
      <c r="FJ74" s="144"/>
      <c r="FK74" s="144"/>
      <c r="FL74" s="144"/>
      <c r="FM74" s="144"/>
      <c r="FN74" s="144"/>
      <c r="FO74" s="144"/>
      <c r="FP74" s="144"/>
      <c r="FQ74" s="144"/>
      <c r="FR74" s="144"/>
      <c r="FS74" s="144"/>
      <c r="FT74" s="144"/>
      <c r="FU74" s="144"/>
      <c r="FV74" s="144"/>
      <c r="FW74" s="144"/>
      <c r="FX74" s="144"/>
      <c r="FY74" s="144"/>
      <c r="FZ74" s="144"/>
      <c r="GA74" s="144"/>
      <c r="GB74" s="144"/>
      <c r="GC74" s="144"/>
      <c r="GD74" s="144"/>
      <c r="GE74" s="144"/>
      <c r="GF74" s="144"/>
      <c r="GG74" s="144"/>
      <c r="GH74" s="144"/>
      <c r="GI74" s="144"/>
      <c r="GJ74" s="144"/>
      <c r="GK74" s="144"/>
      <c r="GL74" s="144"/>
      <c r="GM74" s="144"/>
      <c r="GN74" s="144"/>
      <c r="GO74" s="144"/>
      <c r="GP74" s="144"/>
      <c r="GQ74" s="144"/>
      <c r="GR74" s="144"/>
      <c r="GS74" s="144"/>
      <c r="GT74" s="144"/>
      <c r="GU74" s="144"/>
      <c r="GV74" s="144"/>
      <c r="GW74" s="144"/>
      <c r="GX74" s="144"/>
      <c r="GY74" s="144"/>
      <c r="GZ74" s="144"/>
      <c r="HA74" s="144"/>
      <c r="HB74" s="144"/>
      <c r="HC74" s="144"/>
      <c r="HD74" s="144"/>
      <c r="HE74" s="144"/>
      <c r="HF74" s="144"/>
      <c r="HG74" s="144"/>
      <c r="HH74" s="144"/>
      <c r="HI74" s="144"/>
      <c r="HJ74" s="144"/>
      <c r="HK74" s="144"/>
      <c r="HL74" s="144"/>
      <c r="HM74" s="144"/>
      <c r="HN74" s="144"/>
      <c r="HO74" s="144"/>
      <c r="HP74" s="144"/>
      <c r="HQ74" s="144"/>
      <c r="HR74" s="144"/>
      <c r="HS74" s="144"/>
      <c r="HT74" s="144"/>
      <c r="HU74" s="144"/>
      <c r="HV74" s="144"/>
      <c r="HW74" s="144"/>
      <c r="HX74" s="144"/>
      <c r="HY74" s="144"/>
      <c r="HZ74" s="144"/>
      <c r="IA74" s="144"/>
      <c r="IB74" s="144"/>
      <c r="IC74" s="144"/>
      <c r="ID74" s="144"/>
      <c r="IE74" s="144"/>
      <c r="IF74" s="144"/>
      <c r="IG74" s="144"/>
      <c r="IH74" s="144"/>
      <c r="II74" s="144"/>
      <c r="IJ74" s="144"/>
      <c r="IK74" s="144"/>
      <c r="IL74" s="144"/>
      <c r="IM74" s="144"/>
      <c r="IN74" s="144"/>
      <c r="IO74" s="144"/>
      <c r="IP74" s="144"/>
      <c r="IQ74" s="144"/>
      <c r="IR74" s="144"/>
      <c r="IS74" s="144"/>
      <c r="IT74" s="144"/>
      <c r="IU74" s="144"/>
      <c r="IV74" s="144"/>
      <c r="IW74" s="144"/>
      <c r="IX74" s="144"/>
      <c r="IY74" s="144"/>
      <c r="IZ74" s="144"/>
      <c r="JA74" s="144"/>
      <c r="JB74" s="144"/>
      <c r="JC74" s="144"/>
      <c r="JD74" s="144"/>
      <c r="JE74" s="186">
        <f t="shared" si="2044"/>
        <v>0</v>
      </c>
      <c r="JF74" s="144"/>
      <c r="JG74" s="186"/>
      <c r="JH74" s="159">
        <v>166867.12</v>
      </c>
    </row>
    <row r="75" spans="1:268" s="86" customFormat="1" ht="12" customHeight="1">
      <c r="A75" s="402">
        <v>37</v>
      </c>
      <c r="B75" s="414" t="s">
        <v>1128</v>
      </c>
      <c r="C75" s="427" t="s">
        <v>1129</v>
      </c>
      <c r="D75" s="428" t="s">
        <v>639</v>
      </c>
      <c r="E75" s="431" t="s">
        <v>422</v>
      </c>
      <c r="F75" s="430">
        <v>14</v>
      </c>
      <c r="G75" s="430">
        <v>35</v>
      </c>
      <c r="H75" s="481">
        <f>F75*G75*365</f>
        <v>178850</v>
      </c>
      <c r="I75" s="183">
        <v>45990</v>
      </c>
      <c r="J75" s="132">
        <f>ROUND(G75*F75*365/4,0)</f>
        <v>44713</v>
      </c>
      <c r="K75" s="131">
        <f>J75</f>
        <v>44713</v>
      </c>
      <c r="L75" s="131">
        <f>K75</f>
        <v>44713</v>
      </c>
      <c r="M75" s="131">
        <f>L75</f>
        <v>44713</v>
      </c>
      <c r="N75" s="133">
        <f>ROUND(M75*(1+取值表!$D$6)*取值表!$H$6,0)</f>
        <v>44348</v>
      </c>
      <c r="O75" s="131">
        <f>N75</f>
        <v>44348</v>
      </c>
      <c r="P75" s="131">
        <f>O75</f>
        <v>44348</v>
      </c>
      <c r="Q75" s="131">
        <f>P75</f>
        <v>44348</v>
      </c>
      <c r="R75" s="133">
        <f>ROUND(Q75*(1+取值表!$D$6)*取值表!$H$6,0)</f>
        <v>43986</v>
      </c>
      <c r="S75" s="131">
        <f t="shared" ref="S75:U75" si="2186">R75</f>
        <v>43986</v>
      </c>
      <c r="T75" s="131">
        <f t="shared" si="2186"/>
        <v>43986</v>
      </c>
      <c r="U75" s="131">
        <f t="shared" si="2186"/>
        <v>43986</v>
      </c>
      <c r="V75" s="133">
        <f>ROUND(U75*(1+取值表!$D$6)*取值表!$H$6,0)</f>
        <v>43627</v>
      </c>
      <c r="W75" s="131">
        <f t="shared" ref="W75:Y75" si="2187">V75</f>
        <v>43627</v>
      </c>
      <c r="X75" s="131">
        <f t="shared" si="2187"/>
        <v>43627</v>
      </c>
      <c r="Y75" s="131">
        <f t="shared" si="2187"/>
        <v>43627</v>
      </c>
      <c r="Z75" s="133">
        <f>ROUND(Y75*(1+取值表!$D$6)*取值表!$H$6,0)</f>
        <v>43271</v>
      </c>
      <c r="AA75" s="131">
        <f t="shared" ref="AA75:AC75" si="2188">Z75</f>
        <v>43271</v>
      </c>
      <c r="AB75" s="131">
        <f t="shared" si="2188"/>
        <v>43271</v>
      </c>
      <c r="AC75" s="131">
        <f t="shared" si="2188"/>
        <v>43271</v>
      </c>
      <c r="AD75" s="133">
        <f>ROUND(AC75*(1+取值表!$D$6)*取值表!$H$6,0)</f>
        <v>42917</v>
      </c>
      <c r="AE75" s="131">
        <f t="shared" ref="AE75:AG75" si="2189">AD75</f>
        <v>42917</v>
      </c>
      <c r="AF75" s="131">
        <f t="shared" si="2189"/>
        <v>42917</v>
      </c>
      <c r="AG75" s="131">
        <f t="shared" si="2189"/>
        <v>42917</v>
      </c>
      <c r="AH75" s="133">
        <f>ROUND(AG75*(1+取值表!$D$6)*取值表!$H$6,0)</f>
        <v>42566</v>
      </c>
      <c r="AI75" s="131">
        <f t="shared" ref="AI75:AK75" si="2190">AH75</f>
        <v>42566</v>
      </c>
      <c r="AJ75" s="131">
        <f t="shared" si="2190"/>
        <v>42566</v>
      </c>
      <c r="AK75" s="131">
        <f t="shared" si="2190"/>
        <v>42566</v>
      </c>
      <c r="AL75" s="133">
        <f>ROUND(AK75*(1+取值表!$D$6)*取值表!$H$6,0)</f>
        <v>42218</v>
      </c>
      <c r="AM75" s="131">
        <f t="shared" ref="AM75:AO75" si="2191">AL75</f>
        <v>42218</v>
      </c>
      <c r="AN75" s="131">
        <f t="shared" si="2191"/>
        <v>42218</v>
      </c>
      <c r="AO75" s="131">
        <f t="shared" si="2191"/>
        <v>42218</v>
      </c>
      <c r="AP75" s="133">
        <f>ROUND(AO75*(1+取值表!$D$6)*取值表!$H$6,0)</f>
        <v>41873</v>
      </c>
      <c r="AQ75" s="131">
        <f t="shared" ref="AQ75:AS75" si="2192">AP75</f>
        <v>41873</v>
      </c>
      <c r="AR75" s="131">
        <f t="shared" si="2192"/>
        <v>41873</v>
      </c>
      <c r="AS75" s="131">
        <f t="shared" si="2192"/>
        <v>41873</v>
      </c>
      <c r="AT75" s="133">
        <f>ROUND(AS75*(1+取值表!$D$6)*取值表!$H$6,0)</f>
        <v>41531</v>
      </c>
      <c r="AU75" s="131">
        <f t="shared" ref="AU75:AW75" si="2193">AT75</f>
        <v>41531</v>
      </c>
      <c r="AV75" s="131">
        <f t="shared" si="2193"/>
        <v>41531</v>
      </c>
      <c r="AW75" s="131">
        <f t="shared" si="2193"/>
        <v>41531</v>
      </c>
      <c r="AX75" s="133">
        <f>ROUND(AW75*(1+取值表!$D$6)*取值表!$H$6,0)</f>
        <v>41192</v>
      </c>
      <c r="AY75" s="131">
        <f t="shared" ref="AY75:BA75" si="2194">AX75</f>
        <v>41192</v>
      </c>
      <c r="AZ75" s="131">
        <f t="shared" si="2194"/>
        <v>41192</v>
      </c>
      <c r="BA75" s="131">
        <f t="shared" si="2194"/>
        <v>41192</v>
      </c>
      <c r="BB75" s="133">
        <f>ROUND(BA75*(1+取值表!$D$6)*取值表!$H$6,0)</f>
        <v>40855</v>
      </c>
      <c r="BC75" s="131">
        <f t="shared" ref="BC75:BE75" si="2195">BB75</f>
        <v>40855</v>
      </c>
      <c r="BD75" s="131">
        <f t="shared" si="2195"/>
        <v>40855</v>
      </c>
      <c r="BE75" s="131">
        <f t="shared" si="2195"/>
        <v>40855</v>
      </c>
      <c r="BF75" s="133">
        <f>ROUND(BE75*(1+取值表!$D$6)*取值表!$H$6,0)</f>
        <v>40521</v>
      </c>
      <c r="BG75" s="131">
        <f t="shared" ref="BG75:BI75" si="2196">BF75</f>
        <v>40521</v>
      </c>
      <c r="BH75" s="131">
        <f t="shared" si="2196"/>
        <v>40521</v>
      </c>
      <c r="BI75" s="131">
        <f t="shared" si="2196"/>
        <v>40521</v>
      </c>
      <c r="BJ75" s="133">
        <f>ROUND(BI75*(1+取值表!$D$6)*取值表!$H$6,0)</f>
        <v>40190</v>
      </c>
      <c r="BK75" s="131">
        <f t="shared" ref="BK75:BM75" si="2197">BJ75</f>
        <v>40190</v>
      </c>
      <c r="BL75" s="131">
        <f t="shared" si="2197"/>
        <v>40190</v>
      </c>
      <c r="BM75" s="131">
        <f t="shared" si="2197"/>
        <v>40190</v>
      </c>
      <c r="BN75" s="133">
        <f>ROUND(BM75*(1+取值表!$D$6)*取值表!$H$6,0)</f>
        <v>39862</v>
      </c>
      <c r="BO75" s="131">
        <f t="shared" ref="BO75:BQ75" si="2198">BN75</f>
        <v>39862</v>
      </c>
      <c r="BP75" s="131">
        <f t="shared" si="2198"/>
        <v>39862</v>
      </c>
      <c r="BQ75" s="131">
        <f t="shared" si="2198"/>
        <v>39862</v>
      </c>
      <c r="BR75" s="133">
        <f>ROUND(BQ75*(1+取值表!$D$6)*取值表!$H$6,0)</f>
        <v>39536</v>
      </c>
      <c r="BS75" s="131">
        <f t="shared" ref="BS75:BU75" si="2199">BR75</f>
        <v>39536</v>
      </c>
      <c r="BT75" s="131">
        <f t="shared" si="2199"/>
        <v>39536</v>
      </c>
      <c r="BU75" s="131">
        <f t="shared" si="2199"/>
        <v>39536</v>
      </c>
      <c r="BV75" s="133">
        <f>ROUND(BU75*(1+取值表!$D$6)*取值表!$H$6,0)</f>
        <v>39213</v>
      </c>
      <c r="BW75" s="131">
        <f t="shared" ref="BW75:BY75" si="2200">BV75</f>
        <v>39213</v>
      </c>
      <c r="BX75" s="131">
        <f t="shared" si="2200"/>
        <v>39213</v>
      </c>
      <c r="BY75" s="131">
        <f t="shared" si="2200"/>
        <v>39213</v>
      </c>
      <c r="BZ75" s="133">
        <f>ROUND(BY75*(1+取值表!$D$6)*取值表!$H$6,0)</f>
        <v>38893</v>
      </c>
      <c r="CA75" s="131">
        <f t="shared" ref="CA75:CC75" si="2201">BZ75</f>
        <v>38893</v>
      </c>
      <c r="CB75" s="131">
        <f t="shared" si="2201"/>
        <v>38893</v>
      </c>
      <c r="CC75" s="131">
        <f t="shared" si="2201"/>
        <v>38893</v>
      </c>
      <c r="CD75" s="133">
        <f>ROUND(CC75*(1+取值表!$D$6)*取值表!$H$6,0)</f>
        <v>38575</v>
      </c>
      <c r="CE75" s="131">
        <f t="shared" ref="CE75:CG75" si="2202">CD75</f>
        <v>38575</v>
      </c>
      <c r="CF75" s="131">
        <f t="shared" si="2202"/>
        <v>38575</v>
      </c>
      <c r="CG75" s="131">
        <f t="shared" si="2202"/>
        <v>38575</v>
      </c>
      <c r="CH75" s="133">
        <f>ROUND(CG75*(1+取值表!$D$6)*取值表!$H$6,0)</f>
        <v>38260</v>
      </c>
      <c r="CI75" s="131">
        <f t="shared" ref="CI75:CK75" si="2203">CH75</f>
        <v>38260</v>
      </c>
      <c r="CJ75" s="131">
        <f t="shared" si="2203"/>
        <v>38260</v>
      </c>
      <c r="CK75" s="131">
        <f t="shared" si="2203"/>
        <v>38260</v>
      </c>
      <c r="CL75" s="133">
        <f>ROUND(CK75*(1+取值表!$D$6)*取值表!$H$6,0)</f>
        <v>37947</v>
      </c>
      <c r="CM75" s="131">
        <f t="shared" ref="CM75:CO75" si="2204">CL75</f>
        <v>37947</v>
      </c>
      <c r="CN75" s="131">
        <f t="shared" si="2204"/>
        <v>37947</v>
      </c>
      <c r="CO75" s="131">
        <f t="shared" si="2204"/>
        <v>37947</v>
      </c>
      <c r="CP75" s="133">
        <f>ROUND(CO75*(1+取值表!$D$6)*取值表!$H$6,0)</f>
        <v>37637</v>
      </c>
      <c r="CQ75" s="131">
        <f t="shared" ref="CQ75" si="2205">CP75</f>
        <v>37637</v>
      </c>
      <c r="CR75" s="131">
        <f t="shared" ref="CR75" si="2206">CQ75</f>
        <v>37637</v>
      </c>
      <c r="CS75" s="131">
        <f t="shared" ref="CS75" si="2207">CR75</f>
        <v>37637</v>
      </c>
      <c r="CT75" s="133">
        <f>ROUND(CS75*(1+取值表!$D$6)*取值表!$H$6,0)</f>
        <v>37329</v>
      </c>
      <c r="CU75" s="131">
        <f t="shared" ref="CU75" si="2208">CT75</f>
        <v>37329</v>
      </c>
      <c r="CV75" s="131">
        <f t="shared" ref="CV75" si="2209">CU75</f>
        <v>37329</v>
      </c>
      <c r="CW75" s="131">
        <f t="shared" ref="CW75" si="2210">CV75</f>
        <v>37329</v>
      </c>
      <c r="CX75" s="133">
        <f>ROUND(CW75*(1+取值表!$D$6)*取值表!$H$6,0)</f>
        <v>37024</v>
      </c>
      <c r="CY75" s="131">
        <f t="shared" ref="CY75" si="2211">CX75</f>
        <v>37024</v>
      </c>
      <c r="CZ75" s="131">
        <f t="shared" ref="CZ75" si="2212">CY75</f>
        <v>37024</v>
      </c>
      <c r="DA75" s="131">
        <f t="shared" ref="DA75" si="2213">CZ75</f>
        <v>37024</v>
      </c>
      <c r="DB75" s="133">
        <f>ROUND(DA75*(1+取值表!$D$6)*取值表!$H$6,0)</f>
        <v>36721</v>
      </c>
      <c r="DC75" s="131">
        <f t="shared" ref="DC75" si="2214">DB75</f>
        <v>36721</v>
      </c>
      <c r="DD75" s="131">
        <f t="shared" ref="DD75" si="2215">DC75</f>
        <v>36721</v>
      </c>
      <c r="DE75" s="131">
        <f t="shared" ref="DE75" si="2216">DD75</f>
        <v>36721</v>
      </c>
      <c r="DF75" s="133">
        <f>ROUND(DE75*(1+取值表!$D$6)*取值表!$H$6,0)</f>
        <v>36421</v>
      </c>
      <c r="DG75" s="131">
        <f t="shared" ref="DG75" si="2217">DF75</f>
        <v>36421</v>
      </c>
      <c r="DH75" s="131">
        <f t="shared" ref="DH75" si="2218">DG75</f>
        <v>36421</v>
      </c>
      <c r="DI75" s="131">
        <f t="shared" ref="DI75" si="2219">DH75</f>
        <v>36421</v>
      </c>
      <c r="DJ75" s="133">
        <f>ROUND(DI75*(1+取值表!$D$6)*取值表!$H$6,0)</f>
        <v>36123</v>
      </c>
      <c r="DK75" s="131">
        <f t="shared" ref="DK75" si="2220">DJ75</f>
        <v>36123</v>
      </c>
      <c r="DL75" s="131">
        <f t="shared" ref="DL75" si="2221">DK75</f>
        <v>36123</v>
      </c>
      <c r="DM75" s="131">
        <f t="shared" ref="DM75" si="2222">DL75</f>
        <v>36123</v>
      </c>
      <c r="DN75" s="133">
        <f>ROUND(DM75*(1+取值表!$D$6)*取值表!$H$6,0)</f>
        <v>35828</v>
      </c>
      <c r="DO75" s="131">
        <f t="shared" ref="DO75" si="2223">DN75</f>
        <v>35828</v>
      </c>
      <c r="DP75" s="131">
        <f t="shared" ref="DP75" si="2224">DO75</f>
        <v>35828</v>
      </c>
      <c r="DQ75" s="131">
        <f t="shared" ref="DQ75" si="2225">DP75</f>
        <v>35828</v>
      </c>
      <c r="DR75" s="133">
        <f>ROUND(DQ75*(1+取值表!$D$6)*取值表!$H$6,0)</f>
        <v>35535</v>
      </c>
      <c r="DS75" s="131">
        <f t="shared" ref="DS75" si="2226">DR75</f>
        <v>35535</v>
      </c>
      <c r="DT75" s="131">
        <f t="shared" ref="DT75" si="2227">DS75</f>
        <v>35535</v>
      </c>
      <c r="DU75" s="131">
        <f t="shared" ref="DU75" si="2228">DT75</f>
        <v>35535</v>
      </c>
      <c r="DV75" s="133">
        <f>ROUND(DU75*(1+取值表!$D$6)*取值表!$H$6,0)</f>
        <v>35245</v>
      </c>
      <c r="DW75" s="131">
        <f t="shared" ref="DW75" si="2229">DV75</f>
        <v>35245</v>
      </c>
      <c r="DX75" s="131">
        <f t="shared" ref="DX75" si="2230">DW75</f>
        <v>35245</v>
      </c>
      <c r="DY75" s="131">
        <f t="shared" ref="DY75" si="2231">DX75</f>
        <v>35245</v>
      </c>
      <c r="DZ75" s="133">
        <f>ROUND(DY75*(1+取值表!$D$6)*取值表!$H$6,0)</f>
        <v>34957</v>
      </c>
      <c r="EA75" s="131">
        <f t="shared" ref="EA75" si="2232">DZ75</f>
        <v>34957</v>
      </c>
      <c r="EB75" s="131">
        <f t="shared" ref="EB75" si="2233">EA75</f>
        <v>34957</v>
      </c>
      <c r="EC75" s="131">
        <f t="shared" ref="EC75" si="2234">EB75</f>
        <v>34957</v>
      </c>
      <c r="ED75" s="133">
        <f>ROUND(EC75*(1+取值表!$D$6)*取值表!$H$6,0)</f>
        <v>34671</v>
      </c>
      <c r="EE75" s="131">
        <f t="shared" ref="EE75" si="2235">ED75</f>
        <v>34671</v>
      </c>
      <c r="EF75" s="131">
        <f t="shared" ref="EF75" si="2236">EE75</f>
        <v>34671</v>
      </c>
      <c r="EG75" s="131">
        <f t="shared" ref="EG75" si="2237">EF75</f>
        <v>34671</v>
      </c>
      <c r="EH75" s="133">
        <f>ROUND(EG75*(1+取值表!$D$6)*取值表!$H$6,0)</f>
        <v>34388</v>
      </c>
      <c r="EI75" s="131">
        <f t="shared" ref="EI75" si="2238">EH75</f>
        <v>34388</v>
      </c>
      <c r="EJ75" s="131">
        <f t="shared" ref="EJ75" si="2239">EI75</f>
        <v>34388</v>
      </c>
      <c r="EK75" s="131">
        <f t="shared" ref="EK75" si="2240">EJ75</f>
        <v>34388</v>
      </c>
      <c r="EL75" s="133">
        <f>ROUND(EK75*(1+取值表!$D$6)*取值表!$H$6,0)</f>
        <v>34107</v>
      </c>
      <c r="EM75" s="131">
        <f t="shared" ref="EM75" si="2241">EL75</f>
        <v>34107</v>
      </c>
      <c r="EN75" s="131">
        <f t="shared" ref="EN75" si="2242">EM75</f>
        <v>34107</v>
      </c>
      <c r="EO75" s="131">
        <f t="shared" ref="EO75" si="2243">EN75</f>
        <v>34107</v>
      </c>
      <c r="EP75" s="133">
        <f>ROUND(EO75*(1+取值表!$D$6)*取值表!$H$6,0)</f>
        <v>33828</v>
      </c>
      <c r="EQ75" s="131">
        <f t="shared" ref="EQ75" si="2244">EP75</f>
        <v>33828</v>
      </c>
      <c r="ER75" s="131">
        <f t="shared" ref="ER75" si="2245">EQ75</f>
        <v>33828</v>
      </c>
      <c r="ES75" s="131">
        <f t="shared" ref="ES75" si="2246">ER75</f>
        <v>33828</v>
      </c>
      <c r="ET75" s="133">
        <f t="shared" si="1982"/>
        <v>5463632</v>
      </c>
      <c r="EU75" s="159"/>
      <c r="EV75" s="159"/>
      <c r="EW75" s="159"/>
      <c r="EX75" s="159"/>
      <c r="EY75" s="159"/>
      <c r="EZ75" s="159"/>
      <c r="FA75" s="159"/>
      <c r="FB75" s="159"/>
      <c r="FC75" s="159"/>
      <c r="FD75" s="159"/>
      <c r="FE75" s="159"/>
      <c r="FF75" s="159"/>
      <c r="FG75" s="149"/>
      <c r="FH75" s="149"/>
      <c r="FI75" s="149"/>
      <c r="FJ75" s="149"/>
      <c r="FK75" s="149"/>
      <c r="FL75" s="149"/>
      <c r="FM75" s="149"/>
      <c r="FN75" s="149"/>
      <c r="FO75" s="149"/>
      <c r="FP75" s="149"/>
      <c r="FQ75" s="149"/>
      <c r="FR75" s="149"/>
      <c r="FS75" s="149"/>
      <c r="FT75" s="149"/>
      <c r="FU75" s="149"/>
      <c r="FV75" s="149"/>
      <c r="FW75" s="149"/>
      <c r="FX75" s="149"/>
      <c r="FY75" s="149"/>
      <c r="FZ75" s="149"/>
      <c r="GA75" s="149"/>
      <c r="GB75" s="149"/>
      <c r="GC75" s="149"/>
      <c r="GD75" s="149"/>
      <c r="GE75" s="149"/>
      <c r="GF75" s="149"/>
      <c r="GG75" s="149"/>
      <c r="GH75" s="149"/>
      <c r="GI75" s="149"/>
      <c r="GJ75" s="149"/>
      <c r="GK75" s="149"/>
      <c r="GL75" s="149"/>
      <c r="GM75" s="149"/>
      <c r="GN75" s="149"/>
      <c r="GO75" s="149"/>
      <c r="GP75" s="149"/>
      <c r="GQ75" s="149"/>
      <c r="GR75" s="149"/>
      <c r="GS75" s="149"/>
      <c r="GT75" s="149"/>
      <c r="GU75" s="149"/>
      <c r="GV75" s="149"/>
      <c r="GW75" s="149"/>
      <c r="GX75" s="149"/>
      <c r="GY75" s="149"/>
      <c r="GZ75" s="149"/>
      <c r="HA75" s="149"/>
      <c r="HB75" s="149"/>
      <c r="HC75" s="149"/>
      <c r="HD75" s="149"/>
      <c r="HE75" s="149"/>
      <c r="HF75" s="149"/>
      <c r="HG75" s="149"/>
      <c r="HH75" s="149"/>
      <c r="HI75" s="149"/>
      <c r="HJ75" s="149"/>
      <c r="HK75" s="149"/>
      <c r="HL75" s="149"/>
      <c r="HM75" s="149"/>
      <c r="HN75" s="149"/>
      <c r="HO75" s="149"/>
      <c r="HP75" s="149"/>
      <c r="HQ75" s="149"/>
      <c r="HR75" s="149"/>
      <c r="HS75" s="149"/>
      <c r="HT75" s="149"/>
      <c r="HU75" s="149"/>
      <c r="HV75" s="149"/>
      <c r="HW75" s="149"/>
      <c r="HX75" s="149"/>
      <c r="HY75" s="149"/>
      <c r="HZ75" s="149"/>
      <c r="IA75" s="149"/>
      <c r="IB75" s="149"/>
      <c r="IC75" s="149"/>
      <c r="ID75" s="149"/>
      <c r="IE75" s="149"/>
      <c r="IF75" s="149"/>
      <c r="IG75" s="149"/>
      <c r="IH75" s="149"/>
      <c r="II75" s="149"/>
      <c r="IJ75" s="149"/>
      <c r="IK75" s="149"/>
      <c r="IL75" s="149"/>
      <c r="IM75" s="149"/>
      <c r="IN75" s="149"/>
      <c r="IO75" s="149"/>
      <c r="IP75" s="149"/>
      <c r="IQ75" s="149"/>
      <c r="IR75" s="149"/>
      <c r="IS75" s="149"/>
      <c r="IT75" s="149"/>
      <c r="IU75" s="149"/>
      <c r="IV75" s="149"/>
      <c r="IW75" s="149"/>
      <c r="IX75" s="149"/>
      <c r="IY75" s="149"/>
      <c r="IZ75" s="149"/>
      <c r="JA75" s="149"/>
      <c r="JB75" s="149"/>
      <c r="JC75" s="149"/>
      <c r="JD75" s="149"/>
      <c r="JE75" s="184">
        <f t="shared" si="2044"/>
        <v>10927264</v>
      </c>
      <c r="JF75" s="144"/>
      <c r="JG75" s="186"/>
      <c r="JH75" s="159">
        <v>154449.71100000001</v>
      </c>
    </row>
    <row r="76" spans="1:268" s="86" customFormat="1">
      <c r="A76" s="402"/>
      <c r="B76" s="414"/>
      <c r="C76" s="427"/>
      <c r="D76" s="428"/>
      <c r="E76" s="432"/>
      <c r="F76" s="430"/>
      <c r="G76" s="430"/>
      <c r="H76" s="481"/>
      <c r="I76" s="185"/>
      <c r="J76" s="131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  <c r="CC76" s="131"/>
      <c r="CD76" s="131"/>
      <c r="CE76" s="131"/>
      <c r="CF76" s="131"/>
      <c r="CG76" s="131"/>
      <c r="CH76" s="131"/>
      <c r="CI76" s="131"/>
      <c r="CJ76" s="131"/>
      <c r="CK76" s="131"/>
      <c r="CL76" s="131"/>
      <c r="CM76" s="131"/>
      <c r="CN76" s="131"/>
      <c r="CO76" s="131"/>
      <c r="CP76" s="131"/>
      <c r="CQ76" s="131"/>
      <c r="CR76" s="131"/>
      <c r="CS76" s="131"/>
      <c r="CT76" s="131"/>
      <c r="CU76" s="131"/>
      <c r="CV76" s="131"/>
      <c r="CW76" s="131"/>
      <c r="CX76" s="131"/>
      <c r="CY76" s="131"/>
      <c r="CZ76" s="131"/>
      <c r="DA76" s="131"/>
      <c r="DB76" s="131"/>
      <c r="DC76" s="131"/>
      <c r="DD76" s="131"/>
      <c r="DE76" s="131"/>
      <c r="DF76" s="131"/>
      <c r="DG76" s="131"/>
      <c r="DH76" s="131"/>
      <c r="DI76" s="131"/>
      <c r="DJ76" s="131"/>
      <c r="DK76" s="131"/>
      <c r="DL76" s="131"/>
      <c r="DM76" s="131"/>
      <c r="DN76" s="131"/>
      <c r="DO76" s="131"/>
      <c r="DP76" s="131"/>
      <c r="DQ76" s="131"/>
      <c r="DR76" s="131"/>
      <c r="DS76" s="131"/>
      <c r="DT76" s="131"/>
      <c r="DU76" s="131"/>
      <c r="DV76" s="131"/>
      <c r="DW76" s="131"/>
      <c r="DX76" s="131"/>
      <c r="DY76" s="131"/>
      <c r="DZ76" s="131"/>
      <c r="EA76" s="131"/>
      <c r="EB76" s="131"/>
      <c r="EC76" s="131"/>
      <c r="ED76" s="131"/>
      <c r="EE76" s="131"/>
      <c r="EF76" s="131"/>
      <c r="EG76" s="131"/>
      <c r="EH76" s="131"/>
      <c r="EI76" s="131"/>
      <c r="EJ76" s="131"/>
      <c r="EK76" s="131"/>
      <c r="EL76" s="131"/>
      <c r="EM76" s="131"/>
      <c r="EN76" s="131"/>
      <c r="EO76" s="131"/>
      <c r="EP76" s="131"/>
      <c r="EQ76" s="131"/>
      <c r="ER76" s="131"/>
      <c r="ES76" s="131"/>
      <c r="ET76" s="133">
        <f t="shared" si="1982"/>
        <v>0</v>
      </c>
      <c r="EU76" s="159"/>
      <c r="EV76" s="159"/>
      <c r="EW76" s="159"/>
      <c r="EX76" s="159"/>
      <c r="EY76" s="159"/>
      <c r="EZ76" s="159"/>
      <c r="FA76" s="159"/>
      <c r="FB76" s="159"/>
      <c r="FC76" s="159"/>
      <c r="FD76" s="159"/>
      <c r="FE76" s="159"/>
      <c r="FF76" s="159"/>
      <c r="FG76" s="144"/>
      <c r="FH76" s="144"/>
      <c r="FI76" s="144"/>
      <c r="FJ76" s="144"/>
      <c r="FK76" s="144"/>
      <c r="FL76" s="144"/>
      <c r="FM76" s="144"/>
      <c r="FN76" s="144"/>
      <c r="FO76" s="144"/>
      <c r="FP76" s="144"/>
      <c r="FQ76" s="144"/>
      <c r="FR76" s="144"/>
      <c r="FS76" s="144"/>
      <c r="FT76" s="144"/>
      <c r="FU76" s="144"/>
      <c r="FV76" s="144"/>
      <c r="FW76" s="144"/>
      <c r="FX76" s="144"/>
      <c r="FY76" s="144"/>
      <c r="FZ76" s="144"/>
      <c r="GA76" s="144"/>
      <c r="GB76" s="144"/>
      <c r="GC76" s="144"/>
      <c r="GD76" s="144"/>
      <c r="GE76" s="144"/>
      <c r="GF76" s="144"/>
      <c r="GG76" s="144"/>
      <c r="GH76" s="144"/>
      <c r="GI76" s="144"/>
      <c r="GJ76" s="144"/>
      <c r="GK76" s="144"/>
      <c r="GL76" s="144"/>
      <c r="GM76" s="144"/>
      <c r="GN76" s="144"/>
      <c r="GO76" s="144"/>
      <c r="GP76" s="144"/>
      <c r="GQ76" s="144"/>
      <c r="GR76" s="144"/>
      <c r="GS76" s="144"/>
      <c r="GT76" s="144"/>
      <c r="GU76" s="144"/>
      <c r="GV76" s="144"/>
      <c r="GW76" s="144"/>
      <c r="GX76" s="144"/>
      <c r="GY76" s="144"/>
      <c r="GZ76" s="144"/>
      <c r="HA76" s="144"/>
      <c r="HB76" s="144"/>
      <c r="HC76" s="144"/>
      <c r="HD76" s="144"/>
      <c r="HE76" s="144"/>
      <c r="HF76" s="144"/>
      <c r="HG76" s="144"/>
      <c r="HH76" s="144"/>
      <c r="HI76" s="144"/>
      <c r="HJ76" s="144"/>
      <c r="HK76" s="144"/>
      <c r="HL76" s="144"/>
      <c r="HM76" s="144"/>
      <c r="HN76" s="144"/>
      <c r="HO76" s="144"/>
      <c r="HP76" s="144"/>
      <c r="HQ76" s="144"/>
      <c r="HR76" s="144"/>
      <c r="HS76" s="144"/>
      <c r="HT76" s="144"/>
      <c r="HU76" s="144"/>
      <c r="HV76" s="144"/>
      <c r="HW76" s="144"/>
      <c r="HX76" s="144"/>
      <c r="HY76" s="144"/>
      <c r="HZ76" s="144"/>
      <c r="IA76" s="144"/>
      <c r="IB76" s="144"/>
      <c r="IC76" s="144"/>
      <c r="ID76" s="144"/>
      <c r="IE76" s="144"/>
      <c r="IF76" s="144"/>
      <c r="IG76" s="144"/>
      <c r="IH76" s="144"/>
      <c r="II76" s="144"/>
      <c r="IJ76" s="144"/>
      <c r="IK76" s="144"/>
      <c r="IL76" s="144"/>
      <c r="IM76" s="144"/>
      <c r="IN76" s="144"/>
      <c r="IO76" s="144"/>
      <c r="IP76" s="144"/>
      <c r="IQ76" s="144"/>
      <c r="IR76" s="144"/>
      <c r="IS76" s="144"/>
      <c r="IT76" s="144"/>
      <c r="IU76" s="144"/>
      <c r="IV76" s="144"/>
      <c r="IW76" s="144"/>
      <c r="IX76" s="144"/>
      <c r="IY76" s="144"/>
      <c r="IZ76" s="144"/>
      <c r="JA76" s="144"/>
      <c r="JB76" s="144"/>
      <c r="JC76" s="144"/>
      <c r="JD76" s="144"/>
      <c r="JE76" s="186">
        <f t="shared" si="2044"/>
        <v>0</v>
      </c>
      <c r="JF76" s="144"/>
      <c r="JG76" s="186"/>
      <c r="JH76" s="159">
        <v>65124.09</v>
      </c>
    </row>
    <row r="77" spans="1:268" s="86" customFormat="1" ht="12" customHeight="1">
      <c r="A77" s="402">
        <v>38</v>
      </c>
      <c r="B77" s="414" t="s">
        <v>1130</v>
      </c>
      <c r="C77" s="427" t="s">
        <v>1131</v>
      </c>
      <c r="D77" s="428" t="s">
        <v>553</v>
      </c>
      <c r="E77" s="429" t="s">
        <v>422</v>
      </c>
      <c r="F77" s="430">
        <v>110.54</v>
      </c>
      <c r="G77" s="430">
        <v>25</v>
      </c>
      <c r="H77" s="481">
        <f>F77*G77*365</f>
        <v>1008677.5</v>
      </c>
      <c r="I77" s="183">
        <v>243797.35</v>
      </c>
      <c r="J77" s="132">
        <f>ROUND(G77*F77*365/4,0)</f>
        <v>252169</v>
      </c>
      <c r="K77" s="131">
        <f>J77</f>
        <v>252169</v>
      </c>
      <c r="L77" s="131">
        <f>K77</f>
        <v>252169</v>
      </c>
      <c r="M77" s="131">
        <f>L77</f>
        <v>252169</v>
      </c>
      <c r="N77" s="133">
        <f>ROUND(M77*(1+取值表!$D$6)*取值表!$H$6,0)</f>
        <v>250109</v>
      </c>
      <c r="O77" s="131">
        <f>N77</f>
        <v>250109</v>
      </c>
      <c r="P77" s="131">
        <f>O77</f>
        <v>250109</v>
      </c>
      <c r="Q77" s="131">
        <f>P77</f>
        <v>250109</v>
      </c>
      <c r="R77" s="133">
        <f>ROUND(Q77*(1+取值表!$D$6)*取值表!$H$6,0)</f>
        <v>248065</v>
      </c>
      <c r="S77" s="131">
        <f t="shared" ref="S77:U77" si="2247">R77</f>
        <v>248065</v>
      </c>
      <c r="T77" s="131">
        <f t="shared" si="2247"/>
        <v>248065</v>
      </c>
      <c r="U77" s="131">
        <f t="shared" si="2247"/>
        <v>248065</v>
      </c>
      <c r="V77" s="133">
        <f>ROUND(U77*(1+取值表!$D$6)*取值表!$H$6,0)</f>
        <v>246038</v>
      </c>
      <c r="W77" s="131">
        <f t="shared" ref="W77:Y77" si="2248">V77</f>
        <v>246038</v>
      </c>
      <c r="X77" s="131">
        <f t="shared" si="2248"/>
        <v>246038</v>
      </c>
      <c r="Y77" s="131">
        <f t="shared" si="2248"/>
        <v>246038</v>
      </c>
      <c r="Z77" s="133">
        <f>ROUND(Y77*(1+取值表!$D$6)*取值表!$H$6,0)</f>
        <v>244028</v>
      </c>
      <c r="AA77" s="131">
        <f t="shared" ref="AA77:AC77" si="2249">Z77</f>
        <v>244028</v>
      </c>
      <c r="AB77" s="131">
        <f t="shared" si="2249"/>
        <v>244028</v>
      </c>
      <c r="AC77" s="131">
        <f t="shared" si="2249"/>
        <v>244028</v>
      </c>
      <c r="AD77" s="133">
        <f>ROUND(AC77*(1+取值表!$D$6)*取值表!$H$6,0)</f>
        <v>242034</v>
      </c>
      <c r="AE77" s="131">
        <f t="shared" ref="AE77:AG77" si="2250">AD77</f>
        <v>242034</v>
      </c>
      <c r="AF77" s="131">
        <f t="shared" si="2250"/>
        <v>242034</v>
      </c>
      <c r="AG77" s="131">
        <f t="shared" si="2250"/>
        <v>242034</v>
      </c>
      <c r="AH77" s="133">
        <f>ROUND(AG77*(1+取值表!$D$6)*取值表!$H$6,0)</f>
        <v>240056</v>
      </c>
      <c r="AI77" s="131">
        <f t="shared" ref="AI77:AK77" si="2251">AH77</f>
        <v>240056</v>
      </c>
      <c r="AJ77" s="131">
        <f t="shared" si="2251"/>
        <v>240056</v>
      </c>
      <c r="AK77" s="131">
        <f t="shared" si="2251"/>
        <v>240056</v>
      </c>
      <c r="AL77" s="133">
        <f>ROUND(AK77*(1+取值表!$D$6)*取值表!$H$6,0)</f>
        <v>238095</v>
      </c>
      <c r="AM77" s="131">
        <f t="shared" ref="AM77:AO77" si="2252">AL77</f>
        <v>238095</v>
      </c>
      <c r="AN77" s="131">
        <f t="shared" si="2252"/>
        <v>238095</v>
      </c>
      <c r="AO77" s="131">
        <f t="shared" si="2252"/>
        <v>238095</v>
      </c>
      <c r="AP77" s="133">
        <f>ROUND(AO77*(1+取值表!$D$6)*取值表!$H$6,0)</f>
        <v>236150</v>
      </c>
      <c r="AQ77" s="131">
        <f t="shared" ref="AQ77:AS77" si="2253">AP77</f>
        <v>236150</v>
      </c>
      <c r="AR77" s="131">
        <f t="shared" si="2253"/>
        <v>236150</v>
      </c>
      <c r="AS77" s="131">
        <f t="shared" si="2253"/>
        <v>236150</v>
      </c>
      <c r="AT77" s="133">
        <f>ROUND(AS77*(1+取值表!$D$6)*取值表!$H$6,0)</f>
        <v>234220</v>
      </c>
      <c r="AU77" s="131">
        <f t="shared" ref="AU77:AW77" si="2254">AT77</f>
        <v>234220</v>
      </c>
      <c r="AV77" s="131">
        <f t="shared" si="2254"/>
        <v>234220</v>
      </c>
      <c r="AW77" s="131">
        <f t="shared" si="2254"/>
        <v>234220</v>
      </c>
      <c r="AX77" s="133">
        <f>ROUND(AW77*(1+取值表!$D$6)*取值表!$H$6,0)</f>
        <v>232306</v>
      </c>
      <c r="AY77" s="131">
        <f t="shared" ref="AY77:BA77" si="2255">AX77</f>
        <v>232306</v>
      </c>
      <c r="AZ77" s="131">
        <f t="shared" si="2255"/>
        <v>232306</v>
      </c>
      <c r="BA77" s="131">
        <f t="shared" si="2255"/>
        <v>232306</v>
      </c>
      <c r="BB77" s="133">
        <f>ROUND(BA77*(1+取值表!$D$6)*取值表!$H$6,0)</f>
        <v>230408</v>
      </c>
      <c r="BC77" s="131">
        <f t="shared" ref="BC77:BE77" si="2256">BB77</f>
        <v>230408</v>
      </c>
      <c r="BD77" s="131">
        <f t="shared" si="2256"/>
        <v>230408</v>
      </c>
      <c r="BE77" s="131">
        <f t="shared" si="2256"/>
        <v>230408</v>
      </c>
      <c r="BF77" s="133">
        <f>ROUND(BE77*(1+取值表!$D$6)*取值表!$H$6,0)</f>
        <v>228525</v>
      </c>
      <c r="BG77" s="131">
        <f t="shared" ref="BG77:BI77" si="2257">BF77</f>
        <v>228525</v>
      </c>
      <c r="BH77" s="131">
        <f t="shared" si="2257"/>
        <v>228525</v>
      </c>
      <c r="BI77" s="131">
        <f t="shared" si="2257"/>
        <v>228525</v>
      </c>
      <c r="BJ77" s="133">
        <f>ROUND(BI77*(1+取值表!$D$6)*取值表!$H$6,0)</f>
        <v>226658</v>
      </c>
      <c r="BK77" s="131">
        <f t="shared" ref="BK77:BM77" si="2258">BJ77</f>
        <v>226658</v>
      </c>
      <c r="BL77" s="131">
        <f t="shared" si="2258"/>
        <v>226658</v>
      </c>
      <c r="BM77" s="131">
        <f t="shared" si="2258"/>
        <v>226658</v>
      </c>
      <c r="BN77" s="133">
        <f>ROUND(BM77*(1+取值表!$D$6)*取值表!$H$6,0)</f>
        <v>224806</v>
      </c>
      <c r="BO77" s="131">
        <f t="shared" ref="BO77:BQ77" si="2259">BN77</f>
        <v>224806</v>
      </c>
      <c r="BP77" s="131">
        <f t="shared" si="2259"/>
        <v>224806</v>
      </c>
      <c r="BQ77" s="131">
        <f t="shared" si="2259"/>
        <v>224806</v>
      </c>
      <c r="BR77" s="133">
        <f>ROUND(BQ77*(1+取值表!$D$6)*取值表!$H$6,0)</f>
        <v>222969</v>
      </c>
      <c r="BS77" s="131">
        <f t="shared" ref="BS77:BU77" si="2260">BR77</f>
        <v>222969</v>
      </c>
      <c r="BT77" s="131">
        <f t="shared" si="2260"/>
        <v>222969</v>
      </c>
      <c r="BU77" s="131">
        <f t="shared" si="2260"/>
        <v>222969</v>
      </c>
      <c r="BV77" s="133">
        <f>ROUND(BU77*(1+取值表!$D$6)*取值表!$H$6,0)</f>
        <v>221147</v>
      </c>
      <c r="BW77" s="131">
        <f t="shared" ref="BW77:BY77" si="2261">BV77</f>
        <v>221147</v>
      </c>
      <c r="BX77" s="131">
        <f t="shared" si="2261"/>
        <v>221147</v>
      </c>
      <c r="BY77" s="131">
        <f t="shared" si="2261"/>
        <v>221147</v>
      </c>
      <c r="BZ77" s="133">
        <f>ROUND(BY77*(1+取值表!$D$6)*取值表!$H$6,0)</f>
        <v>219340</v>
      </c>
      <c r="CA77" s="131">
        <f t="shared" ref="CA77:CC77" si="2262">BZ77</f>
        <v>219340</v>
      </c>
      <c r="CB77" s="131">
        <f t="shared" si="2262"/>
        <v>219340</v>
      </c>
      <c r="CC77" s="131">
        <f t="shared" si="2262"/>
        <v>219340</v>
      </c>
      <c r="CD77" s="133">
        <f>ROUND(CC77*(1+取值表!$D$6)*取值表!$H$6,0)</f>
        <v>217548</v>
      </c>
      <c r="CE77" s="131">
        <f t="shared" ref="CE77:CG77" si="2263">CD77</f>
        <v>217548</v>
      </c>
      <c r="CF77" s="131">
        <f t="shared" si="2263"/>
        <v>217548</v>
      </c>
      <c r="CG77" s="131">
        <f t="shared" si="2263"/>
        <v>217548</v>
      </c>
      <c r="CH77" s="133">
        <f>ROUND(CG77*(1+取值表!$D$6)*取值表!$H$6,0)</f>
        <v>215770</v>
      </c>
      <c r="CI77" s="131">
        <f t="shared" ref="CI77:CK77" si="2264">CH77</f>
        <v>215770</v>
      </c>
      <c r="CJ77" s="131">
        <f t="shared" si="2264"/>
        <v>215770</v>
      </c>
      <c r="CK77" s="131">
        <f t="shared" si="2264"/>
        <v>215770</v>
      </c>
      <c r="CL77" s="133">
        <f>ROUND(CK77*(1+取值表!$D$6)*取值表!$H$6,0)</f>
        <v>214007</v>
      </c>
      <c r="CM77" s="131">
        <f t="shared" ref="CM77:CO77" si="2265">CL77</f>
        <v>214007</v>
      </c>
      <c r="CN77" s="131">
        <f t="shared" si="2265"/>
        <v>214007</v>
      </c>
      <c r="CO77" s="131">
        <f t="shared" si="2265"/>
        <v>214007</v>
      </c>
      <c r="CP77" s="133">
        <f>ROUND(CO77*(1+取值表!$D$6)*取值表!$H$6,0)</f>
        <v>212258</v>
      </c>
      <c r="CQ77" s="131">
        <f t="shared" ref="CQ77" si="2266">CP77</f>
        <v>212258</v>
      </c>
      <c r="CR77" s="131">
        <f t="shared" ref="CR77" si="2267">CQ77</f>
        <v>212258</v>
      </c>
      <c r="CS77" s="131">
        <f t="shared" ref="CS77" si="2268">CR77</f>
        <v>212258</v>
      </c>
      <c r="CT77" s="133">
        <f>ROUND(CS77*(1+取值表!$D$6)*取值表!$H$6,0)</f>
        <v>210524</v>
      </c>
      <c r="CU77" s="131">
        <f t="shared" ref="CU77" si="2269">CT77</f>
        <v>210524</v>
      </c>
      <c r="CV77" s="131">
        <f t="shared" ref="CV77" si="2270">CU77</f>
        <v>210524</v>
      </c>
      <c r="CW77" s="131">
        <f t="shared" ref="CW77" si="2271">CV77</f>
        <v>210524</v>
      </c>
      <c r="CX77" s="133">
        <f>ROUND(CW77*(1+取值表!$D$6)*取值表!$H$6,0)</f>
        <v>208804</v>
      </c>
      <c r="CY77" s="131">
        <f t="shared" ref="CY77" si="2272">CX77</f>
        <v>208804</v>
      </c>
      <c r="CZ77" s="131">
        <f t="shared" ref="CZ77" si="2273">CY77</f>
        <v>208804</v>
      </c>
      <c r="DA77" s="131">
        <f t="shared" ref="DA77" si="2274">CZ77</f>
        <v>208804</v>
      </c>
      <c r="DB77" s="133">
        <f>ROUND(DA77*(1+取值表!$D$6)*取值表!$H$6,0)</f>
        <v>207098</v>
      </c>
      <c r="DC77" s="131">
        <f t="shared" ref="DC77" si="2275">DB77</f>
        <v>207098</v>
      </c>
      <c r="DD77" s="131">
        <f t="shared" ref="DD77" si="2276">DC77</f>
        <v>207098</v>
      </c>
      <c r="DE77" s="131">
        <f t="shared" ref="DE77" si="2277">DD77</f>
        <v>207098</v>
      </c>
      <c r="DF77" s="133">
        <f>ROUND(DE77*(1+取值表!$D$6)*取值表!$H$6,0)</f>
        <v>205406</v>
      </c>
      <c r="DG77" s="131">
        <f t="shared" ref="DG77" si="2278">DF77</f>
        <v>205406</v>
      </c>
      <c r="DH77" s="131">
        <f t="shared" ref="DH77" si="2279">DG77</f>
        <v>205406</v>
      </c>
      <c r="DI77" s="131">
        <f t="shared" ref="DI77" si="2280">DH77</f>
        <v>205406</v>
      </c>
      <c r="DJ77" s="133">
        <f>ROUND(DI77*(1+取值表!$D$6)*取值表!$H$6,0)</f>
        <v>203728</v>
      </c>
      <c r="DK77" s="131">
        <f t="shared" ref="DK77" si="2281">DJ77</f>
        <v>203728</v>
      </c>
      <c r="DL77" s="131">
        <f t="shared" ref="DL77" si="2282">DK77</f>
        <v>203728</v>
      </c>
      <c r="DM77" s="131">
        <f t="shared" ref="DM77" si="2283">DL77</f>
        <v>203728</v>
      </c>
      <c r="DN77" s="133">
        <f>ROUND(DM77*(1+取值表!$D$6)*取值表!$H$6,0)</f>
        <v>202063</v>
      </c>
      <c r="DO77" s="131">
        <f t="shared" ref="DO77" si="2284">DN77</f>
        <v>202063</v>
      </c>
      <c r="DP77" s="131">
        <f t="shared" ref="DP77" si="2285">DO77</f>
        <v>202063</v>
      </c>
      <c r="DQ77" s="131">
        <f t="shared" ref="DQ77" si="2286">DP77</f>
        <v>202063</v>
      </c>
      <c r="DR77" s="133">
        <f>ROUND(DQ77*(1+取值表!$D$6)*取值表!$H$6,0)</f>
        <v>200412</v>
      </c>
      <c r="DS77" s="131">
        <f t="shared" ref="DS77" si="2287">DR77</f>
        <v>200412</v>
      </c>
      <c r="DT77" s="131">
        <f t="shared" ref="DT77" si="2288">DS77</f>
        <v>200412</v>
      </c>
      <c r="DU77" s="131">
        <f t="shared" ref="DU77" si="2289">DT77</f>
        <v>200412</v>
      </c>
      <c r="DV77" s="133">
        <f>ROUND(DU77*(1+取值表!$D$6)*取值表!$H$6,0)</f>
        <v>198774</v>
      </c>
      <c r="DW77" s="131">
        <f t="shared" ref="DW77" si="2290">DV77</f>
        <v>198774</v>
      </c>
      <c r="DX77" s="131">
        <f t="shared" ref="DX77" si="2291">DW77</f>
        <v>198774</v>
      </c>
      <c r="DY77" s="131">
        <f t="shared" ref="DY77" si="2292">DX77</f>
        <v>198774</v>
      </c>
      <c r="DZ77" s="133">
        <f>ROUND(DY77*(1+取值表!$D$6)*取值表!$H$6,0)</f>
        <v>197150</v>
      </c>
      <c r="EA77" s="131">
        <f t="shared" ref="EA77" si="2293">DZ77</f>
        <v>197150</v>
      </c>
      <c r="EB77" s="131">
        <f t="shared" ref="EB77" si="2294">EA77</f>
        <v>197150</v>
      </c>
      <c r="EC77" s="131">
        <f t="shared" ref="EC77" si="2295">EB77</f>
        <v>197150</v>
      </c>
      <c r="ED77" s="133">
        <f>ROUND(EC77*(1+取值表!$D$6)*取值表!$H$6,0)</f>
        <v>195539</v>
      </c>
      <c r="EE77" s="131">
        <f t="shared" ref="EE77" si="2296">ED77</f>
        <v>195539</v>
      </c>
      <c r="EF77" s="131">
        <f t="shared" ref="EF77" si="2297">EE77</f>
        <v>195539</v>
      </c>
      <c r="EG77" s="131">
        <f t="shared" ref="EG77" si="2298">EF77</f>
        <v>195539</v>
      </c>
      <c r="EH77" s="133">
        <f>ROUND(EG77*(1+取值表!$D$6)*取值表!$H$6,0)</f>
        <v>193941</v>
      </c>
      <c r="EI77" s="131">
        <f t="shared" ref="EI77" si="2299">EH77</f>
        <v>193941</v>
      </c>
      <c r="EJ77" s="131">
        <f t="shared" ref="EJ77" si="2300">EI77</f>
        <v>193941</v>
      </c>
      <c r="EK77" s="131">
        <f t="shared" ref="EK77" si="2301">EJ77</f>
        <v>193941</v>
      </c>
      <c r="EL77" s="133">
        <f>ROUND(EK77*(1+取值表!$D$6)*取值表!$H$6,0)</f>
        <v>192356</v>
      </c>
      <c r="EM77" s="131">
        <f t="shared" ref="EM77" si="2302">EL77</f>
        <v>192356</v>
      </c>
      <c r="EN77" s="131">
        <f t="shared" ref="EN77" si="2303">EM77</f>
        <v>192356</v>
      </c>
      <c r="EO77" s="131">
        <f t="shared" ref="EO77" si="2304">EN77</f>
        <v>192356</v>
      </c>
      <c r="EP77" s="133">
        <f>ROUND(EO77*(1+取值表!$D$6)*取值表!$H$6,0)</f>
        <v>190784</v>
      </c>
      <c r="EQ77" s="131">
        <f t="shared" ref="EQ77" si="2305">EP77</f>
        <v>190784</v>
      </c>
      <c r="ER77" s="131">
        <f t="shared" ref="ER77" si="2306">EQ77</f>
        <v>190784</v>
      </c>
      <c r="ES77" s="131">
        <f t="shared" ref="ES77" si="2307">ER77</f>
        <v>190784</v>
      </c>
      <c r="ET77" s="133">
        <f t="shared" si="1982"/>
        <v>30813140</v>
      </c>
      <c r="EU77" s="159"/>
      <c r="EV77" s="159"/>
      <c r="EW77" s="159"/>
      <c r="EX77" s="159"/>
      <c r="EY77" s="159"/>
      <c r="EZ77" s="159"/>
      <c r="FA77" s="159"/>
      <c r="FB77" s="159"/>
      <c r="FC77" s="159"/>
      <c r="FD77" s="159"/>
      <c r="FE77" s="159"/>
      <c r="FF77" s="159"/>
      <c r="FG77" s="149"/>
      <c r="FH77" s="149"/>
      <c r="FI77" s="149"/>
      <c r="FJ77" s="149"/>
      <c r="FK77" s="149"/>
      <c r="FL77" s="149"/>
      <c r="FM77" s="149"/>
      <c r="FN77" s="149"/>
      <c r="FO77" s="149"/>
      <c r="FP77" s="149"/>
      <c r="FQ77" s="149"/>
      <c r="FR77" s="149"/>
      <c r="FS77" s="149"/>
      <c r="FT77" s="149"/>
      <c r="FU77" s="149"/>
      <c r="FV77" s="149"/>
      <c r="FW77" s="149"/>
      <c r="FX77" s="149"/>
      <c r="FY77" s="149"/>
      <c r="FZ77" s="149"/>
      <c r="GA77" s="149"/>
      <c r="GB77" s="149"/>
      <c r="GC77" s="149"/>
      <c r="GD77" s="149"/>
      <c r="GE77" s="149"/>
      <c r="GF77" s="149"/>
      <c r="GG77" s="149"/>
      <c r="GH77" s="149"/>
      <c r="GI77" s="149"/>
      <c r="GJ77" s="149"/>
      <c r="GK77" s="149"/>
      <c r="GL77" s="149"/>
      <c r="GM77" s="149"/>
      <c r="GN77" s="149"/>
      <c r="GO77" s="149"/>
      <c r="GP77" s="149"/>
      <c r="GQ77" s="149"/>
      <c r="GR77" s="149"/>
      <c r="GS77" s="149"/>
      <c r="GT77" s="149"/>
      <c r="GU77" s="149"/>
      <c r="GV77" s="149"/>
      <c r="GW77" s="149"/>
      <c r="GX77" s="149"/>
      <c r="GY77" s="149"/>
      <c r="GZ77" s="149"/>
      <c r="HA77" s="149"/>
      <c r="HB77" s="149"/>
      <c r="HC77" s="149"/>
      <c r="HD77" s="149"/>
      <c r="HE77" s="149"/>
      <c r="HF77" s="149"/>
      <c r="HG77" s="149"/>
      <c r="HH77" s="149"/>
      <c r="HI77" s="149"/>
      <c r="HJ77" s="149"/>
      <c r="HK77" s="149"/>
      <c r="HL77" s="149"/>
      <c r="HM77" s="149"/>
      <c r="HN77" s="149"/>
      <c r="HO77" s="149"/>
      <c r="HP77" s="149"/>
      <c r="HQ77" s="149"/>
      <c r="HR77" s="149"/>
      <c r="HS77" s="149"/>
      <c r="HT77" s="149"/>
      <c r="HU77" s="149"/>
      <c r="HV77" s="149"/>
      <c r="HW77" s="149"/>
      <c r="HX77" s="149"/>
      <c r="HY77" s="149"/>
      <c r="HZ77" s="149"/>
      <c r="IA77" s="149"/>
      <c r="IB77" s="149"/>
      <c r="IC77" s="149"/>
      <c r="ID77" s="149"/>
      <c r="IE77" s="149"/>
      <c r="IF77" s="149"/>
      <c r="IG77" s="149"/>
      <c r="IH77" s="149"/>
      <c r="II77" s="149"/>
      <c r="IJ77" s="149"/>
      <c r="IK77" s="149"/>
      <c r="IL77" s="149"/>
      <c r="IM77" s="149"/>
      <c r="IN77" s="149"/>
      <c r="IO77" s="149"/>
      <c r="IP77" s="149"/>
      <c r="IQ77" s="149"/>
      <c r="IR77" s="149"/>
      <c r="IS77" s="149"/>
      <c r="IT77" s="149"/>
      <c r="IU77" s="149"/>
      <c r="IV77" s="149"/>
      <c r="IW77" s="149"/>
      <c r="IX77" s="149"/>
      <c r="IY77" s="149"/>
      <c r="IZ77" s="149"/>
      <c r="JA77" s="149"/>
      <c r="JB77" s="149"/>
      <c r="JC77" s="149"/>
      <c r="JD77" s="149"/>
      <c r="JE77" s="184">
        <f t="shared" si="2044"/>
        <v>61626280</v>
      </c>
      <c r="JF77" s="149"/>
      <c r="JG77" s="184"/>
      <c r="JH77" s="159">
        <v>1751736.2733333299</v>
      </c>
    </row>
    <row r="78" spans="1:268" s="86" customFormat="1">
      <c r="A78" s="402"/>
      <c r="B78" s="414"/>
      <c r="C78" s="427"/>
      <c r="D78" s="428"/>
      <c r="E78" s="429"/>
      <c r="F78" s="430"/>
      <c r="G78" s="430"/>
      <c r="H78" s="481"/>
      <c r="I78" s="185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131"/>
      <c r="AH78" s="131"/>
      <c r="AI78" s="131"/>
      <c r="AJ78" s="131"/>
      <c r="AK78" s="131"/>
      <c r="AL78" s="131"/>
      <c r="AM78" s="131"/>
      <c r="AN78" s="131"/>
      <c r="AO78" s="131"/>
      <c r="AP78" s="131"/>
      <c r="AQ78" s="131"/>
      <c r="AR78" s="131"/>
      <c r="AS78" s="131"/>
      <c r="AT78" s="131"/>
      <c r="AU78" s="131"/>
      <c r="AV78" s="131"/>
      <c r="AW78" s="131"/>
      <c r="AX78" s="131"/>
      <c r="AY78" s="131"/>
      <c r="AZ78" s="131"/>
      <c r="BA78" s="131"/>
      <c r="BB78" s="131"/>
      <c r="BC78" s="131"/>
      <c r="BD78" s="131"/>
      <c r="BE78" s="131"/>
      <c r="BF78" s="131"/>
      <c r="BG78" s="131"/>
      <c r="BH78" s="131"/>
      <c r="BI78" s="131"/>
      <c r="BJ78" s="131"/>
      <c r="BK78" s="131"/>
      <c r="BL78" s="131"/>
      <c r="BM78" s="131"/>
      <c r="BN78" s="131"/>
      <c r="BO78" s="131"/>
      <c r="BP78" s="131"/>
      <c r="BQ78" s="131"/>
      <c r="BR78" s="131"/>
      <c r="BS78" s="131"/>
      <c r="BT78" s="131"/>
      <c r="BU78" s="131"/>
      <c r="BV78" s="131"/>
      <c r="BW78" s="131"/>
      <c r="BX78" s="131"/>
      <c r="BY78" s="131"/>
      <c r="BZ78" s="131"/>
      <c r="CA78" s="131"/>
      <c r="CB78" s="131"/>
      <c r="CC78" s="131"/>
      <c r="CD78" s="131"/>
      <c r="CE78" s="131"/>
      <c r="CF78" s="131"/>
      <c r="CG78" s="131"/>
      <c r="CH78" s="131"/>
      <c r="CI78" s="131"/>
      <c r="CJ78" s="131"/>
      <c r="CK78" s="131"/>
      <c r="CL78" s="131"/>
      <c r="CM78" s="131"/>
      <c r="CN78" s="131"/>
      <c r="CO78" s="131"/>
      <c r="CP78" s="131"/>
      <c r="CQ78" s="131"/>
      <c r="CR78" s="131"/>
      <c r="CS78" s="131"/>
      <c r="CT78" s="131"/>
      <c r="CU78" s="131"/>
      <c r="CV78" s="131"/>
      <c r="CW78" s="131"/>
      <c r="CX78" s="131"/>
      <c r="CY78" s="131"/>
      <c r="CZ78" s="131"/>
      <c r="DA78" s="131"/>
      <c r="DB78" s="131"/>
      <c r="DC78" s="131"/>
      <c r="DD78" s="131"/>
      <c r="DE78" s="131"/>
      <c r="DF78" s="131"/>
      <c r="DG78" s="131"/>
      <c r="DH78" s="131"/>
      <c r="DI78" s="131"/>
      <c r="DJ78" s="131"/>
      <c r="DK78" s="131"/>
      <c r="DL78" s="131"/>
      <c r="DM78" s="131"/>
      <c r="DN78" s="131"/>
      <c r="DO78" s="131"/>
      <c r="DP78" s="131"/>
      <c r="DQ78" s="131"/>
      <c r="DR78" s="131"/>
      <c r="DS78" s="131"/>
      <c r="DT78" s="131"/>
      <c r="DU78" s="131"/>
      <c r="DV78" s="131"/>
      <c r="DW78" s="131"/>
      <c r="DX78" s="131"/>
      <c r="DY78" s="131"/>
      <c r="DZ78" s="131"/>
      <c r="EA78" s="131"/>
      <c r="EB78" s="131"/>
      <c r="EC78" s="131"/>
      <c r="ED78" s="131"/>
      <c r="EE78" s="131"/>
      <c r="EF78" s="131"/>
      <c r="EG78" s="131"/>
      <c r="EH78" s="131"/>
      <c r="EI78" s="131"/>
      <c r="EJ78" s="131"/>
      <c r="EK78" s="131"/>
      <c r="EL78" s="131"/>
      <c r="EM78" s="131"/>
      <c r="EN78" s="131"/>
      <c r="EO78" s="131"/>
      <c r="EP78" s="131"/>
      <c r="EQ78" s="131"/>
      <c r="ER78" s="131"/>
      <c r="ES78" s="131"/>
      <c r="ET78" s="133">
        <f t="shared" si="1982"/>
        <v>0</v>
      </c>
      <c r="EU78" s="159"/>
      <c r="EV78" s="159"/>
      <c r="EW78" s="159"/>
      <c r="EX78" s="159"/>
      <c r="EY78" s="159"/>
      <c r="EZ78" s="159"/>
      <c r="FA78" s="159"/>
      <c r="FB78" s="159"/>
      <c r="FC78" s="159"/>
      <c r="FD78" s="159"/>
      <c r="FE78" s="159"/>
      <c r="FF78" s="159"/>
      <c r="FG78" s="144"/>
      <c r="FH78" s="144"/>
      <c r="FI78" s="144"/>
      <c r="FJ78" s="144"/>
      <c r="FK78" s="144"/>
      <c r="FL78" s="144"/>
      <c r="FM78" s="144"/>
      <c r="FN78" s="144"/>
      <c r="FO78" s="144"/>
      <c r="FP78" s="144"/>
      <c r="FQ78" s="144"/>
      <c r="FR78" s="144"/>
      <c r="FS78" s="144"/>
      <c r="FT78" s="144"/>
      <c r="FU78" s="144"/>
      <c r="FV78" s="144"/>
      <c r="FW78" s="144"/>
      <c r="FX78" s="144"/>
      <c r="FY78" s="144"/>
      <c r="FZ78" s="144"/>
      <c r="GA78" s="144"/>
      <c r="GB78" s="144"/>
      <c r="GC78" s="144"/>
      <c r="GD78" s="144"/>
      <c r="GE78" s="144"/>
      <c r="GF78" s="144"/>
      <c r="GG78" s="144"/>
      <c r="GH78" s="144"/>
      <c r="GI78" s="144"/>
      <c r="GJ78" s="144"/>
      <c r="GK78" s="144"/>
      <c r="GL78" s="144"/>
      <c r="GM78" s="144"/>
      <c r="GN78" s="144"/>
      <c r="GO78" s="144"/>
      <c r="GP78" s="144"/>
      <c r="GQ78" s="144"/>
      <c r="GR78" s="144"/>
      <c r="GS78" s="144"/>
      <c r="GT78" s="144"/>
      <c r="GU78" s="144"/>
      <c r="GV78" s="144"/>
      <c r="GW78" s="144"/>
      <c r="GX78" s="144"/>
      <c r="GY78" s="144"/>
      <c r="GZ78" s="144"/>
      <c r="HA78" s="144"/>
      <c r="HB78" s="144"/>
      <c r="HC78" s="144"/>
      <c r="HD78" s="144"/>
      <c r="HE78" s="144"/>
      <c r="HF78" s="144"/>
      <c r="HG78" s="144"/>
      <c r="HH78" s="144"/>
      <c r="HI78" s="144"/>
      <c r="HJ78" s="144"/>
      <c r="HK78" s="144"/>
      <c r="HL78" s="144"/>
      <c r="HM78" s="144"/>
      <c r="HN78" s="144"/>
      <c r="HO78" s="144"/>
      <c r="HP78" s="144"/>
      <c r="HQ78" s="144"/>
      <c r="HR78" s="144"/>
      <c r="HS78" s="144"/>
      <c r="HT78" s="144"/>
      <c r="HU78" s="144"/>
      <c r="HV78" s="144"/>
      <c r="HW78" s="144"/>
      <c r="HX78" s="144"/>
      <c r="HY78" s="144"/>
      <c r="HZ78" s="144"/>
      <c r="IA78" s="144"/>
      <c r="IB78" s="144"/>
      <c r="IC78" s="144"/>
      <c r="ID78" s="144"/>
      <c r="IE78" s="144"/>
      <c r="IF78" s="144"/>
      <c r="IG78" s="144"/>
      <c r="IH78" s="144"/>
      <c r="II78" s="144"/>
      <c r="IJ78" s="144"/>
      <c r="IK78" s="144"/>
      <c r="IL78" s="144"/>
      <c r="IM78" s="144"/>
      <c r="IN78" s="144"/>
      <c r="IO78" s="144"/>
      <c r="IP78" s="144"/>
      <c r="IQ78" s="144"/>
      <c r="IR78" s="144"/>
      <c r="IS78" s="144"/>
      <c r="IT78" s="144"/>
      <c r="IU78" s="144"/>
      <c r="IV78" s="144"/>
      <c r="IW78" s="144"/>
      <c r="IX78" s="144"/>
      <c r="IY78" s="144"/>
      <c r="IZ78" s="144"/>
      <c r="JA78" s="144"/>
      <c r="JB78" s="144"/>
      <c r="JC78" s="144"/>
      <c r="JD78" s="144"/>
      <c r="JE78" s="186">
        <f t="shared" si="2044"/>
        <v>0</v>
      </c>
      <c r="JF78" s="144"/>
      <c r="JG78" s="186"/>
      <c r="JH78" s="159">
        <v>1478496.89</v>
      </c>
    </row>
    <row r="79" spans="1:268" s="86" customFormat="1" ht="21" customHeight="1">
      <c r="A79" s="153">
        <v>39</v>
      </c>
      <c r="B79" s="187" t="s">
        <v>1132</v>
      </c>
      <c r="C79" s="31" t="s">
        <v>1133</v>
      </c>
      <c r="D79" s="188" t="s">
        <v>576</v>
      </c>
      <c r="E79" s="189" t="s">
        <v>422</v>
      </c>
      <c r="F79" s="157">
        <v>82.8</v>
      </c>
      <c r="G79" s="190">
        <f>H79/365/F79</f>
        <v>11.911852293031567</v>
      </c>
      <c r="H79" s="354">
        <f>30000*12</f>
        <v>360000</v>
      </c>
      <c r="I79" s="153"/>
      <c r="J79" s="132">
        <f>ROUND(G79*F79*365/4,0)</f>
        <v>90000</v>
      </c>
      <c r="K79" s="131">
        <f t="shared" ref="K79:M81" si="2308">J79</f>
        <v>90000</v>
      </c>
      <c r="L79" s="161">
        <f t="shared" si="2308"/>
        <v>90000</v>
      </c>
      <c r="M79" s="161">
        <f t="shared" si="2308"/>
        <v>90000</v>
      </c>
      <c r="N79" s="133">
        <f>ROUND(M79*(1+取值表!$D$6)*取值表!$H$6,0)</f>
        <v>89265</v>
      </c>
      <c r="O79" s="161">
        <f t="shared" ref="O79:Q81" si="2309">N79</f>
        <v>89265</v>
      </c>
      <c r="P79" s="161">
        <f t="shared" si="2309"/>
        <v>89265</v>
      </c>
      <c r="Q79" s="161">
        <f t="shared" si="2309"/>
        <v>89265</v>
      </c>
      <c r="R79" s="133">
        <f>ROUND(Q79*(1+取值表!$D$6)*取值表!$H$6,0)</f>
        <v>88536</v>
      </c>
      <c r="S79" s="161">
        <f t="shared" ref="S79:U79" si="2310">R79</f>
        <v>88536</v>
      </c>
      <c r="T79" s="161">
        <f t="shared" si="2310"/>
        <v>88536</v>
      </c>
      <c r="U79" s="161">
        <f t="shared" si="2310"/>
        <v>88536</v>
      </c>
      <c r="V79" s="133">
        <f>ROUND(U79*(1+取值表!$D$6)*取值表!$H$6,0)</f>
        <v>87813</v>
      </c>
      <c r="W79" s="161">
        <f t="shared" ref="W79:Y79" si="2311">V79</f>
        <v>87813</v>
      </c>
      <c r="X79" s="161">
        <f t="shared" si="2311"/>
        <v>87813</v>
      </c>
      <c r="Y79" s="161">
        <f t="shared" si="2311"/>
        <v>87813</v>
      </c>
      <c r="Z79" s="133">
        <f>ROUND(Y79*(1+取值表!$D$6)*取值表!$H$6,0)</f>
        <v>87095</v>
      </c>
      <c r="AA79" s="161">
        <f t="shared" ref="AA79:AC79" si="2312">Z79</f>
        <v>87095</v>
      </c>
      <c r="AB79" s="161">
        <f t="shared" si="2312"/>
        <v>87095</v>
      </c>
      <c r="AC79" s="161">
        <f t="shared" si="2312"/>
        <v>87095</v>
      </c>
      <c r="AD79" s="133">
        <f>ROUND(AC79*(1+取值表!$D$6)*取值表!$H$6,0)</f>
        <v>86383</v>
      </c>
      <c r="AE79" s="161">
        <f t="shared" ref="AE79:AG79" si="2313">AD79</f>
        <v>86383</v>
      </c>
      <c r="AF79" s="161">
        <f t="shared" si="2313"/>
        <v>86383</v>
      </c>
      <c r="AG79" s="161">
        <f t="shared" si="2313"/>
        <v>86383</v>
      </c>
      <c r="AH79" s="133">
        <f>ROUND(AG79*(1+取值表!$D$6)*取值表!$H$6,0)</f>
        <v>85677</v>
      </c>
      <c r="AI79" s="161">
        <f t="shared" ref="AI79:AK79" si="2314">AH79</f>
        <v>85677</v>
      </c>
      <c r="AJ79" s="161">
        <f t="shared" si="2314"/>
        <v>85677</v>
      </c>
      <c r="AK79" s="161">
        <f t="shared" si="2314"/>
        <v>85677</v>
      </c>
      <c r="AL79" s="133">
        <f>ROUND(AK79*(1+取值表!$D$6)*取值表!$H$6,0)</f>
        <v>84977</v>
      </c>
      <c r="AM79" s="161">
        <f t="shared" ref="AM79:AO79" si="2315">AL79</f>
        <v>84977</v>
      </c>
      <c r="AN79" s="161">
        <f t="shared" si="2315"/>
        <v>84977</v>
      </c>
      <c r="AO79" s="161">
        <f t="shared" si="2315"/>
        <v>84977</v>
      </c>
      <c r="AP79" s="133">
        <f>ROUND(AO79*(1+取值表!$D$6)*取值表!$H$6,0)</f>
        <v>84283</v>
      </c>
      <c r="AQ79" s="161">
        <f t="shared" ref="AQ79:AS79" si="2316">AP79</f>
        <v>84283</v>
      </c>
      <c r="AR79" s="161">
        <f t="shared" si="2316"/>
        <v>84283</v>
      </c>
      <c r="AS79" s="161">
        <f t="shared" si="2316"/>
        <v>84283</v>
      </c>
      <c r="AT79" s="133">
        <f>ROUND(AS79*(1+取值表!$D$6)*取值表!$H$6,0)</f>
        <v>83594</v>
      </c>
      <c r="AU79" s="161">
        <f t="shared" ref="AU79:AW79" si="2317">AT79</f>
        <v>83594</v>
      </c>
      <c r="AV79" s="161">
        <f t="shared" si="2317"/>
        <v>83594</v>
      </c>
      <c r="AW79" s="161">
        <f t="shared" si="2317"/>
        <v>83594</v>
      </c>
      <c r="AX79" s="133">
        <f>ROUND(AW79*(1+取值表!$D$6)*取值表!$H$6,0)</f>
        <v>82911</v>
      </c>
      <c r="AY79" s="161">
        <f t="shared" ref="AY79:BA79" si="2318">AX79</f>
        <v>82911</v>
      </c>
      <c r="AZ79" s="161">
        <f t="shared" si="2318"/>
        <v>82911</v>
      </c>
      <c r="BA79" s="161">
        <f t="shared" si="2318"/>
        <v>82911</v>
      </c>
      <c r="BB79" s="133">
        <f>ROUND(BA79*(1+取值表!$D$6)*取值表!$H$6,0)</f>
        <v>82234</v>
      </c>
      <c r="BC79" s="161">
        <f t="shared" ref="BC79:BE79" si="2319">BB79</f>
        <v>82234</v>
      </c>
      <c r="BD79" s="161">
        <f t="shared" si="2319"/>
        <v>82234</v>
      </c>
      <c r="BE79" s="161">
        <f t="shared" si="2319"/>
        <v>82234</v>
      </c>
      <c r="BF79" s="133">
        <f>ROUND(BE79*(1+取值表!$D$6)*取值表!$H$6,0)</f>
        <v>81562</v>
      </c>
      <c r="BG79" s="161">
        <f t="shared" ref="BG79:BI79" si="2320">BF79</f>
        <v>81562</v>
      </c>
      <c r="BH79" s="161">
        <f t="shared" si="2320"/>
        <v>81562</v>
      </c>
      <c r="BI79" s="161">
        <f t="shared" si="2320"/>
        <v>81562</v>
      </c>
      <c r="BJ79" s="133">
        <f>ROUND(BI79*(1+取值表!$D$6)*取值表!$H$6,0)</f>
        <v>80896</v>
      </c>
      <c r="BK79" s="161">
        <f t="shared" ref="BK79:BM79" si="2321">BJ79</f>
        <v>80896</v>
      </c>
      <c r="BL79" s="161">
        <f t="shared" si="2321"/>
        <v>80896</v>
      </c>
      <c r="BM79" s="161">
        <f t="shared" si="2321"/>
        <v>80896</v>
      </c>
      <c r="BN79" s="133">
        <f>ROUND(BM79*(1+取值表!$D$6)*取值表!$H$6,0)</f>
        <v>80235</v>
      </c>
      <c r="BO79" s="161">
        <f t="shared" ref="BO79:BQ79" si="2322">BN79</f>
        <v>80235</v>
      </c>
      <c r="BP79" s="161">
        <f t="shared" si="2322"/>
        <v>80235</v>
      </c>
      <c r="BQ79" s="161">
        <f t="shared" si="2322"/>
        <v>80235</v>
      </c>
      <c r="BR79" s="133">
        <f>ROUND(BQ79*(1+取值表!$D$6)*取值表!$H$6,0)</f>
        <v>79579</v>
      </c>
      <c r="BS79" s="161">
        <f t="shared" ref="BS79:BU79" si="2323">BR79</f>
        <v>79579</v>
      </c>
      <c r="BT79" s="161">
        <f t="shared" si="2323"/>
        <v>79579</v>
      </c>
      <c r="BU79" s="161">
        <f t="shared" si="2323"/>
        <v>79579</v>
      </c>
      <c r="BV79" s="133">
        <f>ROUND(BU79*(1+取值表!$D$6)*取值表!$H$6,0)</f>
        <v>78929</v>
      </c>
      <c r="BW79" s="161">
        <f t="shared" ref="BW79:BY79" si="2324">BV79</f>
        <v>78929</v>
      </c>
      <c r="BX79" s="161">
        <f t="shared" si="2324"/>
        <v>78929</v>
      </c>
      <c r="BY79" s="161">
        <f t="shared" si="2324"/>
        <v>78929</v>
      </c>
      <c r="BZ79" s="133">
        <f>ROUND(BY79*(1+取值表!$D$6)*取值表!$H$6,0)</f>
        <v>78284</v>
      </c>
      <c r="CA79" s="161">
        <f t="shared" ref="CA79:CC79" si="2325">BZ79</f>
        <v>78284</v>
      </c>
      <c r="CB79" s="161">
        <f t="shared" si="2325"/>
        <v>78284</v>
      </c>
      <c r="CC79" s="161">
        <f t="shared" si="2325"/>
        <v>78284</v>
      </c>
      <c r="CD79" s="133">
        <f>ROUND(CC79*(1+取值表!$D$6)*取值表!$H$6,0)</f>
        <v>77644</v>
      </c>
      <c r="CE79" s="161">
        <f t="shared" ref="CE79:CG79" si="2326">CD79</f>
        <v>77644</v>
      </c>
      <c r="CF79" s="161">
        <f t="shared" si="2326"/>
        <v>77644</v>
      </c>
      <c r="CG79" s="161">
        <f t="shared" si="2326"/>
        <v>77644</v>
      </c>
      <c r="CH79" s="133">
        <f>ROUND(CG79*(1+取值表!$D$6)*取值表!$H$6,0)</f>
        <v>77010</v>
      </c>
      <c r="CI79" s="161">
        <f t="shared" ref="CI79:CK79" si="2327">CH79</f>
        <v>77010</v>
      </c>
      <c r="CJ79" s="161">
        <f t="shared" si="2327"/>
        <v>77010</v>
      </c>
      <c r="CK79" s="161">
        <f t="shared" si="2327"/>
        <v>77010</v>
      </c>
      <c r="CL79" s="133">
        <f>ROUND(CK79*(1+取值表!$D$6)*取值表!$H$6,0)</f>
        <v>76381</v>
      </c>
      <c r="CM79" s="161">
        <f t="shared" ref="CM79:CO79" si="2328">CL79</f>
        <v>76381</v>
      </c>
      <c r="CN79" s="161">
        <f t="shared" si="2328"/>
        <v>76381</v>
      </c>
      <c r="CO79" s="161">
        <f t="shared" si="2328"/>
        <v>76381</v>
      </c>
      <c r="CP79" s="133">
        <f>ROUND(CO79*(1+取值表!$D$6)*取值表!$H$6,0)</f>
        <v>75757</v>
      </c>
      <c r="CQ79" s="161">
        <f t="shared" ref="CQ79:CQ81" si="2329">CP79</f>
        <v>75757</v>
      </c>
      <c r="CR79" s="161">
        <f t="shared" ref="CR79:CR81" si="2330">CQ79</f>
        <v>75757</v>
      </c>
      <c r="CS79" s="161">
        <f t="shared" ref="CS79:CS81" si="2331">CR79</f>
        <v>75757</v>
      </c>
      <c r="CT79" s="133">
        <f>ROUND(CS79*(1+取值表!$D$6)*取值表!$H$6,0)</f>
        <v>75138</v>
      </c>
      <c r="CU79" s="161">
        <f t="shared" ref="CU79:CU81" si="2332">CT79</f>
        <v>75138</v>
      </c>
      <c r="CV79" s="161">
        <f t="shared" ref="CV79:CV81" si="2333">CU79</f>
        <v>75138</v>
      </c>
      <c r="CW79" s="161">
        <f t="shared" ref="CW79:CW81" si="2334">CV79</f>
        <v>75138</v>
      </c>
      <c r="CX79" s="133">
        <f>ROUND(CW79*(1+取值表!$D$6)*取值表!$H$6,0)</f>
        <v>74524</v>
      </c>
      <c r="CY79" s="161">
        <f t="shared" ref="CY79:CY81" si="2335">CX79</f>
        <v>74524</v>
      </c>
      <c r="CZ79" s="161">
        <f t="shared" ref="CZ79:CZ81" si="2336">CY79</f>
        <v>74524</v>
      </c>
      <c r="DA79" s="161">
        <f t="shared" ref="DA79:DA81" si="2337">CZ79</f>
        <v>74524</v>
      </c>
      <c r="DB79" s="133">
        <f>ROUND(DA79*(1+取值表!$D$6)*取值表!$H$6,0)</f>
        <v>73915</v>
      </c>
      <c r="DC79" s="161">
        <f t="shared" ref="DC79:DC81" si="2338">DB79</f>
        <v>73915</v>
      </c>
      <c r="DD79" s="161">
        <f t="shared" ref="DD79:DD81" si="2339">DC79</f>
        <v>73915</v>
      </c>
      <c r="DE79" s="161">
        <f t="shared" ref="DE79:DE81" si="2340">DD79</f>
        <v>73915</v>
      </c>
      <c r="DF79" s="133">
        <f>ROUND(DE79*(1+取值表!$D$6)*取值表!$H$6,0)</f>
        <v>73311</v>
      </c>
      <c r="DG79" s="161">
        <f t="shared" ref="DG79:DG81" si="2341">DF79</f>
        <v>73311</v>
      </c>
      <c r="DH79" s="161">
        <f t="shared" ref="DH79:DH81" si="2342">DG79</f>
        <v>73311</v>
      </c>
      <c r="DI79" s="161">
        <f t="shared" ref="DI79:DI81" si="2343">DH79</f>
        <v>73311</v>
      </c>
      <c r="DJ79" s="133">
        <f>ROUND(DI79*(1+取值表!$D$6)*取值表!$H$6,0)</f>
        <v>72712</v>
      </c>
      <c r="DK79" s="161">
        <f t="shared" ref="DK79:DK81" si="2344">DJ79</f>
        <v>72712</v>
      </c>
      <c r="DL79" s="161">
        <f t="shared" ref="DL79:DL81" si="2345">DK79</f>
        <v>72712</v>
      </c>
      <c r="DM79" s="161">
        <f t="shared" ref="DM79:DM81" si="2346">DL79</f>
        <v>72712</v>
      </c>
      <c r="DN79" s="133">
        <f>ROUND(DM79*(1+取值表!$D$6)*取值表!$H$6,0)</f>
        <v>72118</v>
      </c>
      <c r="DO79" s="161">
        <f t="shared" ref="DO79:DO81" si="2347">DN79</f>
        <v>72118</v>
      </c>
      <c r="DP79" s="161">
        <f t="shared" ref="DP79:DP81" si="2348">DO79</f>
        <v>72118</v>
      </c>
      <c r="DQ79" s="161">
        <f t="shared" ref="DQ79:DQ81" si="2349">DP79</f>
        <v>72118</v>
      </c>
      <c r="DR79" s="133">
        <f>ROUND(DQ79*(1+取值表!$D$6)*取值表!$H$6,0)</f>
        <v>71529</v>
      </c>
      <c r="DS79" s="161">
        <f t="shared" ref="DS79:DS81" si="2350">DR79</f>
        <v>71529</v>
      </c>
      <c r="DT79" s="161">
        <f t="shared" ref="DT79:DT81" si="2351">DS79</f>
        <v>71529</v>
      </c>
      <c r="DU79" s="161">
        <f t="shared" ref="DU79:DU81" si="2352">DT79</f>
        <v>71529</v>
      </c>
      <c r="DV79" s="133">
        <f>ROUND(DU79*(1+取值表!$D$6)*取值表!$H$6,0)</f>
        <v>70945</v>
      </c>
      <c r="DW79" s="161">
        <f t="shared" ref="DW79:DW81" si="2353">DV79</f>
        <v>70945</v>
      </c>
      <c r="DX79" s="161">
        <f t="shared" ref="DX79:DX81" si="2354">DW79</f>
        <v>70945</v>
      </c>
      <c r="DY79" s="161">
        <f t="shared" ref="DY79:DY81" si="2355">DX79</f>
        <v>70945</v>
      </c>
      <c r="DZ79" s="133">
        <f>ROUND(DY79*(1+取值表!$D$6)*取值表!$H$6,0)</f>
        <v>70365</v>
      </c>
      <c r="EA79" s="161">
        <f t="shared" ref="EA79:EA81" si="2356">DZ79</f>
        <v>70365</v>
      </c>
      <c r="EB79" s="161">
        <f t="shared" ref="EB79:EB81" si="2357">EA79</f>
        <v>70365</v>
      </c>
      <c r="EC79" s="161">
        <f t="shared" ref="EC79:EC81" si="2358">EB79</f>
        <v>70365</v>
      </c>
      <c r="ED79" s="133">
        <f>ROUND(EC79*(1+取值表!$D$6)*取值表!$H$6,0)</f>
        <v>69790</v>
      </c>
      <c r="EE79" s="161">
        <f t="shared" ref="EE79:EE81" si="2359">ED79</f>
        <v>69790</v>
      </c>
      <c r="EF79" s="161">
        <f t="shared" ref="EF79:EF81" si="2360">EE79</f>
        <v>69790</v>
      </c>
      <c r="EG79" s="161">
        <f t="shared" ref="EG79:EG81" si="2361">EF79</f>
        <v>69790</v>
      </c>
      <c r="EH79" s="133">
        <f>ROUND(EG79*(1+取值表!$D$6)*取值表!$H$6,0)</f>
        <v>69220</v>
      </c>
      <c r="EI79" s="161">
        <f t="shared" ref="EI79:EI81" si="2362">EH79</f>
        <v>69220</v>
      </c>
      <c r="EJ79" s="161">
        <f t="shared" ref="EJ79:EJ81" si="2363">EI79</f>
        <v>69220</v>
      </c>
      <c r="EK79" s="161">
        <f t="shared" ref="EK79:EK81" si="2364">EJ79</f>
        <v>69220</v>
      </c>
      <c r="EL79" s="133">
        <f>ROUND(EK79*(1+取值表!$D$6)*取值表!$H$6,0)</f>
        <v>68654</v>
      </c>
      <c r="EM79" s="161">
        <f t="shared" ref="EM79:EM81" si="2365">EL79</f>
        <v>68654</v>
      </c>
      <c r="EN79" s="161">
        <f t="shared" ref="EN79:EN81" si="2366">EM79</f>
        <v>68654</v>
      </c>
      <c r="EO79" s="161">
        <f t="shared" ref="EO79:EO81" si="2367">EN79</f>
        <v>68654</v>
      </c>
      <c r="EP79" s="133">
        <f>ROUND(EO79*(1+取值表!$D$6)*取值表!$H$6,0)</f>
        <v>68093</v>
      </c>
      <c r="EQ79" s="161">
        <f t="shared" ref="EQ79:EQ81" si="2368">EP79</f>
        <v>68093</v>
      </c>
      <c r="ER79" s="161">
        <f t="shared" ref="ER79:ER81" si="2369">EQ79</f>
        <v>68093</v>
      </c>
      <c r="ES79" s="161">
        <f t="shared" ref="ES79:ES81" si="2370">ER79</f>
        <v>68093</v>
      </c>
      <c r="ET79" s="133">
        <f t="shared" si="1982"/>
        <v>10997436</v>
      </c>
      <c r="EU79" s="191"/>
      <c r="EV79" s="191"/>
      <c r="EW79" s="191"/>
      <c r="EX79" s="191"/>
      <c r="EY79" s="191"/>
      <c r="EZ79" s="191"/>
      <c r="FA79" s="191"/>
      <c r="FB79" s="191"/>
      <c r="FC79" s="191"/>
      <c r="FD79" s="191"/>
      <c r="FE79" s="191"/>
      <c r="FF79" s="191"/>
      <c r="FG79" s="192"/>
      <c r="FH79" s="153"/>
      <c r="FI79" s="153"/>
      <c r="FJ79" s="153"/>
      <c r="FK79" s="153"/>
      <c r="FL79" s="153"/>
      <c r="FM79" s="153"/>
      <c r="FN79" s="153"/>
      <c r="FO79" s="153"/>
      <c r="FP79" s="153"/>
      <c r="FQ79" s="153"/>
      <c r="FR79" s="153"/>
      <c r="FS79" s="153"/>
      <c r="FT79" s="153"/>
      <c r="FU79" s="153"/>
      <c r="FV79" s="153"/>
      <c r="FW79" s="153"/>
      <c r="FX79" s="153"/>
      <c r="FY79" s="153"/>
      <c r="FZ79" s="153"/>
      <c r="GA79" s="153"/>
      <c r="GB79" s="153"/>
      <c r="GC79" s="153"/>
      <c r="GD79" s="153"/>
      <c r="GE79" s="153"/>
      <c r="GF79" s="153"/>
      <c r="GG79" s="153"/>
      <c r="GH79" s="153"/>
      <c r="JH79" s="159"/>
    </row>
    <row r="80" spans="1:268" s="86" customFormat="1" ht="21" customHeight="1">
      <c r="A80" s="153">
        <v>40</v>
      </c>
      <c r="B80" s="187" t="s">
        <v>1132</v>
      </c>
      <c r="C80" s="31" t="s">
        <v>1134</v>
      </c>
      <c r="D80" s="188" t="s">
        <v>577</v>
      </c>
      <c r="E80" s="189" t="s">
        <v>422</v>
      </c>
      <c r="F80" s="157">
        <v>79.349999999999994</v>
      </c>
      <c r="G80" s="190">
        <f>H80/365/F80</f>
        <v>14.915710697361266</v>
      </c>
      <c r="H80" s="354">
        <f>36000*12</f>
        <v>432000</v>
      </c>
      <c r="I80" s="153"/>
      <c r="J80" s="132">
        <f>ROUND(G80*F80*365/4,0)</f>
        <v>108000</v>
      </c>
      <c r="K80" s="161">
        <f t="shared" si="2308"/>
        <v>108000</v>
      </c>
      <c r="L80" s="161">
        <f t="shared" si="2308"/>
        <v>108000</v>
      </c>
      <c r="M80" s="161">
        <f t="shared" si="2308"/>
        <v>108000</v>
      </c>
      <c r="N80" s="133">
        <f>ROUND(M80*(1+取值表!$D$6)*取值表!$H$6,0)</f>
        <v>107118</v>
      </c>
      <c r="O80" s="161">
        <f t="shared" si="2309"/>
        <v>107118</v>
      </c>
      <c r="P80" s="161">
        <f t="shared" si="2309"/>
        <v>107118</v>
      </c>
      <c r="Q80" s="161">
        <f t="shared" si="2309"/>
        <v>107118</v>
      </c>
      <c r="R80" s="133">
        <f>ROUND(Q80*(1+取值表!$D$6)*取值表!$H$6,0)</f>
        <v>106243</v>
      </c>
      <c r="S80" s="161">
        <f t="shared" ref="S80:U80" si="2371">R80</f>
        <v>106243</v>
      </c>
      <c r="T80" s="161">
        <f t="shared" si="2371"/>
        <v>106243</v>
      </c>
      <c r="U80" s="161">
        <f t="shared" si="2371"/>
        <v>106243</v>
      </c>
      <c r="V80" s="133">
        <f>ROUND(U80*(1+取值表!$D$6)*取值表!$H$6,0)</f>
        <v>105375</v>
      </c>
      <c r="W80" s="161">
        <f t="shared" ref="W80:Y80" si="2372">V80</f>
        <v>105375</v>
      </c>
      <c r="X80" s="161">
        <f t="shared" si="2372"/>
        <v>105375</v>
      </c>
      <c r="Y80" s="161">
        <f t="shared" si="2372"/>
        <v>105375</v>
      </c>
      <c r="Z80" s="133">
        <f>ROUND(Y80*(1+取值表!$D$6)*取值表!$H$6,0)</f>
        <v>104514</v>
      </c>
      <c r="AA80" s="161">
        <f t="shared" ref="AA80:AC80" si="2373">Z80</f>
        <v>104514</v>
      </c>
      <c r="AB80" s="161">
        <f t="shared" si="2373"/>
        <v>104514</v>
      </c>
      <c r="AC80" s="161">
        <f t="shared" si="2373"/>
        <v>104514</v>
      </c>
      <c r="AD80" s="133">
        <f>ROUND(AC80*(1+取值表!$D$6)*取值表!$H$6,0)</f>
        <v>103660</v>
      </c>
      <c r="AE80" s="161">
        <f t="shared" ref="AE80:AG80" si="2374">AD80</f>
        <v>103660</v>
      </c>
      <c r="AF80" s="161">
        <f t="shared" si="2374"/>
        <v>103660</v>
      </c>
      <c r="AG80" s="161">
        <f t="shared" si="2374"/>
        <v>103660</v>
      </c>
      <c r="AH80" s="133">
        <f>ROUND(AG80*(1+取值表!$D$6)*取值表!$H$6,0)</f>
        <v>102813</v>
      </c>
      <c r="AI80" s="161">
        <f t="shared" ref="AI80:AK80" si="2375">AH80</f>
        <v>102813</v>
      </c>
      <c r="AJ80" s="161">
        <f t="shared" si="2375"/>
        <v>102813</v>
      </c>
      <c r="AK80" s="161">
        <f t="shared" si="2375"/>
        <v>102813</v>
      </c>
      <c r="AL80" s="133">
        <f>ROUND(AK80*(1+取值表!$D$6)*取值表!$H$6,0)</f>
        <v>101973</v>
      </c>
      <c r="AM80" s="161">
        <f t="shared" ref="AM80:AO80" si="2376">AL80</f>
        <v>101973</v>
      </c>
      <c r="AN80" s="161">
        <f t="shared" si="2376"/>
        <v>101973</v>
      </c>
      <c r="AO80" s="161">
        <f t="shared" si="2376"/>
        <v>101973</v>
      </c>
      <c r="AP80" s="133">
        <f>ROUND(AO80*(1+取值表!$D$6)*取值表!$H$6,0)</f>
        <v>101140</v>
      </c>
      <c r="AQ80" s="161">
        <f t="shared" ref="AQ80:AS80" si="2377">AP80</f>
        <v>101140</v>
      </c>
      <c r="AR80" s="161">
        <f t="shared" si="2377"/>
        <v>101140</v>
      </c>
      <c r="AS80" s="161">
        <f t="shared" si="2377"/>
        <v>101140</v>
      </c>
      <c r="AT80" s="133">
        <f>ROUND(AS80*(1+取值表!$D$6)*取值表!$H$6,0)</f>
        <v>100314</v>
      </c>
      <c r="AU80" s="161">
        <f t="shared" ref="AU80:AW80" si="2378">AT80</f>
        <v>100314</v>
      </c>
      <c r="AV80" s="161">
        <f t="shared" si="2378"/>
        <v>100314</v>
      </c>
      <c r="AW80" s="161">
        <f t="shared" si="2378"/>
        <v>100314</v>
      </c>
      <c r="AX80" s="133">
        <f>ROUND(AW80*(1+取值表!$D$6)*取值表!$H$6,0)</f>
        <v>99494</v>
      </c>
      <c r="AY80" s="161">
        <f t="shared" ref="AY80:BA80" si="2379">AX80</f>
        <v>99494</v>
      </c>
      <c r="AZ80" s="161">
        <f t="shared" si="2379"/>
        <v>99494</v>
      </c>
      <c r="BA80" s="161">
        <f t="shared" si="2379"/>
        <v>99494</v>
      </c>
      <c r="BB80" s="133">
        <f>ROUND(BA80*(1+取值表!$D$6)*取值表!$H$6,0)</f>
        <v>98681</v>
      </c>
      <c r="BC80" s="161">
        <f t="shared" ref="BC80:BE80" si="2380">BB80</f>
        <v>98681</v>
      </c>
      <c r="BD80" s="161">
        <f t="shared" si="2380"/>
        <v>98681</v>
      </c>
      <c r="BE80" s="161">
        <f t="shared" si="2380"/>
        <v>98681</v>
      </c>
      <c r="BF80" s="133">
        <f>ROUND(BE80*(1+取值表!$D$6)*取值表!$H$6,0)</f>
        <v>97875</v>
      </c>
      <c r="BG80" s="161">
        <f t="shared" ref="BG80:BI80" si="2381">BF80</f>
        <v>97875</v>
      </c>
      <c r="BH80" s="161">
        <f t="shared" si="2381"/>
        <v>97875</v>
      </c>
      <c r="BI80" s="161">
        <f t="shared" si="2381"/>
        <v>97875</v>
      </c>
      <c r="BJ80" s="133">
        <f>ROUND(BI80*(1+取值表!$D$6)*取值表!$H$6,0)</f>
        <v>97075</v>
      </c>
      <c r="BK80" s="161">
        <f t="shared" ref="BK80:BM80" si="2382">BJ80</f>
        <v>97075</v>
      </c>
      <c r="BL80" s="161">
        <f t="shared" si="2382"/>
        <v>97075</v>
      </c>
      <c r="BM80" s="161">
        <f t="shared" si="2382"/>
        <v>97075</v>
      </c>
      <c r="BN80" s="133">
        <f>ROUND(BM80*(1+取值表!$D$6)*取值表!$H$6,0)</f>
        <v>96282</v>
      </c>
      <c r="BO80" s="161">
        <f t="shared" ref="BO80:BQ80" si="2383">BN80</f>
        <v>96282</v>
      </c>
      <c r="BP80" s="161">
        <f t="shared" si="2383"/>
        <v>96282</v>
      </c>
      <c r="BQ80" s="161">
        <f t="shared" si="2383"/>
        <v>96282</v>
      </c>
      <c r="BR80" s="133">
        <f>ROUND(BQ80*(1+取值表!$D$6)*取值表!$H$6,0)</f>
        <v>95495</v>
      </c>
      <c r="BS80" s="161">
        <f t="shared" ref="BS80:BU80" si="2384">BR80</f>
        <v>95495</v>
      </c>
      <c r="BT80" s="161">
        <f t="shared" si="2384"/>
        <v>95495</v>
      </c>
      <c r="BU80" s="161">
        <f t="shared" si="2384"/>
        <v>95495</v>
      </c>
      <c r="BV80" s="133">
        <f>ROUND(BU80*(1+取值表!$D$6)*取值表!$H$6,0)</f>
        <v>94715</v>
      </c>
      <c r="BW80" s="161">
        <f t="shared" ref="BW80:BY80" si="2385">BV80</f>
        <v>94715</v>
      </c>
      <c r="BX80" s="161">
        <f t="shared" si="2385"/>
        <v>94715</v>
      </c>
      <c r="BY80" s="161">
        <f t="shared" si="2385"/>
        <v>94715</v>
      </c>
      <c r="BZ80" s="133">
        <f>ROUND(BY80*(1+取值表!$D$6)*取值表!$H$6,0)</f>
        <v>93941</v>
      </c>
      <c r="CA80" s="161">
        <f t="shared" ref="CA80:CC80" si="2386">BZ80</f>
        <v>93941</v>
      </c>
      <c r="CB80" s="161">
        <f t="shared" si="2386"/>
        <v>93941</v>
      </c>
      <c r="CC80" s="161">
        <f t="shared" si="2386"/>
        <v>93941</v>
      </c>
      <c r="CD80" s="133">
        <f>ROUND(CC80*(1+取值表!$D$6)*取值表!$H$6,0)</f>
        <v>93173</v>
      </c>
      <c r="CE80" s="161">
        <f t="shared" ref="CE80:CG80" si="2387">CD80</f>
        <v>93173</v>
      </c>
      <c r="CF80" s="161">
        <f t="shared" si="2387"/>
        <v>93173</v>
      </c>
      <c r="CG80" s="161">
        <f t="shared" si="2387"/>
        <v>93173</v>
      </c>
      <c r="CH80" s="133">
        <f>ROUND(CG80*(1+取值表!$D$6)*取值表!$H$6,0)</f>
        <v>92412</v>
      </c>
      <c r="CI80" s="161">
        <f t="shared" ref="CI80:CK80" si="2388">CH80</f>
        <v>92412</v>
      </c>
      <c r="CJ80" s="161">
        <f t="shared" si="2388"/>
        <v>92412</v>
      </c>
      <c r="CK80" s="161">
        <f t="shared" si="2388"/>
        <v>92412</v>
      </c>
      <c r="CL80" s="133">
        <f>ROUND(CK80*(1+取值表!$D$6)*取值表!$H$6,0)</f>
        <v>91657</v>
      </c>
      <c r="CM80" s="161">
        <f t="shared" ref="CM80:CO80" si="2389">CL80</f>
        <v>91657</v>
      </c>
      <c r="CN80" s="161">
        <f t="shared" si="2389"/>
        <v>91657</v>
      </c>
      <c r="CO80" s="161">
        <f t="shared" si="2389"/>
        <v>91657</v>
      </c>
      <c r="CP80" s="133">
        <f>ROUND(CO80*(1+取值表!$D$6)*取值表!$H$6,0)</f>
        <v>90908</v>
      </c>
      <c r="CQ80" s="161">
        <f t="shared" si="2329"/>
        <v>90908</v>
      </c>
      <c r="CR80" s="161">
        <f t="shared" si="2330"/>
        <v>90908</v>
      </c>
      <c r="CS80" s="161">
        <f t="shared" si="2331"/>
        <v>90908</v>
      </c>
      <c r="CT80" s="133">
        <f>ROUND(CS80*(1+取值表!$D$6)*取值表!$H$6,0)</f>
        <v>90165</v>
      </c>
      <c r="CU80" s="161">
        <f t="shared" si="2332"/>
        <v>90165</v>
      </c>
      <c r="CV80" s="161">
        <f t="shared" si="2333"/>
        <v>90165</v>
      </c>
      <c r="CW80" s="161">
        <f t="shared" si="2334"/>
        <v>90165</v>
      </c>
      <c r="CX80" s="133">
        <f>ROUND(CW80*(1+取值表!$D$6)*取值表!$H$6,0)</f>
        <v>89428</v>
      </c>
      <c r="CY80" s="161">
        <f t="shared" si="2335"/>
        <v>89428</v>
      </c>
      <c r="CZ80" s="161">
        <f t="shared" si="2336"/>
        <v>89428</v>
      </c>
      <c r="DA80" s="161">
        <f t="shared" si="2337"/>
        <v>89428</v>
      </c>
      <c r="DB80" s="133">
        <f>ROUND(DA80*(1+取值表!$D$6)*取值表!$H$6,0)</f>
        <v>88697</v>
      </c>
      <c r="DC80" s="161">
        <f t="shared" si="2338"/>
        <v>88697</v>
      </c>
      <c r="DD80" s="161">
        <f t="shared" si="2339"/>
        <v>88697</v>
      </c>
      <c r="DE80" s="161">
        <f t="shared" si="2340"/>
        <v>88697</v>
      </c>
      <c r="DF80" s="133">
        <f>ROUND(DE80*(1+取值表!$D$6)*取值表!$H$6,0)</f>
        <v>87972</v>
      </c>
      <c r="DG80" s="161">
        <f t="shared" si="2341"/>
        <v>87972</v>
      </c>
      <c r="DH80" s="161">
        <f t="shared" si="2342"/>
        <v>87972</v>
      </c>
      <c r="DI80" s="161">
        <f t="shared" si="2343"/>
        <v>87972</v>
      </c>
      <c r="DJ80" s="133">
        <f>ROUND(DI80*(1+取值表!$D$6)*取值表!$H$6,0)</f>
        <v>87253</v>
      </c>
      <c r="DK80" s="161">
        <f t="shared" si="2344"/>
        <v>87253</v>
      </c>
      <c r="DL80" s="161">
        <f t="shared" si="2345"/>
        <v>87253</v>
      </c>
      <c r="DM80" s="161">
        <f t="shared" si="2346"/>
        <v>87253</v>
      </c>
      <c r="DN80" s="133">
        <f>ROUND(DM80*(1+取值表!$D$6)*取值表!$H$6,0)</f>
        <v>86540</v>
      </c>
      <c r="DO80" s="161">
        <f t="shared" si="2347"/>
        <v>86540</v>
      </c>
      <c r="DP80" s="161">
        <f t="shared" si="2348"/>
        <v>86540</v>
      </c>
      <c r="DQ80" s="161">
        <f t="shared" si="2349"/>
        <v>86540</v>
      </c>
      <c r="DR80" s="133">
        <f>ROUND(DQ80*(1+取值表!$D$6)*取值表!$H$6,0)</f>
        <v>85833</v>
      </c>
      <c r="DS80" s="161">
        <f t="shared" si="2350"/>
        <v>85833</v>
      </c>
      <c r="DT80" s="161">
        <f t="shared" si="2351"/>
        <v>85833</v>
      </c>
      <c r="DU80" s="161">
        <f t="shared" si="2352"/>
        <v>85833</v>
      </c>
      <c r="DV80" s="133">
        <f>ROUND(DU80*(1+取值表!$D$6)*取值表!$H$6,0)</f>
        <v>85132</v>
      </c>
      <c r="DW80" s="161">
        <f t="shared" si="2353"/>
        <v>85132</v>
      </c>
      <c r="DX80" s="161">
        <f t="shared" si="2354"/>
        <v>85132</v>
      </c>
      <c r="DY80" s="161">
        <f t="shared" si="2355"/>
        <v>85132</v>
      </c>
      <c r="DZ80" s="133">
        <f>ROUND(DY80*(1+取值表!$D$6)*取值表!$H$6,0)</f>
        <v>84436</v>
      </c>
      <c r="EA80" s="161">
        <f t="shared" si="2356"/>
        <v>84436</v>
      </c>
      <c r="EB80" s="161">
        <f t="shared" si="2357"/>
        <v>84436</v>
      </c>
      <c r="EC80" s="161">
        <f t="shared" si="2358"/>
        <v>84436</v>
      </c>
      <c r="ED80" s="133">
        <f>ROUND(EC80*(1+取值表!$D$6)*取值表!$H$6,0)</f>
        <v>83746</v>
      </c>
      <c r="EE80" s="161">
        <f t="shared" si="2359"/>
        <v>83746</v>
      </c>
      <c r="EF80" s="161">
        <f t="shared" si="2360"/>
        <v>83746</v>
      </c>
      <c r="EG80" s="161">
        <f t="shared" si="2361"/>
        <v>83746</v>
      </c>
      <c r="EH80" s="133">
        <f>ROUND(EG80*(1+取值表!$D$6)*取值表!$H$6,0)</f>
        <v>83062</v>
      </c>
      <c r="EI80" s="161">
        <f t="shared" si="2362"/>
        <v>83062</v>
      </c>
      <c r="EJ80" s="161">
        <f t="shared" si="2363"/>
        <v>83062</v>
      </c>
      <c r="EK80" s="161">
        <f t="shared" si="2364"/>
        <v>83062</v>
      </c>
      <c r="EL80" s="133">
        <f>ROUND(EK80*(1+取值表!$D$6)*取值表!$H$6,0)</f>
        <v>82383</v>
      </c>
      <c r="EM80" s="161">
        <f t="shared" si="2365"/>
        <v>82383</v>
      </c>
      <c r="EN80" s="161">
        <f t="shared" si="2366"/>
        <v>82383</v>
      </c>
      <c r="EO80" s="161">
        <f t="shared" si="2367"/>
        <v>82383</v>
      </c>
      <c r="EP80" s="133">
        <f>ROUND(EO80*(1+取值表!$D$6)*取值表!$H$6,0)</f>
        <v>81710</v>
      </c>
      <c r="EQ80" s="161">
        <f t="shared" si="2368"/>
        <v>81710</v>
      </c>
      <c r="ER80" s="161">
        <f t="shared" si="2369"/>
        <v>81710</v>
      </c>
      <c r="ES80" s="161">
        <f t="shared" si="2370"/>
        <v>81710</v>
      </c>
      <c r="ET80" s="133">
        <f t="shared" si="1982"/>
        <v>13196860</v>
      </c>
      <c r="EU80" s="191"/>
      <c r="EV80" s="191"/>
      <c r="EW80" s="191"/>
      <c r="EX80" s="191"/>
      <c r="EY80" s="191"/>
      <c r="EZ80" s="191"/>
      <c r="FA80" s="191"/>
      <c r="FB80" s="191"/>
      <c r="FC80" s="191"/>
      <c r="FD80" s="191"/>
      <c r="FE80" s="191"/>
      <c r="FF80" s="191"/>
      <c r="JH80" s="159"/>
    </row>
    <row r="81" spans="1:268" s="86" customFormat="1" ht="21" customHeight="1">
      <c r="A81" s="193">
        <v>41</v>
      </c>
      <c r="B81" s="194" t="s">
        <v>1291</v>
      </c>
      <c r="C81" s="32" t="s">
        <v>995</v>
      </c>
      <c r="D81" s="195" t="s">
        <v>994</v>
      </c>
      <c r="E81" s="189" t="s">
        <v>996</v>
      </c>
      <c r="F81" s="157">
        <f>基础资料!H26-6121.84</f>
        <v>318.6299999999992</v>
      </c>
      <c r="G81" s="196">
        <v>14.24</v>
      </c>
      <c r="H81" s="354">
        <f>G81*F81*365</f>
        <v>1656111.287999996</v>
      </c>
      <c r="I81" s="153"/>
      <c r="J81" s="159">
        <f>ROUND(G81*F81*365/4*取值表!H6,0)</f>
        <v>389517</v>
      </c>
      <c r="K81" s="197">
        <f t="shared" si="2308"/>
        <v>389517</v>
      </c>
      <c r="L81" s="197">
        <f t="shared" si="2308"/>
        <v>389517</v>
      </c>
      <c r="M81" s="197">
        <f t="shared" si="2308"/>
        <v>389517</v>
      </c>
      <c r="N81" s="133">
        <f>ROUND(M81*(1+取值表!$D$6)*取值表!$H$6,0)</f>
        <v>386334</v>
      </c>
      <c r="O81" s="161">
        <f t="shared" si="2309"/>
        <v>386334</v>
      </c>
      <c r="P81" s="161">
        <f t="shared" si="2309"/>
        <v>386334</v>
      </c>
      <c r="Q81" s="161">
        <f t="shared" si="2309"/>
        <v>386334</v>
      </c>
      <c r="R81" s="133">
        <f>ROUND(Q81*(1+取值表!$D$6)*取值表!$H$6,0)</f>
        <v>383177</v>
      </c>
      <c r="S81" s="161">
        <f t="shared" ref="S81:U81" si="2390">R81</f>
        <v>383177</v>
      </c>
      <c r="T81" s="161">
        <f t="shared" si="2390"/>
        <v>383177</v>
      </c>
      <c r="U81" s="161">
        <f t="shared" si="2390"/>
        <v>383177</v>
      </c>
      <c r="V81" s="133">
        <f>ROUND(U81*(1+取值表!$D$6)*取值表!$H$6,0)</f>
        <v>380046</v>
      </c>
      <c r="W81" s="161">
        <f t="shared" ref="W81:Y81" si="2391">V81</f>
        <v>380046</v>
      </c>
      <c r="X81" s="161">
        <f t="shared" si="2391"/>
        <v>380046</v>
      </c>
      <c r="Y81" s="161">
        <f t="shared" si="2391"/>
        <v>380046</v>
      </c>
      <c r="Z81" s="133">
        <f>ROUND(Y81*(1+取值表!$D$6)*取值表!$H$6,0)</f>
        <v>376941</v>
      </c>
      <c r="AA81" s="161">
        <f t="shared" ref="AA81:AC81" si="2392">Z81</f>
        <v>376941</v>
      </c>
      <c r="AB81" s="161">
        <f t="shared" si="2392"/>
        <v>376941</v>
      </c>
      <c r="AC81" s="161">
        <f t="shared" si="2392"/>
        <v>376941</v>
      </c>
      <c r="AD81" s="133">
        <f>ROUND(AC81*(1+取值表!$D$6)*取值表!$H$6,0)</f>
        <v>373861</v>
      </c>
      <c r="AE81" s="161">
        <f t="shared" ref="AE81:AG81" si="2393">AD81</f>
        <v>373861</v>
      </c>
      <c r="AF81" s="161">
        <f t="shared" si="2393"/>
        <v>373861</v>
      </c>
      <c r="AG81" s="161">
        <f t="shared" si="2393"/>
        <v>373861</v>
      </c>
      <c r="AH81" s="133">
        <f>ROUND(AG81*(1+取值表!$D$6)*取值表!$H$6,0)</f>
        <v>370806</v>
      </c>
      <c r="AI81" s="161">
        <f t="shared" ref="AI81:AK81" si="2394">AH81</f>
        <v>370806</v>
      </c>
      <c r="AJ81" s="161">
        <f t="shared" si="2394"/>
        <v>370806</v>
      </c>
      <c r="AK81" s="161">
        <f t="shared" si="2394"/>
        <v>370806</v>
      </c>
      <c r="AL81" s="133">
        <f>ROUND(AK81*(1+取值表!$D$6)*取值表!$H$6,0)</f>
        <v>367776</v>
      </c>
      <c r="AM81" s="161">
        <f t="shared" ref="AM81:AO81" si="2395">AL81</f>
        <v>367776</v>
      </c>
      <c r="AN81" s="161">
        <f t="shared" si="2395"/>
        <v>367776</v>
      </c>
      <c r="AO81" s="161">
        <f t="shared" si="2395"/>
        <v>367776</v>
      </c>
      <c r="AP81" s="133">
        <f>ROUND(AO81*(1+取值表!$D$6)*取值表!$H$6,0)</f>
        <v>364771</v>
      </c>
      <c r="AQ81" s="161">
        <f t="shared" ref="AQ81:AS81" si="2396">AP81</f>
        <v>364771</v>
      </c>
      <c r="AR81" s="161">
        <f t="shared" si="2396"/>
        <v>364771</v>
      </c>
      <c r="AS81" s="161">
        <f t="shared" si="2396"/>
        <v>364771</v>
      </c>
      <c r="AT81" s="133">
        <f>ROUND(AS81*(1+取值表!$D$6)*取值表!$H$6,0)</f>
        <v>361790</v>
      </c>
      <c r="AU81" s="161">
        <f t="shared" ref="AU81:AW81" si="2397">AT81</f>
        <v>361790</v>
      </c>
      <c r="AV81" s="161">
        <f t="shared" si="2397"/>
        <v>361790</v>
      </c>
      <c r="AW81" s="161">
        <f t="shared" si="2397"/>
        <v>361790</v>
      </c>
      <c r="AX81" s="133">
        <f>ROUND(AW81*(1+取值表!$D$6)*取值表!$H$6,0)</f>
        <v>358834</v>
      </c>
      <c r="AY81" s="161">
        <f t="shared" ref="AY81:BA81" si="2398">AX81</f>
        <v>358834</v>
      </c>
      <c r="AZ81" s="161">
        <f t="shared" si="2398"/>
        <v>358834</v>
      </c>
      <c r="BA81" s="161">
        <f t="shared" si="2398"/>
        <v>358834</v>
      </c>
      <c r="BB81" s="133">
        <f>ROUND(BA81*(1+取值表!$D$6)*取值表!$H$6,0)</f>
        <v>355902</v>
      </c>
      <c r="BC81" s="161">
        <f t="shared" ref="BC81:BE81" si="2399">BB81</f>
        <v>355902</v>
      </c>
      <c r="BD81" s="161">
        <f t="shared" si="2399"/>
        <v>355902</v>
      </c>
      <c r="BE81" s="161">
        <f t="shared" si="2399"/>
        <v>355902</v>
      </c>
      <c r="BF81" s="133">
        <f>ROUND(BE81*(1+取值表!$D$6)*取值表!$H$6,0)</f>
        <v>352994</v>
      </c>
      <c r="BG81" s="161">
        <f t="shared" ref="BG81:BI81" si="2400">BF81</f>
        <v>352994</v>
      </c>
      <c r="BH81" s="161">
        <f t="shared" si="2400"/>
        <v>352994</v>
      </c>
      <c r="BI81" s="161">
        <f t="shared" si="2400"/>
        <v>352994</v>
      </c>
      <c r="BJ81" s="133">
        <f>ROUND(BI81*(1+取值表!$D$6)*取值表!$H$6,0)</f>
        <v>350110</v>
      </c>
      <c r="BK81" s="161">
        <f t="shared" ref="BK81:BM81" si="2401">BJ81</f>
        <v>350110</v>
      </c>
      <c r="BL81" s="161">
        <f t="shared" si="2401"/>
        <v>350110</v>
      </c>
      <c r="BM81" s="161">
        <f t="shared" si="2401"/>
        <v>350110</v>
      </c>
      <c r="BN81" s="133">
        <f>ROUND(BM81*(1+取值表!$D$6)*取值表!$H$6,0)</f>
        <v>347249</v>
      </c>
      <c r="BO81" s="161">
        <f t="shared" ref="BO81:BQ81" si="2402">BN81</f>
        <v>347249</v>
      </c>
      <c r="BP81" s="161">
        <f t="shared" si="2402"/>
        <v>347249</v>
      </c>
      <c r="BQ81" s="161">
        <f t="shared" si="2402"/>
        <v>347249</v>
      </c>
      <c r="BR81" s="133">
        <f>ROUND(BQ81*(1+取值表!$D$6)*取值表!$H$6,0)</f>
        <v>344412</v>
      </c>
      <c r="BS81" s="161">
        <f t="shared" ref="BS81:BU81" si="2403">BR81</f>
        <v>344412</v>
      </c>
      <c r="BT81" s="161">
        <f t="shared" si="2403"/>
        <v>344412</v>
      </c>
      <c r="BU81" s="161">
        <f t="shared" si="2403"/>
        <v>344412</v>
      </c>
      <c r="BV81" s="133">
        <f>ROUND(BU81*(1+取值表!$D$6)*取值表!$H$6,0)</f>
        <v>341598</v>
      </c>
      <c r="BW81" s="161">
        <f t="shared" ref="BW81:BY81" si="2404">BV81</f>
        <v>341598</v>
      </c>
      <c r="BX81" s="161">
        <f t="shared" si="2404"/>
        <v>341598</v>
      </c>
      <c r="BY81" s="161">
        <f t="shared" si="2404"/>
        <v>341598</v>
      </c>
      <c r="BZ81" s="133">
        <f>ROUND(BY81*(1+取值表!$D$6)*取值表!$H$6,0)</f>
        <v>338807</v>
      </c>
      <c r="CA81" s="161">
        <f t="shared" ref="CA81:CC81" si="2405">BZ81</f>
        <v>338807</v>
      </c>
      <c r="CB81" s="161">
        <f t="shared" si="2405"/>
        <v>338807</v>
      </c>
      <c r="CC81" s="161">
        <f t="shared" si="2405"/>
        <v>338807</v>
      </c>
      <c r="CD81" s="133">
        <f>ROUND(CC81*(1+取值表!$D$6)*取值表!$H$6,0)</f>
        <v>336039</v>
      </c>
      <c r="CE81" s="161">
        <f t="shared" ref="CE81:CG81" si="2406">CD81</f>
        <v>336039</v>
      </c>
      <c r="CF81" s="161">
        <f t="shared" si="2406"/>
        <v>336039</v>
      </c>
      <c r="CG81" s="161">
        <f t="shared" si="2406"/>
        <v>336039</v>
      </c>
      <c r="CH81" s="133">
        <f>ROUND(CG81*(1+取值表!$D$6)*取值表!$H$6,0)</f>
        <v>333293</v>
      </c>
      <c r="CI81" s="161">
        <f t="shared" ref="CI81:CK81" si="2407">CH81</f>
        <v>333293</v>
      </c>
      <c r="CJ81" s="161">
        <f>CI81</f>
        <v>333293</v>
      </c>
      <c r="CK81" s="161">
        <f t="shared" si="2407"/>
        <v>333293</v>
      </c>
      <c r="CL81" s="133">
        <f>ROUND(CK81*(1+取值表!$D$6)*取值表!$H$6,0)</f>
        <v>330570</v>
      </c>
      <c r="CM81" s="161">
        <f t="shared" ref="CM81:CN81" si="2408">CL81</f>
        <v>330570</v>
      </c>
      <c r="CN81" s="161">
        <f t="shared" si="2408"/>
        <v>330570</v>
      </c>
      <c r="CO81" s="161">
        <f>CN81</f>
        <v>330570</v>
      </c>
      <c r="CP81" s="133">
        <f>ROUND(CO81*(1+取值表!$D$6)*取值表!$H$6,0)</f>
        <v>327869</v>
      </c>
      <c r="CQ81" s="161">
        <f t="shared" si="2329"/>
        <v>327869</v>
      </c>
      <c r="CR81" s="161">
        <f t="shared" si="2330"/>
        <v>327869</v>
      </c>
      <c r="CS81" s="161">
        <f t="shared" si="2331"/>
        <v>327869</v>
      </c>
      <c r="CT81" s="133">
        <f>ROUND(CS81*(1+取值表!$D$6)*取值表!$H$6,0)</f>
        <v>325190</v>
      </c>
      <c r="CU81" s="161">
        <f t="shared" si="2332"/>
        <v>325190</v>
      </c>
      <c r="CV81" s="161">
        <f t="shared" si="2333"/>
        <v>325190</v>
      </c>
      <c r="CW81" s="161">
        <f t="shared" si="2334"/>
        <v>325190</v>
      </c>
      <c r="CX81" s="133">
        <f>ROUND(CW81*(1+取值表!$D$6)*取值表!$H$6,0)</f>
        <v>322533</v>
      </c>
      <c r="CY81" s="161">
        <f t="shared" si="2335"/>
        <v>322533</v>
      </c>
      <c r="CZ81" s="161">
        <f t="shared" si="2336"/>
        <v>322533</v>
      </c>
      <c r="DA81" s="161">
        <f t="shared" si="2337"/>
        <v>322533</v>
      </c>
      <c r="DB81" s="133">
        <f>ROUND(DA81*(1+取值表!$D$6)*取值表!$H$6,0)</f>
        <v>319898</v>
      </c>
      <c r="DC81" s="161">
        <f t="shared" si="2338"/>
        <v>319898</v>
      </c>
      <c r="DD81" s="161">
        <f t="shared" si="2339"/>
        <v>319898</v>
      </c>
      <c r="DE81" s="161">
        <f t="shared" si="2340"/>
        <v>319898</v>
      </c>
      <c r="DF81" s="133">
        <f>ROUND(DE81*(1+取值表!$D$6)*取值表!$H$6,0)</f>
        <v>317284</v>
      </c>
      <c r="DG81" s="161">
        <f t="shared" si="2341"/>
        <v>317284</v>
      </c>
      <c r="DH81" s="161">
        <f t="shared" si="2342"/>
        <v>317284</v>
      </c>
      <c r="DI81" s="161">
        <f t="shared" si="2343"/>
        <v>317284</v>
      </c>
      <c r="DJ81" s="133">
        <f>ROUND(DI81*(1+取值表!$D$6)*取值表!$H$6,0)</f>
        <v>314691</v>
      </c>
      <c r="DK81" s="161">
        <f t="shared" si="2344"/>
        <v>314691</v>
      </c>
      <c r="DL81" s="161">
        <f t="shared" si="2345"/>
        <v>314691</v>
      </c>
      <c r="DM81" s="161">
        <f t="shared" si="2346"/>
        <v>314691</v>
      </c>
      <c r="DN81" s="133">
        <f>ROUND(DM81*(1+取值表!$D$6)*取值表!$H$6,0)</f>
        <v>312120</v>
      </c>
      <c r="DO81" s="161">
        <f t="shared" si="2347"/>
        <v>312120</v>
      </c>
      <c r="DP81" s="161">
        <f t="shared" si="2348"/>
        <v>312120</v>
      </c>
      <c r="DQ81" s="161">
        <f t="shared" si="2349"/>
        <v>312120</v>
      </c>
      <c r="DR81" s="133">
        <f>ROUND(DQ81*(1+取值表!$D$6)*取值表!$H$6,0)</f>
        <v>309570</v>
      </c>
      <c r="DS81" s="161">
        <f t="shared" si="2350"/>
        <v>309570</v>
      </c>
      <c r="DT81" s="161">
        <f t="shared" si="2351"/>
        <v>309570</v>
      </c>
      <c r="DU81" s="161">
        <f t="shared" si="2352"/>
        <v>309570</v>
      </c>
      <c r="DV81" s="133">
        <f>ROUND(DU81*(1+取值表!$D$6)*取值表!$H$6,0)</f>
        <v>307041</v>
      </c>
      <c r="DW81" s="161">
        <f t="shared" si="2353"/>
        <v>307041</v>
      </c>
      <c r="DX81" s="161">
        <f t="shared" si="2354"/>
        <v>307041</v>
      </c>
      <c r="DY81" s="161">
        <f t="shared" si="2355"/>
        <v>307041</v>
      </c>
      <c r="DZ81" s="133">
        <f>ROUND(DY81*(1+取值表!$D$6)*取值表!$H$6,0)</f>
        <v>304532</v>
      </c>
      <c r="EA81" s="161">
        <f t="shared" si="2356"/>
        <v>304532</v>
      </c>
      <c r="EB81" s="161">
        <f t="shared" si="2357"/>
        <v>304532</v>
      </c>
      <c r="EC81" s="161">
        <f t="shared" si="2358"/>
        <v>304532</v>
      </c>
      <c r="ED81" s="133">
        <f>ROUND(EC81*(1+取值表!$D$6)*取值表!$H$6,0)</f>
        <v>302044</v>
      </c>
      <c r="EE81" s="161">
        <f t="shared" si="2359"/>
        <v>302044</v>
      </c>
      <c r="EF81" s="161">
        <f t="shared" si="2360"/>
        <v>302044</v>
      </c>
      <c r="EG81" s="161">
        <f t="shared" si="2361"/>
        <v>302044</v>
      </c>
      <c r="EH81" s="133">
        <f>ROUND(EG81*(1+取值表!$D$6)*取值表!$H$6,0)</f>
        <v>299576</v>
      </c>
      <c r="EI81" s="161">
        <f t="shared" si="2362"/>
        <v>299576</v>
      </c>
      <c r="EJ81" s="161">
        <f t="shared" si="2363"/>
        <v>299576</v>
      </c>
      <c r="EK81" s="161">
        <f t="shared" si="2364"/>
        <v>299576</v>
      </c>
      <c r="EL81" s="133">
        <f>ROUND(EK81*(1+取值表!$D$6)*取值表!$H$6,0)</f>
        <v>297128</v>
      </c>
      <c r="EM81" s="161">
        <f t="shared" si="2365"/>
        <v>297128</v>
      </c>
      <c r="EN81" s="161">
        <f t="shared" si="2366"/>
        <v>297128</v>
      </c>
      <c r="EO81" s="161">
        <f t="shared" si="2367"/>
        <v>297128</v>
      </c>
      <c r="EP81" s="133">
        <f>ROUND(EO81*(1+取值表!$D$6)*取值表!$H$6,0)</f>
        <v>294700</v>
      </c>
      <c r="EQ81" s="161">
        <f t="shared" si="2368"/>
        <v>294700</v>
      </c>
      <c r="ER81" s="161">
        <f t="shared" si="2369"/>
        <v>294700</v>
      </c>
      <c r="ES81" s="161">
        <f t="shared" si="2370"/>
        <v>294700</v>
      </c>
      <c r="ET81" s="133">
        <f t="shared" si="1982"/>
        <v>47596012</v>
      </c>
      <c r="JH81" s="159"/>
    </row>
    <row r="82" spans="1:268" ht="21" customHeight="1">
      <c r="A82" s="478" t="s">
        <v>958</v>
      </c>
      <c r="B82" s="479"/>
      <c r="C82" s="479"/>
      <c r="D82" s="480"/>
      <c r="E82" s="142"/>
      <c r="F82" s="129">
        <f>SUM(F3:F81)</f>
        <v>6440.47</v>
      </c>
      <c r="G82" s="130">
        <f>ROUND(H82/365/F82,2)</f>
        <v>14.24</v>
      </c>
      <c r="H82" s="355">
        <f>SUM(H3:H81)</f>
        <v>33480722.800999995</v>
      </c>
      <c r="I82" s="129">
        <f>ROUND(SUM(I3:I81),0)</f>
        <v>6581560</v>
      </c>
      <c r="J82" s="129">
        <f>SUM(J3:J81)</f>
        <v>8356740</v>
      </c>
      <c r="K82" s="129">
        <f t="shared" ref="K82:BE82" si="2409">SUM(K3:K81)</f>
        <v>8356740</v>
      </c>
      <c r="L82" s="129">
        <f t="shared" si="2409"/>
        <v>8390875</v>
      </c>
      <c r="M82" s="129">
        <f t="shared" si="2409"/>
        <v>8410799</v>
      </c>
      <c r="N82" s="129">
        <f t="shared" si="2409"/>
        <v>8366984</v>
      </c>
      <c r="O82" s="129">
        <f t="shared" si="2409"/>
        <v>8366984</v>
      </c>
      <c r="P82" s="129">
        <f t="shared" si="2409"/>
        <v>8409522</v>
      </c>
      <c r="Q82" s="129">
        <f t="shared" si="2409"/>
        <v>8409522</v>
      </c>
      <c r="R82" s="129">
        <f t="shared" si="2409"/>
        <v>8348163</v>
      </c>
      <c r="S82" s="129">
        <f t="shared" si="2409"/>
        <v>8348163</v>
      </c>
      <c r="T82" s="129">
        <f t="shared" si="2409"/>
        <v>8348163</v>
      </c>
      <c r="U82" s="129">
        <f t="shared" si="2409"/>
        <v>8348163</v>
      </c>
      <c r="V82" s="129">
        <f t="shared" si="2409"/>
        <v>8285882</v>
      </c>
      <c r="W82" s="129">
        <f t="shared" si="2409"/>
        <v>8285882</v>
      </c>
      <c r="X82" s="129">
        <f t="shared" si="2409"/>
        <v>8285882</v>
      </c>
      <c r="Y82" s="129">
        <f t="shared" si="2409"/>
        <v>8285882</v>
      </c>
      <c r="Z82" s="129">
        <f t="shared" si="2409"/>
        <v>8218177</v>
      </c>
      <c r="AA82" s="129">
        <f t="shared" si="2409"/>
        <v>8218177</v>
      </c>
      <c r="AB82" s="129">
        <f t="shared" si="2409"/>
        <v>8218177</v>
      </c>
      <c r="AC82" s="129">
        <f t="shared" si="2409"/>
        <v>8218177</v>
      </c>
      <c r="AD82" s="129">
        <f t="shared" si="2409"/>
        <v>8151025</v>
      </c>
      <c r="AE82" s="129">
        <f t="shared" si="2409"/>
        <v>8151025</v>
      </c>
      <c r="AF82" s="129">
        <f t="shared" si="2409"/>
        <v>8151025</v>
      </c>
      <c r="AG82" s="129">
        <f t="shared" si="2409"/>
        <v>8151025</v>
      </c>
      <c r="AH82" s="129">
        <f t="shared" si="2409"/>
        <v>8084422</v>
      </c>
      <c r="AI82" s="129">
        <f t="shared" si="2409"/>
        <v>8084422</v>
      </c>
      <c r="AJ82" s="129">
        <f t="shared" si="2409"/>
        <v>8084422</v>
      </c>
      <c r="AK82" s="129">
        <f t="shared" si="2409"/>
        <v>8084422</v>
      </c>
      <c r="AL82" s="129">
        <f t="shared" si="2409"/>
        <v>8018366</v>
      </c>
      <c r="AM82" s="129">
        <f t="shared" si="2409"/>
        <v>8018366</v>
      </c>
      <c r="AN82" s="129">
        <f t="shared" si="2409"/>
        <v>8018366</v>
      </c>
      <c r="AO82" s="129">
        <f t="shared" si="2409"/>
        <v>8018366</v>
      </c>
      <c r="AP82" s="129">
        <f t="shared" si="2409"/>
        <v>7952847</v>
      </c>
      <c r="AQ82" s="129">
        <f t="shared" si="2409"/>
        <v>7952847</v>
      </c>
      <c r="AR82" s="129">
        <f t="shared" si="2409"/>
        <v>7952847</v>
      </c>
      <c r="AS82" s="129">
        <f t="shared" si="2409"/>
        <v>7952847</v>
      </c>
      <c r="AT82" s="129">
        <f t="shared" si="2409"/>
        <v>7887863</v>
      </c>
      <c r="AU82" s="129">
        <f t="shared" si="2409"/>
        <v>7887863</v>
      </c>
      <c r="AV82" s="129">
        <f t="shared" si="2409"/>
        <v>7887863</v>
      </c>
      <c r="AW82" s="129">
        <f t="shared" si="2409"/>
        <v>7887863</v>
      </c>
      <c r="AX82" s="129">
        <f t="shared" si="2409"/>
        <v>7823411</v>
      </c>
      <c r="AY82" s="129">
        <f t="shared" si="2409"/>
        <v>7823411</v>
      </c>
      <c r="AZ82" s="129">
        <f t="shared" si="2409"/>
        <v>7823411</v>
      </c>
      <c r="BA82" s="129">
        <f t="shared" si="2409"/>
        <v>7823411</v>
      </c>
      <c r="BB82" s="129">
        <f t="shared" si="2409"/>
        <v>7759486</v>
      </c>
      <c r="BC82" s="129">
        <f t="shared" si="2409"/>
        <v>7759486</v>
      </c>
      <c r="BD82" s="129">
        <f t="shared" si="2409"/>
        <v>7759486</v>
      </c>
      <c r="BE82" s="129">
        <f t="shared" si="2409"/>
        <v>7759486</v>
      </c>
      <c r="BF82" s="129">
        <f>SUM(BF3:BF81)</f>
        <v>7696084</v>
      </c>
      <c r="BG82" s="342">
        <f t="shared" ref="BG82:DR82" si="2410">SUM(BG3:BG81)</f>
        <v>7696084</v>
      </c>
      <c r="BH82" s="342">
        <f t="shared" si="2410"/>
        <v>7696084</v>
      </c>
      <c r="BI82" s="342">
        <f t="shared" si="2410"/>
        <v>7696084</v>
      </c>
      <c r="BJ82" s="342">
        <f t="shared" si="2410"/>
        <v>7633202</v>
      </c>
      <c r="BK82" s="342">
        <f t="shared" si="2410"/>
        <v>7633202</v>
      </c>
      <c r="BL82" s="342">
        <f t="shared" si="2410"/>
        <v>7633202</v>
      </c>
      <c r="BM82" s="342">
        <f t="shared" si="2410"/>
        <v>7633202</v>
      </c>
      <c r="BN82" s="342">
        <f t="shared" si="2410"/>
        <v>7570832</v>
      </c>
      <c r="BO82" s="342">
        <f t="shared" si="2410"/>
        <v>7570832</v>
      </c>
      <c r="BP82" s="342">
        <f t="shared" si="2410"/>
        <v>7570832</v>
      </c>
      <c r="BQ82" s="342">
        <f t="shared" si="2410"/>
        <v>7570832</v>
      </c>
      <c r="BR82" s="342">
        <f t="shared" si="2410"/>
        <v>7508968</v>
      </c>
      <c r="BS82" s="342">
        <f t="shared" si="2410"/>
        <v>7508968</v>
      </c>
      <c r="BT82" s="342">
        <f t="shared" si="2410"/>
        <v>7508968</v>
      </c>
      <c r="BU82" s="342">
        <f t="shared" si="2410"/>
        <v>7508968</v>
      </c>
      <c r="BV82" s="342">
        <f t="shared" si="2410"/>
        <v>7447608</v>
      </c>
      <c r="BW82" s="342">
        <f t="shared" si="2410"/>
        <v>7447608</v>
      </c>
      <c r="BX82" s="342">
        <f t="shared" si="2410"/>
        <v>7447608</v>
      </c>
      <c r="BY82" s="342">
        <f t="shared" si="2410"/>
        <v>7447608</v>
      </c>
      <c r="BZ82" s="342">
        <f t="shared" si="2410"/>
        <v>7386753</v>
      </c>
      <c r="CA82" s="342">
        <f t="shared" si="2410"/>
        <v>7386753</v>
      </c>
      <c r="CB82" s="342">
        <f t="shared" si="2410"/>
        <v>7386753</v>
      </c>
      <c r="CC82" s="342">
        <f t="shared" si="2410"/>
        <v>7386753</v>
      </c>
      <c r="CD82" s="342">
        <f t="shared" si="2410"/>
        <v>7326396</v>
      </c>
      <c r="CE82" s="342">
        <f t="shared" si="2410"/>
        <v>7326396</v>
      </c>
      <c r="CF82" s="342">
        <f t="shared" si="2410"/>
        <v>7326396</v>
      </c>
      <c r="CG82" s="342">
        <f t="shared" si="2410"/>
        <v>7326396</v>
      </c>
      <c r="CH82" s="342">
        <f t="shared" si="2410"/>
        <v>7266531</v>
      </c>
      <c r="CI82" s="342">
        <f t="shared" si="2410"/>
        <v>7266531</v>
      </c>
      <c r="CJ82" s="342">
        <f t="shared" si="2410"/>
        <v>7266531</v>
      </c>
      <c r="CK82" s="342">
        <f t="shared" si="2410"/>
        <v>7266531</v>
      </c>
      <c r="CL82" s="342">
        <f t="shared" si="2410"/>
        <v>7207156</v>
      </c>
      <c r="CM82" s="342">
        <f t="shared" si="2410"/>
        <v>7207156</v>
      </c>
      <c r="CN82" s="342">
        <f t="shared" si="2410"/>
        <v>7207156</v>
      </c>
      <c r="CO82" s="342">
        <f t="shared" si="2410"/>
        <v>7207156</v>
      </c>
      <c r="CP82" s="342">
        <f t="shared" si="2410"/>
        <v>7148268</v>
      </c>
      <c r="CQ82" s="342">
        <f t="shared" si="2410"/>
        <v>7148268</v>
      </c>
      <c r="CR82" s="342">
        <f t="shared" si="2410"/>
        <v>7148268</v>
      </c>
      <c r="CS82" s="342">
        <f t="shared" si="2410"/>
        <v>7148268</v>
      </c>
      <c r="CT82" s="342">
        <f t="shared" si="2410"/>
        <v>7089861</v>
      </c>
      <c r="CU82" s="342">
        <f t="shared" si="2410"/>
        <v>7089861</v>
      </c>
      <c r="CV82" s="342">
        <f t="shared" si="2410"/>
        <v>7089861</v>
      </c>
      <c r="CW82" s="342">
        <f t="shared" si="2410"/>
        <v>7089861</v>
      </c>
      <c r="CX82" s="342">
        <f t="shared" si="2410"/>
        <v>7031926</v>
      </c>
      <c r="CY82" s="342">
        <f t="shared" si="2410"/>
        <v>7031926</v>
      </c>
      <c r="CZ82" s="342">
        <f t="shared" si="2410"/>
        <v>7031926</v>
      </c>
      <c r="DA82" s="342">
        <f t="shared" si="2410"/>
        <v>7031926</v>
      </c>
      <c r="DB82" s="342">
        <f t="shared" si="2410"/>
        <v>6974468</v>
      </c>
      <c r="DC82" s="342">
        <f t="shared" si="2410"/>
        <v>6974468</v>
      </c>
      <c r="DD82" s="342">
        <f t="shared" si="2410"/>
        <v>6974468</v>
      </c>
      <c r="DE82" s="342">
        <f t="shared" si="2410"/>
        <v>6974468</v>
      </c>
      <c r="DF82" s="342">
        <f t="shared" si="2410"/>
        <v>6917482</v>
      </c>
      <c r="DG82" s="342">
        <f t="shared" si="2410"/>
        <v>6917482</v>
      </c>
      <c r="DH82" s="342">
        <f t="shared" si="2410"/>
        <v>6917482</v>
      </c>
      <c r="DI82" s="342">
        <f t="shared" si="2410"/>
        <v>6917482</v>
      </c>
      <c r="DJ82" s="342">
        <f t="shared" si="2410"/>
        <v>6860954</v>
      </c>
      <c r="DK82" s="342">
        <f t="shared" si="2410"/>
        <v>6860954</v>
      </c>
      <c r="DL82" s="342">
        <f t="shared" si="2410"/>
        <v>6860954</v>
      </c>
      <c r="DM82" s="342">
        <f t="shared" si="2410"/>
        <v>6860954</v>
      </c>
      <c r="DN82" s="342">
        <f t="shared" si="2410"/>
        <v>6804895</v>
      </c>
      <c r="DO82" s="342">
        <f t="shared" si="2410"/>
        <v>6804895</v>
      </c>
      <c r="DP82" s="342">
        <f t="shared" si="2410"/>
        <v>6804895</v>
      </c>
      <c r="DQ82" s="342">
        <f t="shared" si="2410"/>
        <v>6804895</v>
      </c>
      <c r="DR82" s="342">
        <f t="shared" si="2410"/>
        <v>6749294</v>
      </c>
      <c r="DS82" s="342">
        <f t="shared" ref="DS82:EO82" si="2411">SUM(DS3:DS81)</f>
        <v>6749294</v>
      </c>
      <c r="DT82" s="342">
        <f t="shared" si="2411"/>
        <v>6749294</v>
      </c>
      <c r="DU82" s="342">
        <f t="shared" si="2411"/>
        <v>6749294</v>
      </c>
      <c r="DV82" s="342">
        <f t="shared" si="2411"/>
        <v>6694148</v>
      </c>
      <c r="DW82" s="342">
        <f t="shared" si="2411"/>
        <v>6694148</v>
      </c>
      <c r="DX82" s="342">
        <f t="shared" si="2411"/>
        <v>6694148</v>
      </c>
      <c r="DY82" s="342">
        <f t="shared" si="2411"/>
        <v>6694148</v>
      </c>
      <c r="DZ82" s="342">
        <f t="shared" si="2411"/>
        <v>6639449</v>
      </c>
      <c r="EA82" s="342">
        <f t="shared" si="2411"/>
        <v>6639449</v>
      </c>
      <c r="EB82" s="342">
        <f t="shared" si="2411"/>
        <v>6639449</v>
      </c>
      <c r="EC82" s="342">
        <f t="shared" si="2411"/>
        <v>6639449</v>
      </c>
      <c r="ED82" s="342">
        <f t="shared" si="2411"/>
        <v>6585197</v>
      </c>
      <c r="EE82" s="342">
        <f t="shared" si="2411"/>
        <v>6585197</v>
      </c>
      <c r="EF82" s="342">
        <f t="shared" si="2411"/>
        <v>6585197</v>
      </c>
      <c r="EG82" s="342">
        <f t="shared" si="2411"/>
        <v>6585197</v>
      </c>
      <c r="EH82" s="342">
        <f t="shared" si="2411"/>
        <v>6531392</v>
      </c>
      <c r="EI82" s="342">
        <f t="shared" si="2411"/>
        <v>6531392</v>
      </c>
      <c r="EJ82" s="342">
        <f t="shared" si="2411"/>
        <v>6531392</v>
      </c>
      <c r="EK82" s="342">
        <f t="shared" si="2411"/>
        <v>6531392</v>
      </c>
      <c r="EL82" s="342">
        <f t="shared" si="2411"/>
        <v>6478021</v>
      </c>
      <c r="EM82" s="342">
        <f t="shared" si="2411"/>
        <v>6478021</v>
      </c>
      <c r="EN82" s="342">
        <f t="shared" si="2411"/>
        <v>6478021</v>
      </c>
      <c r="EO82" s="342">
        <f t="shared" si="2411"/>
        <v>6478021</v>
      </c>
      <c r="EP82" s="342">
        <f>SUM(EP3:EP81)</f>
        <v>6425087</v>
      </c>
      <c r="EQ82" s="342">
        <f t="shared" ref="EQ82:ER82" si="2412">SUM(EQ3:EQ81)</f>
        <v>6425087</v>
      </c>
      <c r="ER82" s="342">
        <f t="shared" si="2412"/>
        <v>6425087</v>
      </c>
      <c r="ES82" s="342">
        <f>SUM(ES3:ES81)</f>
        <v>6425087</v>
      </c>
      <c r="ET82" s="342">
        <f>SUM(ET3:ET81)</f>
        <v>1037082622</v>
      </c>
    </row>
    <row r="83" spans="1:268" ht="21" customHeight="1">
      <c r="A83" s="172"/>
      <c r="B83" s="162"/>
      <c r="C83" s="163"/>
      <c r="D83" s="164"/>
      <c r="E83" s="165"/>
      <c r="F83" s="166"/>
      <c r="G83" s="167"/>
      <c r="H83" s="356"/>
      <c r="I83" s="166"/>
    </row>
    <row r="84" spans="1:268" s="74" customFormat="1" ht="14.25">
      <c r="A84" s="68"/>
      <c r="B84" s="69"/>
      <c r="C84" s="69"/>
      <c r="D84" s="70"/>
      <c r="E84" s="392">
        <v>1</v>
      </c>
      <c r="F84" s="392"/>
      <c r="G84" s="392"/>
      <c r="H84" s="392"/>
      <c r="I84" s="392">
        <v>2</v>
      </c>
      <c r="J84" s="392"/>
      <c r="K84" s="392"/>
      <c r="L84" s="392"/>
      <c r="M84" s="392">
        <v>3</v>
      </c>
      <c r="N84" s="392"/>
      <c r="O84" s="392"/>
      <c r="P84" s="392"/>
      <c r="Q84" s="392">
        <v>4</v>
      </c>
      <c r="R84" s="392"/>
      <c r="S84" s="392"/>
      <c r="T84" s="392"/>
      <c r="U84" s="392">
        <v>5</v>
      </c>
      <c r="V84" s="392"/>
      <c r="W84" s="392"/>
      <c r="X84" s="392"/>
      <c r="Y84" s="392">
        <v>6</v>
      </c>
      <c r="Z84" s="392"/>
      <c r="AA84" s="392"/>
      <c r="AB84" s="392"/>
      <c r="AC84" s="392">
        <v>7</v>
      </c>
      <c r="AD84" s="392"/>
      <c r="AE84" s="392"/>
      <c r="AF84" s="392"/>
      <c r="AG84" s="392">
        <v>8</v>
      </c>
      <c r="AH84" s="392"/>
      <c r="AI84" s="392"/>
      <c r="AJ84" s="392"/>
      <c r="AK84" s="392">
        <v>9</v>
      </c>
      <c r="AL84" s="392"/>
      <c r="AM84" s="392"/>
      <c r="AN84" s="392"/>
      <c r="AO84" s="392">
        <v>10</v>
      </c>
      <c r="AP84" s="392"/>
      <c r="AQ84" s="392"/>
      <c r="AR84" s="392"/>
      <c r="AS84" s="392">
        <v>11</v>
      </c>
      <c r="AT84" s="392"/>
      <c r="AU84" s="392"/>
      <c r="AV84" s="392"/>
      <c r="AW84" s="392">
        <v>12</v>
      </c>
      <c r="AX84" s="392"/>
      <c r="AY84" s="392"/>
      <c r="AZ84" s="392"/>
      <c r="BA84" s="392">
        <v>13</v>
      </c>
      <c r="BB84" s="392"/>
      <c r="BC84" s="392"/>
      <c r="BD84" s="392"/>
      <c r="BE84" s="392">
        <v>14</v>
      </c>
      <c r="BF84" s="392"/>
      <c r="BG84" s="392"/>
      <c r="BH84" s="392"/>
      <c r="BI84" s="392">
        <v>15</v>
      </c>
      <c r="BJ84" s="392"/>
      <c r="BK84" s="392"/>
      <c r="BL84" s="392"/>
      <c r="BM84" s="392">
        <v>16</v>
      </c>
      <c r="BN84" s="392"/>
      <c r="BO84" s="392"/>
      <c r="BP84" s="392"/>
      <c r="BQ84" s="392">
        <v>17</v>
      </c>
      <c r="BR84" s="392"/>
      <c r="BS84" s="392"/>
      <c r="BT84" s="392"/>
      <c r="BU84" s="392">
        <v>18</v>
      </c>
      <c r="BV84" s="392"/>
      <c r="BW84" s="392"/>
      <c r="BX84" s="392"/>
      <c r="BY84" s="392">
        <v>19</v>
      </c>
      <c r="BZ84" s="392"/>
      <c r="CA84" s="392"/>
      <c r="CB84" s="392"/>
      <c r="CC84" s="392">
        <v>20</v>
      </c>
      <c r="CD84" s="392"/>
      <c r="CE84" s="392"/>
      <c r="CF84" s="392"/>
      <c r="CG84" s="392">
        <v>21</v>
      </c>
      <c r="CH84" s="392"/>
      <c r="CI84" s="392"/>
      <c r="CJ84" s="392"/>
      <c r="CK84" s="392">
        <v>22</v>
      </c>
      <c r="CL84" s="392"/>
      <c r="CM84" s="392"/>
      <c r="CN84" s="392"/>
      <c r="CO84" s="392">
        <v>23</v>
      </c>
      <c r="CP84" s="392"/>
      <c r="CQ84" s="392"/>
      <c r="CR84" s="392"/>
      <c r="CS84" s="392">
        <v>24</v>
      </c>
      <c r="CT84" s="392"/>
      <c r="CU84" s="392"/>
      <c r="CV84" s="392"/>
      <c r="CW84" s="392">
        <v>25</v>
      </c>
      <c r="CX84" s="392"/>
      <c r="CY84" s="392"/>
      <c r="CZ84" s="392"/>
      <c r="DA84" s="392">
        <v>26</v>
      </c>
      <c r="DB84" s="392"/>
      <c r="DC84" s="392"/>
      <c r="DD84" s="392"/>
      <c r="DE84" s="392">
        <v>27</v>
      </c>
      <c r="DF84" s="392"/>
      <c r="DG84" s="392"/>
      <c r="DH84" s="392"/>
      <c r="DI84" s="392">
        <v>28</v>
      </c>
      <c r="DJ84" s="392"/>
      <c r="DK84" s="392"/>
      <c r="DL84" s="392"/>
      <c r="DM84" s="392">
        <v>29</v>
      </c>
      <c r="DN84" s="392"/>
      <c r="DO84" s="392"/>
      <c r="DP84" s="392"/>
      <c r="DQ84" s="392">
        <v>30</v>
      </c>
      <c r="DR84" s="392"/>
      <c r="DS84" s="392"/>
      <c r="DT84" s="392"/>
      <c r="DU84" s="392">
        <v>31</v>
      </c>
      <c r="DV84" s="392"/>
      <c r="DW84" s="392"/>
      <c r="DX84" s="392"/>
      <c r="DY84" s="392">
        <v>32</v>
      </c>
      <c r="DZ84" s="392"/>
      <c r="EA84" s="392"/>
      <c r="EB84" s="392"/>
      <c r="EC84" s="392">
        <v>33</v>
      </c>
      <c r="ED84" s="392"/>
      <c r="EE84" s="392"/>
      <c r="EF84" s="392"/>
      <c r="EG84" s="392">
        <v>34</v>
      </c>
      <c r="EH84" s="392"/>
      <c r="EI84" s="392"/>
      <c r="EJ84" s="392"/>
      <c r="EK84" s="470">
        <v>35</v>
      </c>
      <c r="EL84" s="471"/>
      <c r="EM84" s="471"/>
      <c r="EN84" s="472"/>
      <c r="EO84" s="330"/>
      <c r="EP84" s="72"/>
      <c r="EQ84" s="72"/>
      <c r="ER84" s="72"/>
      <c r="ES84" s="72"/>
      <c r="ET84" s="72"/>
      <c r="EU84" s="72"/>
      <c r="EV84" s="72"/>
      <c r="EW84" s="72"/>
      <c r="EX84" s="72"/>
      <c r="EY84" s="72"/>
      <c r="EZ84" s="72"/>
      <c r="FA84" s="72"/>
      <c r="FB84" s="72"/>
      <c r="FC84" s="72"/>
      <c r="FD84" s="72"/>
      <c r="FE84" s="72"/>
      <c r="FF84" s="72"/>
      <c r="FG84" s="72"/>
      <c r="FH84" s="72"/>
      <c r="FI84" s="72"/>
      <c r="FJ84" s="72"/>
      <c r="FK84" s="72"/>
      <c r="FL84" s="72"/>
      <c r="FM84" s="72"/>
      <c r="FN84" s="72"/>
      <c r="FO84" s="72"/>
      <c r="FP84" s="72"/>
      <c r="FQ84" s="72"/>
      <c r="FR84" s="72"/>
      <c r="FS84" s="72"/>
      <c r="FT84" s="72"/>
      <c r="FU84" s="72"/>
      <c r="FV84" s="72"/>
      <c r="FW84" s="72"/>
      <c r="FX84" s="72"/>
      <c r="FY84" s="72"/>
      <c r="FZ84" s="72"/>
      <c r="GA84" s="72"/>
      <c r="GB84" s="72"/>
      <c r="GC84" s="72"/>
      <c r="GD84" s="72"/>
      <c r="GE84" s="72"/>
      <c r="GF84" s="72"/>
      <c r="GG84" s="72"/>
      <c r="GH84" s="72"/>
      <c r="GI84" s="72"/>
      <c r="GJ84" s="72"/>
      <c r="GK84" s="72"/>
      <c r="GL84" s="72"/>
      <c r="GM84" s="72"/>
      <c r="GN84" s="72"/>
      <c r="GO84" s="73"/>
    </row>
    <row r="85" spans="1:268" s="81" customFormat="1" ht="18.75" customHeight="1">
      <c r="A85" s="75"/>
      <c r="B85" s="76" t="s">
        <v>960</v>
      </c>
      <c r="C85" s="76" t="s">
        <v>961</v>
      </c>
      <c r="D85" s="77" t="s">
        <v>962</v>
      </c>
      <c r="E85" s="78" t="str">
        <f>J1</f>
        <v>2018年2季度</v>
      </c>
      <c r="F85" s="78" t="str">
        <f t="shared" ref="F85:BQ85" si="2413">K1</f>
        <v>2018年3季度</v>
      </c>
      <c r="G85" s="78" t="str">
        <f t="shared" si="2413"/>
        <v>2018年4季度</v>
      </c>
      <c r="H85" s="357" t="str">
        <f t="shared" si="2413"/>
        <v>2019年1季度</v>
      </c>
      <c r="I85" s="78" t="str">
        <f t="shared" si="2413"/>
        <v>2019年2季度</v>
      </c>
      <c r="J85" s="78" t="str">
        <f t="shared" si="2413"/>
        <v>2019年3季度</v>
      </c>
      <c r="K85" s="78" t="str">
        <f t="shared" si="2413"/>
        <v>2019年4季度</v>
      </c>
      <c r="L85" s="78" t="str">
        <f t="shared" si="2413"/>
        <v>2020年1季度</v>
      </c>
      <c r="M85" s="78" t="str">
        <f t="shared" si="2413"/>
        <v>2020年2季度</v>
      </c>
      <c r="N85" s="78" t="str">
        <f t="shared" si="2413"/>
        <v>2020年3季度</v>
      </c>
      <c r="O85" s="78" t="str">
        <f t="shared" si="2413"/>
        <v>2020年4季度</v>
      </c>
      <c r="P85" s="78" t="str">
        <f t="shared" si="2413"/>
        <v>2021年1季度</v>
      </c>
      <c r="Q85" s="78" t="str">
        <f t="shared" si="2413"/>
        <v>2021年2季度</v>
      </c>
      <c r="R85" s="78" t="str">
        <f t="shared" si="2413"/>
        <v>2021年3季度</v>
      </c>
      <c r="S85" s="78" t="str">
        <f t="shared" si="2413"/>
        <v>2021年4季度</v>
      </c>
      <c r="T85" s="78" t="str">
        <f t="shared" si="2413"/>
        <v>2022年1季度</v>
      </c>
      <c r="U85" s="78" t="str">
        <f t="shared" si="2413"/>
        <v>2022年2季度</v>
      </c>
      <c r="V85" s="78" t="str">
        <f t="shared" si="2413"/>
        <v>2022年3季度</v>
      </c>
      <c r="W85" s="78" t="str">
        <f t="shared" si="2413"/>
        <v>2022年4季度</v>
      </c>
      <c r="X85" s="78" t="str">
        <f t="shared" si="2413"/>
        <v>2023年1季度</v>
      </c>
      <c r="Y85" s="78" t="str">
        <f t="shared" si="2413"/>
        <v>2023年2季度</v>
      </c>
      <c r="Z85" s="78" t="str">
        <f t="shared" si="2413"/>
        <v>2023年3季度</v>
      </c>
      <c r="AA85" s="78" t="str">
        <f t="shared" si="2413"/>
        <v>2023年4季度</v>
      </c>
      <c r="AB85" s="78" t="str">
        <f t="shared" si="2413"/>
        <v>2024年1季度</v>
      </c>
      <c r="AC85" s="78" t="str">
        <f t="shared" si="2413"/>
        <v>2024年2季度</v>
      </c>
      <c r="AD85" s="78" t="str">
        <f t="shared" si="2413"/>
        <v>2024年3季度</v>
      </c>
      <c r="AE85" s="78" t="str">
        <f t="shared" si="2413"/>
        <v>2024年4季度</v>
      </c>
      <c r="AF85" s="78" t="str">
        <f t="shared" si="2413"/>
        <v>2025年1季度</v>
      </c>
      <c r="AG85" s="78" t="str">
        <f t="shared" si="2413"/>
        <v>2025年2季度</v>
      </c>
      <c r="AH85" s="78" t="str">
        <f t="shared" si="2413"/>
        <v>2025年3季度</v>
      </c>
      <c r="AI85" s="78" t="str">
        <f t="shared" si="2413"/>
        <v>2025年4季度</v>
      </c>
      <c r="AJ85" s="78" t="str">
        <f t="shared" si="2413"/>
        <v>2026年1季度</v>
      </c>
      <c r="AK85" s="78" t="str">
        <f t="shared" si="2413"/>
        <v>2026年2季度</v>
      </c>
      <c r="AL85" s="78" t="str">
        <f t="shared" si="2413"/>
        <v>2026年3季度</v>
      </c>
      <c r="AM85" s="78" t="str">
        <f t="shared" si="2413"/>
        <v>2026年4季度</v>
      </c>
      <c r="AN85" s="78" t="str">
        <f t="shared" si="2413"/>
        <v>2027年1季度</v>
      </c>
      <c r="AO85" s="78" t="str">
        <f t="shared" si="2413"/>
        <v>2027年2季度</v>
      </c>
      <c r="AP85" s="78" t="str">
        <f t="shared" si="2413"/>
        <v>2027年3季度</v>
      </c>
      <c r="AQ85" s="78" t="str">
        <f t="shared" si="2413"/>
        <v>2027年4季度</v>
      </c>
      <c r="AR85" s="78" t="str">
        <f t="shared" si="2413"/>
        <v>2028年1季度</v>
      </c>
      <c r="AS85" s="78" t="str">
        <f t="shared" si="2413"/>
        <v>2028年2季度</v>
      </c>
      <c r="AT85" s="78" t="str">
        <f t="shared" si="2413"/>
        <v>2028年3季度</v>
      </c>
      <c r="AU85" s="78" t="str">
        <f t="shared" si="2413"/>
        <v>2028年4季度</v>
      </c>
      <c r="AV85" s="78" t="str">
        <f t="shared" si="2413"/>
        <v>2029年1季度</v>
      </c>
      <c r="AW85" s="78" t="str">
        <f t="shared" si="2413"/>
        <v>2029年2季度</v>
      </c>
      <c r="AX85" s="78" t="str">
        <f t="shared" si="2413"/>
        <v>2029年3季度</v>
      </c>
      <c r="AY85" s="78" t="str">
        <f t="shared" si="2413"/>
        <v>2029年4季度</v>
      </c>
      <c r="AZ85" s="78" t="str">
        <f t="shared" si="2413"/>
        <v>2030年1季度</v>
      </c>
      <c r="BA85" s="78" t="str">
        <f t="shared" si="2413"/>
        <v>2030年2季度</v>
      </c>
      <c r="BB85" s="78" t="str">
        <f t="shared" si="2413"/>
        <v>2030年3季度</v>
      </c>
      <c r="BC85" s="78" t="str">
        <f t="shared" si="2413"/>
        <v>2030年4季度</v>
      </c>
      <c r="BD85" s="78" t="str">
        <f t="shared" si="2413"/>
        <v>2031年1季度</v>
      </c>
      <c r="BE85" s="78" t="str">
        <f t="shared" si="2413"/>
        <v>2031年2季度</v>
      </c>
      <c r="BF85" s="78" t="str">
        <f t="shared" si="2413"/>
        <v>2031年3季度</v>
      </c>
      <c r="BG85" s="78" t="str">
        <f t="shared" si="2413"/>
        <v>2031年4季度</v>
      </c>
      <c r="BH85" s="78" t="str">
        <f t="shared" si="2413"/>
        <v>2032年1季度</v>
      </c>
      <c r="BI85" s="78" t="str">
        <f t="shared" si="2413"/>
        <v>2032年2季度</v>
      </c>
      <c r="BJ85" s="78" t="str">
        <f t="shared" si="2413"/>
        <v>2032年3季度</v>
      </c>
      <c r="BK85" s="78" t="str">
        <f t="shared" si="2413"/>
        <v>2032年4季度</v>
      </c>
      <c r="BL85" s="78" t="str">
        <f t="shared" si="2413"/>
        <v>2033年1季度</v>
      </c>
      <c r="BM85" s="78" t="str">
        <f t="shared" si="2413"/>
        <v>2033年2季度</v>
      </c>
      <c r="BN85" s="78" t="str">
        <f t="shared" si="2413"/>
        <v>2033年3季度</v>
      </c>
      <c r="BO85" s="78" t="str">
        <f t="shared" si="2413"/>
        <v>2033年4季度</v>
      </c>
      <c r="BP85" s="78" t="str">
        <f t="shared" si="2413"/>
        <v>2034年1季度</v>
      </c>
      <c r="BQ85" s="78" t="str">
        <f t="shared" si="2413"/>
        <v>2034年2季度</v>
      </c>
      <c r="BR85" s="78" t="str">
        <f t="shared" ref="BR85:CJ85" si="2414">BW1</f>
        <v>2034年3季度</v>
      </c>
      <c r="BS85" s="78" t="str">
        <f t="shared" si="2414"/>
        <v>2034年4季度</v>
      </c>
      <c r="BT85" s="78" t="str">
        <f t="shared" si="2414"/>
        <v>2035年1季度</v>
      </c>
      <c r="BU85" s="78" t="str">
        <f t="shared" si="2414"/>
        <v>2035年2季度</v>
      </c>
      <c r="BV85" s="78" t="str">
        <f t="shared" si="2414"/>
        <v>2035年3季度</v>
      </c>
      <c r="BW85" s="78" t="str">
        <f t="shared" si="2414"/>
        <v>2035年4季度</v>
      </c>
      <c r="BX85" s="78" t="str">
        <f t="shared" si="2414"/>
        <v>2036年1季度</v>
      </c>
      <c r="BY85" s="78" t="str">
        <f t="shared" si="2414"/>
        <v>2036年2季度</v>
      </c>
      <c r="BZ85" s="78" t="str">
        <f t="shared" si="2414"/>
        <v>2036年3季度</v>
      </c>
      <c r="CA85" s="78" t="str">
        <f t="shared" si="2414"/>
        <v>2036年4季度</v>
      </c>
      <c r="CB85" s="78" t="str">
        <f t="shared" si="2414"/>
        <v>2037年1季度</v>
      </c>
      <c r="CC85" s="78" t="str">
        <f t="shared" si="2414"/>
        <v>2037年2季度</v>
      </c>
      <c r="CD85" s="78" t="str">
        <f t="shared" si="2414"/>
        <v>2037年3季度</v>
      </c>
      <c r="CE85" s="78" t="str">
        <f t="shared" si="2414"/>
        <v>2037年4季度</v>
      </c>
      <c r="CF85" s="78" t="str">
        <f t="shared" si="2414"/>
        <v>2038年1季度</v>
      </c>
      <c r="CG85" s="78" t="str">
        <f t="shared" si="2414"/>
        <v>2038年2季度</v>
      </c>
      <c r="CH85" s="78" t="str">
        <f t="shared" si="2414"/>
        <v>2038年3季度</v>
      </c>
      <c r="CI85" s="78" t="str">
        <f t="shared" si="2414"/>
        <v>2038年4季度</v>
      </c>
      <c r="CJ85" s="78" t="str">
        <f t="shared" si="2414"/>
        <v>2039年1季度</v>
      </c>
      <c r="CK85" s="331" t="str">
        <f t="shared" ref="CK85" si="2415">CP1</f>
        <v>2039年2季度</v>
      </c>
      <c r="CL85" s="331" t="str">
        <f t="shared" ref="CL85" si="2416">CQ1</f>
        <v>2039年3季度</v>
      </c>
      <c r="CM85" s="331" t="str">
        <f t="shared" ref="CM85" si="2417">CR1</f>
        <v>2039年4季度</v>
      </c>
      <c r="CN85" s="331" t="str">
        <f t="shared" ref="CN85" si="2418">CS1</f>
        <v>2040年1季度</v>
      </c>
      <c r="CO85" s="331" t="str">
        <f t="shared" ref="CO85" si="2419">CT1</f>
        <v>2040年2季度</v>
      </c>
      <c r="CP85" s="331" t="str">
        <f t="shared" ref="CP85" si="2420">CU1</f>
        <v>2040年3季度</v>
      </c>
      <c r="CQ85" s="331" t="str">
        <f t="shared" ref="CQ85" si="2421">CV1</f>
        <v>2040年4季度</v>
      </c>
      <c r="CR85" s="331" t="str">
        <f t="shared" ref="CR85" si="2422">CW1</f>
        <v>2041年1季度</v>
      </c>
      <c r="CS85" s="331" t="str">
        <f t="shared" ref="CS85" si="2423">CX1</f>
        <v>2041年2季度</v>
      </c>
      <c r="CT85" s="331" t="str">
        <f t="shared" ref="CT85" si="2424">CY1</f>
        <v>2041年3季度</v>
      </c>
      <c r="CU85" s="331" t="str">
        <f t="shared" ref="CU85" si="2425">CZ1</f>
        <v>2041年4季度</v>
      </c>
      <c r="CV85" s="331" t="str">
        <f t="shared" ref="CV85" si="2426">DA1</f>
        <v>2042年1季度</v>
      </c>
      <c r="CW85" s="340" t="str">
        <f t="shared" ref="CW85" si="2427">DB1</f>
        <v>2042年2季度</v>
      </c>
      <c r="CX85" s="340" t="str">
        <f t="shared" ref="CX85" si="2428">DC1</f>
        <v>2042年3季度</v>
      </c>
      <c r="CY85" s="340" t="str">
        <f t="shared" ref="CY85" si="2429">DD1</f>
        <v>2042年4季度</v>
      </c>
      <c r="CZ85" s="340" t="str">
        <f t="shared" ref="CZ85" si="2430">DE1</f>
        <v>2043年1季度</v>
      </c>
      <c r="DA85" s="340" t="str">
        <f t="shared" ref="DA85" si="2431">DF1</f>
        <v>2043年2季度</v>
      </c>
      <c r="DB85" s="340" t="str">
        <f t="shared" ref="DB85" si="2432">DG1</f>
        <v>2043年3季度</v>
      </c>
      <c r="DC85" s="340" t="str">
        <f t="shared" ref="DC85" si="2433">DH1</f>
        <v>2043年4季度</v>
      </c>
      <c r="DD85" s="340" t="str">
        <f t="shared" ref="DD85" si="2434">DI1</f>
        <v>2044年1季度</v>
      </c>
      <c r="DE85" s="340" t="str">
        <f t="shared" ref="DE85" si="2435">DJ1</f>
        <v>2044年2季度</v>
      </c>
      <c r="DF85" s="340" t="str">
        <f t="shared" ref="DF85" si="2436">DK1</f>
        <v>2044年3季度</v>
      </c>
      <c r="DG85" s="340" t="str">
        <f t="shared" ref="DG85" si="2437">DL1</f>
        <v>2044年4季度</v>
      </c>
      <c r="DH85" s="340" t="str">
        <f t="shared" ref="DH85" si="2438">DM1</f>
        <v>2045年1季度</v>
      </c>
      <c r="DI85" s="340" t="str">
        <f t="shared" ref="DI85" si="2439">DN1</f>
        <v>2045年2季度</v>
      </c>
      <c r="DJ85" s="340" t="str">
        <f t="shared" ref="DJ85" si="2440">DO1</f>
        <v>2045年3季度</v>
      </c>
      <c r="DK85" s="340" t="str">
        <f t="shared" ref="DK85" si="2441">DP1</f>
        <v>2045年4季度</v>
      </c>
      <c r="DL85" s="340" t="str">
        <f t="shared" ref="DL85" si="2442">DQ1</f>
        <v>2046年1季度</v>
      </c>
      <c r="DM85" s="340" t="str">
        <f t="shared" ref="DM85" si="2443">DR1</f>
        <v>2046年2季度</v>
      </c>
      <c r="DN85" s="340" t="str">
        <f t="shared" ref="DN85" si="2444">DS1</f>
        <v>2046年3季度</v>
      </c>
      <c r="DO85" s="340" t="str">
        <f t="shared" ref="DO85" si="2445">DT1</f>
        <v>2046年4季度</v>
      </c>
      <c r="DP85" s="340" t="str">
        <f t="shared" ref="DP85" si="2446">DU1</f>
        <v>2047年1季度</v>
      </c>
      <c r="DQ85" s="340" t="str">
        <f t="shared" ref="DQ85" si="2447">DV1</f>
        <v>2047年2季度</v>
      </c>
      <c r="DR85" s="340" t="str">
        <f t="shared" ref="DR85" si="2448">DW1</f>
        <v>2047年3季度</v>
      </c>
      <c r="DS85" s="340" t="str">
        <f t="shared" ref="DS85" si="2449">DX1</f>
        <v>2047年4季度</v>
      </c>
      <c r="DT85" s="340" t="str">
        <f t="shared" ref="DT85" si="2450">DY1</f>
        <v>2048年1季度</v>
      </c>
      <c r="DU85" s="340" t="str">
        <f t="shared" ref="DU85" si="2451">DZ1</f>
        <v>2048年2季度</v>
      </c>
      <c r="DV85" s="340" t="str">
        <f t="shared" ref="DV85" si="2452">EA1</f>
        <v>2048年3季度</v>
      </c>
      <c r="DW85" s="340" t="str">
        <f t="shared" ref="DW85" si="2453">EB1</f>
        <v>2048年4季度</v>
      </c>
      <c r="DX85" s="340" t="str">
        <f t="shared" ref="DX85" si="2454">EC1</f>
        <v>2049年1季度</v>
      </c>
      <c r="DY85" s="340" t="str">
        <f t="shared" ref="DY85" si="2455">ED1</f>
        <v>2049年2季度</v>
      </c>
      <c r="DZ85" s="340" t="str">
        <f t="shared" ref="DZ85" si="2456">EE1</f>
        <v>2049年3季度</v>
      </c>
      <c r="EA85" s="340" t="str">
        <f t="shared" ref="EA85" si="2457">EF1</f>
        <v>2049年4季度</v>
      </c>
      <c r="EB85" s="340" t="str">
        <f t="shared" ref="EB85" si="2458">EG1</f>
        <v>2050年1季度</v>
      </c>
      <c r="EC85" s="340" t="str">
        <f t="shared" ref="EC85" si="2459">EH1</f>
        <v>2050年2季度</v>
      </c>
      <c r="ED85" s="340" t="str">
        <f t="shared" ref="ED85" si="2460">EI1</f>
        <v>2050年3季度</v>
      </c>
      <c r="EE85" s="340" t="str">
        <f t="shared" ref="EE85" si="2461">EJ1</f>
        <v>2050年4季度</v>
      </c>
      <c r="EF85" s="340" t="str">
        <f t="shared" ref="EF85" si="2462">EK1</f>
        <v>2051年1季度</v>
      </c>
      <c r="EG85" s="340" t="str">
        <f t="shared" ref="EG85" si="2463">EL1</f>
        <v>2051年2季度</v>
      </c>
      <c r="EH85" s="340" t="str">
        <f t="shared" ref="EH85" si="2464">EM1</f>
        <v>2051年3季度</v>
      </c>
      <c r="EI85" s="340" t="str">
        <f t="shared" ref="EI85" si="2465">EN1</f>
        <v>2051年4季度</v>
      </c>
      <c r="EJ85" s="340" t="str">
        <f>EO1</f>
        <v>2052年1季度</v>
      </c>
      <c r="EK85" s="340" t="str">
        <f>EP1</f>
        <v>2052年2季度</v>
      </c>
      <c r="EL85" s="340" t="str">
        <f t="shared" ref="EL85:EM85" si="2466">EQ1</f>
        <v>2052年3季度</v>
      </c>
      <c r="EM85" s="340" t="str">
        <f t="shared" si="2466"/>
        <v>2052年4季度</v>
      </c>
      <c r="EN85" s="340" t="s">
        <v>1411</v>
      </c>
      <c r="EO85" s="78" t="s">
        <v>963</v>
      </c>
      <c r="EP85" s="79"/>
      <c r="EQ85" s="79"/>
      <c r="ER85" s="79"/>
      <c r="ES85" s="79"/>
      <c r="ET85" s="79"/>
      <c r="EU85" s="79"/>
      <c r="EV85" s="79"/>
      <c r="EW85" s="79"/>
      <c r="EX85" s="79"/>
      <c r="EY85" s="79"/>
      <c r="EZ85" s="79"/>
      <c r="FA85" s="79"/>
      <c r="FB85" s="79"/>
      <c r="FC85" s="79"/>
      <c r="FD85" s="79"/>
      <c r="FE85" s="79"/>
      <c r="FF85" s="79"/>
      <c r="FG85" s="79"/>
      <c r="FH85" s="79"/>
      <c r="FI85" s="79"/>
      <c r="FJ85" s="79"/>
      <c r="FK85" s="79"/>
      <c r="FL85" s="79"/>
      <c r="FM85" s="79"/>
      <c r="FN85" s="79"/>
      <c r="FO85" s="79"/>
      <c r="FP85" s="79"/>
      <c r="FQ85" s="79"/>
      <c r="FR85" s="79"/>
      <c r="FS85" s="79"/>
      <c r="FT85" s="79"/>
      <c r="FU85" s="79"/>
      <c r="FV85" s="79"/>
      <c r="FW85" s="79"/>
      <c r="FX85" s="79"/>
      <c r="FY85" s="79"/>
      <c r="FZ85" s="79"/>
      <c r="GA85" s="79"/>
      <c r="GB85" s="79"/>
      <c r="GC85" s="79"/>
      <c r="GD85" s="79"/>
      <c r="GE85" s="79"/>
      <c r="GF85" s="79"/>
      <c r="GG85" s="79"/>
      <c r="GH85" s="79"/>
      <c r="GI85" s="79"/>
      <c r="GJ85" s="79"/>
      <c r="GK85" s="79"/>
      <c r="GL85" s="79"/>
      <c r="GM85" s="79"/>
      <c r="GN85" s="79"/>
      <c r="GO85" s="79"/>
      <c r="GP85" s="79"/>
      <c r="GQ85" s="79"/>
      <c r="GR85" s="79"/>
      <c r="GS85" s="79"/>
      <c r="GT85" s="79"/>
      <c r="GU85" s="79"/>
      <c r="GV85" s="79"/>
      <c r="GW85" s="79"/>
      <c r="GX85" s="80"/>
    </row>
    <row r="86" spans="1:268" s="88" customFormat="1" ht="21">
      <c r="A86" s="82"/>
      <c r="B86" s="17" t="s">
        <v>964</v>
      </c>
      <c r="C86" s="17"/>
      <c r="D86" s="83"/>
      <c r="E86" s="84">
        <f>E87+E88+E89</f>
        <v>8381925</v>
      </c>
      <c r="F86" s="84">
        <f t="shared" ref="F86:BQ86" si="2467">F87+F88+F89</f>
        <v>8381925</v>
      </c>
      <c r="G86" s="84">
        <f t="shared" si="2467"/>
        <v>8416060</v>
      </c>
      <c r="H86" s="358">
        <f t="shared" si="2467"/>
        <v>8435984</v>
      </c>
      <c r="I86" s="84">
        <f t="shared" si="2467"/>
        <v>8392198</v>
      </c>
      <c r="J86" s="84">
        <f t="shared" si="2467"/>
        <v>8392198</v>
      </c>
      <c r="K86" s="84">
        <f t="shared" si="2467"/>
        <v>8434736</v>
      </c>
      <c r="L86" s="84">
        <f t="shared" si="2467"/>
        <v>8434736</v>
      </c>
      <c r="M86" s="84">
        <f t="shared" si="2467"/>
        <v>8373256</v>
      </c>
      <c r="N86" s="84">
        <f t="shared" si="2467"/>
        <v>8373256</v>
      </c>
      <c r="O86" s="84">
        <f t="shared" si="2467"/>
        <v>8373256</v>
      </c>
      <c r="P86" s="84">
        <f t="shared" si="2467"/>
        <v>8373256</v>
      </c>
      <c r="Q86" s="84">
        <f t="shared" si="2467"/>
        <v>8310789</v>
      </c>
      <c r="R86" s="84">
        <f t="shared" si="2467"/>
        <v>8310789</v>
      </c>
      <c r="S86" s="84">
        <f t="shared" si="2467"/>
        <v>8310789</v>
      </c>
      <c r="T86" s="84">
        <f t="shared" si="2467"/>
        <v>8310789</v>
      </c>
      <c r="U86" s="84">
        <f t="shared" si="2467"/>
        <v>8242881</v>
      </c>
      <c r="V86" s="84">
        <f t="shared" si="2467"/>
        <v>8242881</v>
      </c>
      <c r="W86" s="84">
        <f t="shared" si="2467"/>
        <v>8242881</v>
      </c>
      <c r="X86" s="84">
        <f t="shared" si="2467"/>
        <v>8242881</v>
      </c>
      <c r="Y86" s="84">
        <f t="shared" si="2467"/>
        <v>8175527</v>
      </c>
      <c r="Z86" s="84">
        <f t="shared" si="2467"/>
        <v>8175527</v>
      </c>
      <c r="AA86" s="84">
        <f t="shared" si="2467"/>
        <v>8175527</v>
      </c>
      <c r="AB86" s="84">
        <f t="shared" si="2467"/>
        <v>8175527</v>
      </c>
      <c r="AC86" s="84">
        <f t="shared" si="2467"/>
        <v>8108724</v>
      </c>
      <c r="AD86" s="84">
        <f t="shared" si="2467"/>
        <v>8108724</v>
      </c>
      <c r="AE86" s="84">
        <f t="shared" si="2467"/>
        <v>8108724</v>
      </c>
      <c r="AF86" s="84">
        <f t="shared" si="2467"/>
        <v>8108724</v>
      </c>
      <c r="AG86" s="84">
        <f t="shared" si="2467"/>
        <v>8042470</v>
      </c>
      <c r="AH86" s="84">
        <f t="shared" si="2467"/>
        <v>8042470</v>
      </c>
      <c r="AI86" s="84">
        <f t="shared" si="2467"/>
        <v>8042470</v>
      </c>
      <c r="AJ86" s="84">
        <f t="shared" si="2467"/>
        <v>8042470</v>
      </c>
      <c r="AK86" s="84">
        <f t="shared" si="2467"/>
        <v>7976755</v>
      </c>
      <c r="AL86" s="84">
        <f t="shared" si="2467"/>
        <v>7976755</v>
      </c>
      <c r="AM86" s="84">
        <f t="shared" si="2467"/>
        <v>7976755</v>
      </c>
      <c r="AN86" s="84">
        <f t="shared" si="2467"/>
        <v>7976755</v>
      </c>
      <c r="AO86" s="84">
        <f t="shared" si="2467"/>
        <v>7911576</v>
      </c>
      <c r="AP86" s="84">
        <f t="shared" si="2467"/>
        <v>7911576</v>
      </c>
      <c r="AQ86" s="84">
        <f t="shared" si="2467"/>
        <v>7911576</v>
      </c>
      <c r="AR86" s="84">
        <f t="shared" si="2467"/>
        <v>7911576</v>
      </c>
      <c r="AS86" s="84">
        <f t="shared" si="2467"/>
        <v>7846930</v>
      </c>
      <c r="AT86" s="84">
        <f t="shared" si="2467"/>
        <v>7846930</v>
      </c>
      <c r="AU86" s="84">
        <f t="shared" si="2467"/>
        <v>7846930</v>
      </c>
      <c r="AV86" s="84">
        <f t="shared" si="2467"/>
        <v>7846930</v>
      </c>
      <c r="AW86" s="84">
        <f t="shared" si="2467"/>
        <v>7782813</v>
      </c>
      <c r="AX86" s="84">
        <f t="shared" si="2467"/>
        <v>7782813</v>
      </c>
      <c r="AY86" s="84">
        <f t="shared" si="2467"/>
        <v>7782813</v>
      </c>
      <c r="AZ86" s="84">
        <f t="shared" si="2467"/>
        <v>7782813</v>
      </c>
      <c r="BA86" s="84">
        <f t="shared" si="2467"/>
        <v>7719221</v>
      </c>
      <c r="BB86" s="84">
        <f t="shared" si="2467"/>
        <v>7719221</v>
      </c>
      <c r="BC86" s="84">
        <f t="shared" si="2467"/>
        <v>7719221</v>
      </c>
      <c r="BD86" s="84">
        <f t="shared" si="2467"/>
        <v>7719221</v>
      </c>
      <c r="BE86" s="84">
        <f t="shared" si="2467"/>
        <v>7656151</v>
      </c>
      <c r="BF86" s="84">
        <f t="shared" si="2467"/>
        <v>7656151</v>
      </c>
      <c r="BG86" s="84">
        <f t="shared" si="2467"/>
        <v>7656151</v>
      </c>
      <c r="BH86" s="84">
        <f t="shared" si="2467"/>
        <v>7656151</v>
      </c>
      <c r="BI86" s="84">
        <f t="shared" si="2467"/>
        <v>7593593</v>
      </c>
      <c r="BJ86" s="84">
        <f t="shared" si="2467"/>
        <v>7593593</v>
      </c>
      <c r="BK86" s="84">
        <f t="shared" si="2467"/>
        <v>7593593</v>
      </c>
      <c r="BL86" s="84">
        <f t="shared" si="2467"/>
        <v>7593593</v>
      </c>
      <c r="BM86" s="84">
        <f t="shared" si="2467"/>
        <v>7531544</v>
      </c>
      <c r="BN86" s="84">
        <f t="shared" si="2467"/>
        <v>7531544</v>
      </c>
      <c r="BO86" s="84">
        <f t="shared" si="2467"/>
        <v>7531544</v>
      </c>
      <c r="BP86" s="84">
        <f t="shared" si="2467"/>
        <v>7531544</v>
      </c>
      <c r="BQ86" s="84">
        <f t="shared" si="2467"/>
        <v>7470000</v>
      </c>
      <c r="BR86" s="84">
        <f t="shared" ref="BR86:CJ86" si="2468">BR87+BR88+BR89</f>
        <v>7470000</v>
      </c>
      <c r="BS86" s="84">
        <f t="shared" si="2468"/>
        <v>7470000</v>
      </c>
      <c r="BT86" s="84">
        <f t="shared" si="2468"/>
        <v>7470000</v>
      </c>
      <c r="BU86" s="84">
        <f t="shared" si="2468"/>
        <v>7408962</v>
      </c>
      <c r="BV86" s="84">
        <f t="shared" si="2468"/>
        <v>7408962</v>
      </c>
      <c r="BW86" s="84">
        <f t="shared" si="2468"/>
        <v>7408962</v>
      </c>
      <c r="BX86" s="84">
        <f t="shared" si="2468"/>
        <v>7408962</v>
      </c>
      <c r="BY86" s="84">
        <f t="shared" si="2468"/>
        <v>7348424</v>
      </c>
      <c r="BZ86" s="84">
        <f t="shared" si="2468"/>
        <v>7348424</v>
      </c>
      <c r="CA86" s="84">
        <f t="shared" si="2468"/>
        <v>7348424</v>
      </c>
      <c r="CB86" s="84">
        <f t="shared" si="2468"/>
        <v>7348424</v>
      </c>
      <c r="CC86" s="84">
        <f t="shared" si="2468"/>
        <v>7288380</v>
      </c>
      <c r="CD86" s="84">
        <f t="shared" si="2468"/>
        <v>7288380</v>
      </c>
      <c r="CE86" s="84">
        <f t="shared" si="2468"/>
        <v>7288380</v>
      </c>
      <c r="CF86" s="84">
        <f t="shared" si="2468"/>
        <v>7288380</v>
      </c>
      <c r="CG86" s="84">
        <f t="shared" si="2468"/>
        <v>7228826</v>
      </c>
      <c r="CH86" s="84">
        <f t="shared" si="2468"/>
        <v>7228826</v>
      </c>
      <c r="CI86" s="84">
        <f t="shared" si="2468"/>
        <v>7228826</v>
      </c>
      <c r="CJ86" s="84">
        <f t="shared" si="2468"/>
        <v>7228826</v>
      </c>
      <c r="CK86" s="84">
        <f t="shared" ref="CK86:CV86" si="2469">CK87+CK88+CK89</f>
        <v>7169938</v>
      </c>
      <c r="CL86" s="84">
        <f t="shared" si="2469"/>
        <v>7169938</v>
      </c>
      <c r="CM86" s="84">
        <f t="shared" si="2469"/>
        <v>7169938</v>
      </c>
      <c r="CN86" s="84">
        <f t="shared" si="2469"/>
        <v>7169938</v>
      </c>
      <c r="CO86" s="84">
        <f t="shared" si="2469"/>
        <v>7111531</v>
      </c>
      <c r="CP86" s="84">
        <f t="shared" si="2469"/>
        <v>7111531</v>
      </c>
      <c r="CQ86" s="84">
        <f t="shared" si="2469"/>
        <v>7111531</v>
      </c>
      <c r="CR86" s="84">
        <f t="shared" si="2469"/>
        <v>7111531</v>
      </c>
      <c r="CS86" s="84">
        <f t="shared" si="2469"/>
        <v>7053596</v>
      </c>
      <c r="CT86" s="84">
        <f t="shared" si="2469"/>
        <v>7053596</v>
      </c>
      <c r="CU86" s="84">
        <f t="shared" si="2469"/>
        <v>7053596</v>
      </c>
      <c r="CV86" s="84">
        <f t="shared" si="2469"/>
        <v>7053596</v>
      </c>
      <c r="CW86" s="84">
        <f t="shared" ref="CW86:EK86" si="2470">CW87+CW88+CW89</f>
        <v>6996138</v>
      </c>
      <c r="CX86" s="84">
        <f t="shared" si="2470"/>
        <v>6996138</v>
      </c>
      <c r="CY86" s="84">
        <f t="shared" si="2470"/>
        <v>6996138</v>
      </c>
      <c r="CZ86" s="84">
        <f t="shared" si="2470"/>
        <v>6996138</v>
      </c>
      <c r="DA86" s="84">
        <f t="shared" si="2470"/>
        <v>6939152</v>
      </c>
      <c r="DB86" s="84">
        <f t="shared" si="2470"/>
        <v>6939152</v>
      </c>
      <c r="DC86" s="84">
        <f t="shared" si="2470"/>
        <v>6939152</v>
      </c>
      <c r="DD86" s="84">
        <f t="shared" si="2470"/>
        <v>6939152</v>
      </c>
      <c r="DE86" s="84">
        <f t="shared" si="2470"/>
        <v>6882624</v>
      </c>
      <c r="DF86" s="84">
        <f t="shared" si="2470"/>
        <v>6882624</v>
      </c>
      <c r="DG86" s="84">
        <f t="shared" si="2470"/>
        <v>6882624</v>
      </c>
      <c r="DH86" s="84">
        <f t="shared" si="2470"/>
        <v>6882624</v>
      </c>
      <c r="DI86" s="84">
        <f t="shared" si="2470"/>
        <v>6826565</v>
      </c>
      <c r="DJ86" s="84">
        <f t="shared" si="2470"/>
        <v>6826565</v>
      </c>
      <c r="DK86" s="84">
        <f t="shared" si="2470"/>
        <v>6826565</v>
      </c>
      <c r="DL86" s="84">
        <f t="shared" si="2470"/>
        <v>6826565</v>
      </c>
      <c r="DM86" s="84">
        <f t="shared" si="2470"/>
        <v>6770964</v>
      </c>
      <c r="DN86" s="84">
        <f t="shared" si="2470"/>
        <v>6770964</v>
      </c>
      <c r="DO86" s="84">
        <f t="shared" si="2470"/>
        <v>6770964</v>
      </c>
      <c r="DP86" s="84">
        <f t="shared" si="2470"/>
        <v>6770964</v>
      </c>
      <c r="DQ86" s="84">
        <f t="shared" si="2470"/>
        <v>6715818</v>
      </c>
      <c r="DR86" s="84">
        <f t="shared" si="2470"/>
        <v>6715818</v>
      </c>
      <c r="DS86" s="84">
        <f t="shared" si="2470"/>
        <v>6715818</v>
      </c>
      <c r="DT86" s="84">
        <f t="shared" si="2470"/>
        <v>6715818</v>
      </c>
      <c r="DU86" s="84">
        <f t="shared" si="2470"/>
        <v>6661119</v>
      </c>
      <c r="DV86" s="84">
        <f t="shared" si="2470"/>
        <v>6661119</v>
      </c>
      <c r="DW86" s="84">
        <f t="shared" si="2470"/>
        <v>6661119</v>
      </c>
      <c r="DX86" s="84">
        <f t="shared" si="2470"/>
        <v>6661119</v>
      </c>
      <c r="DY86" s="84">
        <f t="shared" si="2470"/>
        <v>6606867</v>
      </c>
      <c r="DZ86" s="84">
        <f t="shared" si="2470"/>
        <v>6606867</v>
      </c>
      <c r="EA86" s="84">
        <f t="shared" si="2470"/>
        <v>6606867</v>
      </c>
      <c r="EB86" s="84">
        <f t="shared" si="2470"/>
        <v>6606867</v>
      </c>
      <c r="EC86" s="84">
        <f t="shared" si="2470"/>
        <v>6553062</v>
      </c>
      <c r="ED86" s="84">
        <f t="shared" si="2470"/>
        <v>6553062</v>
      </c>
      <c r="EE86" s="84">
        <f t="shared" si="2470"/>
        <v>6553062</v>
      </c>
      <c r="EF86" s="84">
        <f t="shared" si="2470"/>
        <v>6553062</v>
      </c>
      <c r="EG86" s="84">
        <f t="shared" si="2470"/>
        <v>6499691</v>
      </c>
      <c r="EH86" s="84">
        <f t="shared" si="2470"/>
        <v>6499691</v>
      </c>
      <c r="EI86" s="84">
        <f t="shared" si="2470"/>
        <v>6499691</v>
      </c>
      <c r="EJ86" s="84">
        <f t="shared" si="2470"/>
        <v>6499691</v>
      </c>
      <c r="EK86" s="84">
        <f t="shared" si="2470"/>
        <v>6446757</v>
      </c>
      <c r="EL86" s="84">
        <f t="shared" ref="EL86:EN86" si="2471">EL87+EL88+EL89</f>
        <v>6446757</v>
      </c>
      <c r="EM86" s="84">
        <f t="shared" si="2471"/>
        <v>6446757</v>
      </c>
      <c r="EN86" s="84">
        <f t="shared" si="2471"/>
        <v>6446757</v>
      </c>
      <c r="EO86" s="85">
        <f>SUM(E86:EN86)</f>
        <v>1040272338</v>
      </c>
      <c r="EP86" s="86"/>
      <c r="EQ86" s="86"/>
      <c r="ER86" s="86"/>
      <c r="ES86" s="86"/>
      <c r="ET86" s="86"/>
      <c r="EU86" s="86"/>
      <c r="EV86" s="86"/>
      <c r="EW86" s="86"/>
      <c r="EX86" s="86"/>
      <c r="EY86" s="86"/>
      <c r="EZ86" s="86"/>
      <c r="FA86" s="86"/>
      <c r="FB86" s="86"/>
      <c r="FC86" s="86"/>
      <c r="FD86" s="86"/>
      <c r="FE86" s="86"/>
      <c r="FF86" s="86"/>
      <c r="FG86" s="86"/>
      <c r="FH86" s="86"/>
      <c r="FI86" s="86"/>
      <c r="FJ86" s="86"/>
      <c r="FK86" s="86"/>
      <c r="FL86" s="86"/>
      <c r="FM86" s="86"/>
      <c r="FN86" s="86"/>
      <c r="FO86" s="86"/>
      <c r="FP86" s="86"/>
      <c r="FQ86" s="86"/>
      <c r="FR86" s="86"/>
      <c r="FS86" s="86"/>
      <c r="FT86" s="86"/>
      <c r="FU86" s="86"/>
      <c r="FV86" s="86"/>
      <c r="FW86" s="86"/>
      <c r="FX86" s="86"/>
      <c r="FY86" s="86"/>
      <c r="FZ86" s="86"/>
      <c r="GA86" s="86"/>
      <c r="GB86" s="86"/>
      <c r="GC86" s="86"/>
      <c r="GD86" s="86"/>
      <c r="GE86" s="86"/>
      <c r="GF86" s="86"/>
      <c r="GG86" s="86"/>
      <c r="GH86" s="86"/>
      <c r="GI86" s="86"/>
      <c r="GJ86" s="86"/>
      <c r="GK86" s="86"/>
      <c r="GL86" s="86"/>
      <c r="GM86" s="86"/>
      <c r="GN86" s="86"/>
      <c r="GO86" s="86"/>
      <c r="GP86" s="86"/>
      <c r="GQ86" s="86"/>
      <c r="GR86" s="86"/>
      <c r="GS86" s="86"/>
      <c r="GT86" s="86"/>
      <c r="GU86" s="86"/>
      <c r="GV86" s="86"/>
      <c r="GW86" s="86"/>
      <c r="GX86" s="87"/>
    </row>
    <row r="87" spans="1:268" s="74" customFormat="1" ht="14.25">
      <c r="A87" s="68"/>
      <c r="B87" s="18" t="s">
        <v>792</v>
      </c>
      <c r="C87" s="18"/>
      <c r="D87" s="89"/>
      <c r="E87" s="84">
        <f>J82</f>
        <v>8356740</v>
      </c>
      <c r="F87" s="84">
        <f t="shared" ref="F87:BQ87" si="2472">K82</f>
        <v>8356740</v>
      </c>
      <c r="G87" s="84">
        <f t="shared" si="2472"/>
        <v>8390875</v>
      </c>
      <c r="H87" s="358">
        <f t="shared" si="2472"/>
        <v>8410799</v>
      </c>
      <c r="I87" s="84">
        <f t="shared" si="2472"/>
        <v>8366984</v>
      </c>
      <c r="J87" s="84">
        <f t="shared" si="2472"/>
        <v>8366984</v>
      </c>
      <c r="K87" s="84">
        <f t="shared" si="2472"/>
        <v>8409522</v>
      </c>
      <c r="L87" s="84">
        <f t="shared" si="2472"/>
        <v>8409522</v>
      </c>
      <c r="M87" s="84">
        <f t="shared" si="2472"/>
        <v>8348163</v>
      </c>
      <c r="N87" s="84">
        <f t="shared" si="2472"/>
        <v>8348163</v>
      </c>
      <c r="O87" s="84">
        <f t="shared" si="2472"/>
        <v>8348163</v>
      </c>
      <c r="P87" s="84">
        <f t="shared" si="2472"/>
        <v>8348163</v>
      </c>
      <c r="Q87" s="84">
        <f t="shared" si="2472"/>
        <v>8285882</v>
      </c>
      <c r="R87" s="84">
        <f t="shared" si="2472"/>
        <v>8285882</v>
      </c>
      <c r="S87" s="84">
        <f t="shared" si="2472"/>
        <v>8285882</v>
      </c>
      <c r="T87" s="84">
        <f t="shared" si="2472"/>
        <v>8285882</v>
      </c>
      <c r="U87" s="84">
        <f t="shared" si="2472"/>
        <v>8218177</v>
      </c>
      <c r="V87" s="84">
        <f t="shared" si="2472"/>
        <v>8218177</v>
      </c>
      <c r="W87" s="84">
        <f t="shared" si="2472"/>
        <v>8218177</v>
      </c>
      <c r="X87" s="84">
        <f t="shared" si="2472"/>
        <v>8218177</v>
      </c>
      <c r="Y87" s="84">
        <f t="shared" si="2472"/>
        <v>8151025</v>
      </c>
      <c r="Z87" s="84">
        <f t="shared" si="2472"/>
        <v>8151025</v>
      </c>
      <c r="AA87" s="84">
        <f t="shared" si="2472"/>
        <v>8151025</v>
      </c>
      <c r="AB87" s="84">
        <f t="shared" si="2472"/>
        <v>8151025</v>
      </c>
      <c r="AC87" s="84">
        <f t="shared" si="2472"/>
        <v>8084422</v>
      </c>
      <c r="AD87" s="84">
        <f t="shared" si="2472"/>
        <v>8084422</v>
      </c>
      <c r="AE87" s="84">
        <f t="shared" si="2472"/>
        <v>8084422</v>
      </c>
      <c r="AF87" s="84">
        <f t="shared" si="2472"/>
        <v>8084422</v>
      </c>
      <c r="AG87" s="84">
        <f t="shared" si="2472"/>
        <v>8018366</v>
      </c>
      <c r="AH87" s="84">
        <f t="shared" si="2472"/>
        <v>8018366</v>
      </c>
      <c r="AI87" s="84">
        <f t="shared" si="2472"/>
        <v>8018366</v>
      </c>
      <c r="AJ87" s="84">
        <f t="shared" si="2472"/>
        <v>8018366</v>
      </c>
      <c r="AK87" s="84">
        <f t="shared" si="2472"/>
        <v>7952847</v>
      </c>
      <c r="AL87" s="84">
        <f t="shared" si="2472"/>
        <v>7952847</v>
      </c>
      <c r="AM87" s="84">
        <f t="shared" si="2472"/>
        <v>7952847</v>
      </c>
      <c r="AN87" s="84">
        <f t="shared" si="2472"/>
        <v>7952847</v>
      </c>
      <c r="AO87" s="84">
        <f t="shared" si="2472"/>
        <v>7887863</v>
      </c>
      <c r="AP87" s="84">
        <f t="shared" si="2472"/>
        <v>7887863</v>
      </c>
      <c r="AQ87" s="84">
        <f t="shared" si="2472"/>
        <v>7887863</v>
      </c>
      <c r="AR87" s="84">
        <f t="shared" si="2472"/>
        <v>7887863</v>
      </c>
      <c r="AS87" s="84">
        <f t="shared" si="2472"/>
        <v>7823411</v>
      </c>
      <c r="AT87" s="84">
        <f t="shared" si="2472"/>
        <v>7823411</v>
      </c>
      <c r="AU87" s="84">
        <f t="shared" si="2472"/>
        <v>7823411</v>
      </c>
      <c r="AV87" s="84">
        <f t="shared" si="2472"/>
        <v>7823411</v>
      </c>
      <c r="AW87" s="84">
        <f t="shared" si="2472"/>
        <v>7759486</v>
      </c>
      <c r="AX87" s="84">
        <f t="shared" si="2472"/>
        <v>7759486</v>
      </c>
      <c r="AY87" s="84">
        <f t="shared" si="2472"/>
        <v>7759486</v>
      </c>
      <c r="AZ87" s="84">
        <f t="shared" si="2472"/>
        <v>7759486</v>
      </c>
      <c r="BA87" s="84">
        <f t="shared" si="2472"/>
        <v>7696084</v>
      </c>
      <c r="BB87" s="84">
        <f t="shared" si="2472"/>
        <v>7696084</v>
      </c>
      <c r="BC87" s="84">
        <f t="shared" si="2472"/>
        <v>7696084</v>
      </c>
      <c r="BD87" s="84">
        <f t="shared" si="2472"/>
        <v>7696084</v>
      </c>
      <c r="BE87" s="84">
        <f t="shared" si="2472"/>
        <v>7633202</v>
      </c>
      <c r="BF87" s="84">
        <f t="shared" si="2472"/>
        <v>7633202</v>
      </c>
      <c r="BG87" s="84">
        <f t="shared" si="2472"/>
        <v>7633202</v>
      </c>
      <c r="BH87" s="84">
        <f t="shared" si="2472"/>
        <v>7633202</v>
      </c>
      <c r="BI87" s="84">
        <f t="shared" si="2472"/>
        <v>7570832</v>
      </c>
      <c r="BJ87" s="84">
        <f t="shared" si="2472"/>
        <v>7570832</v>
      </c>
      <c r="BK87" s="84">
        <f t="shared" si="2472"/>
        <v>7570832</v>
      </c>
      <c r="BL87" s="84">
        <f t="shared" si="2472"/>
        <v>7570832</v>
      </c>
      <c r="BM87" s="84">
        <f t="shared" si="2472"/>
        <v>7508968</v>
      </c>
      <c r="BN87" s="84">
        <f t="shared" si="2472"/>
        <v>7508968</v>
      </c>
      <c r="BO87" s="84">
        <f t="shared" si="2472"/>
        <v>7508968</v>
      </c>
      <c r="BP87" s="84">
        <f t="shared" si="2472"/>
        <v>7508968</v>
      </c>
      <c r="BQ87" s="84">
        <f t="shared" si="2472"/>
        <v>7447608</v>
      </c>
      <c r="BR87" s="84">
        <f t="shared" ref="BR87:CI87" si="2473">BW82</f>
        <v>7447608</v>
      </c>
      <c r="BS87" s="84">
        <f t="shared" si="2473"/>
        <v>7447608</v>
      </c>
      <c r="BT87" s="84">
        <f t="shared" si="2473"/>
        <v>7447608</v>
      </c>
      <c r="BU87" s="84">
        <f t="shared" si="2473"/>
        <v>7386753</v>
      </c>
      <c r="BV87" s="84">
        <f t="shared" si="2473"/>
        <v>7386753</v>
      </c>
      <c r="BW87" s="84">
        <f t="shared" si="2473"/>
        <v>7386753</v>
      </c>
      <c r="BX87" s="84">
        <f t="shared" si="2473"/>
        <v>7386753</v>
      </c>
      <c r="BY87" s="84">
        <f t="shared" si="2473"/>
        <v>7326396</v>
      </c>
      <c r="BZ87" s="84">
        <f t="shared" si="2473"/>
        <v>7326396</v>
      </c>
      <c r="CA87" s="84">
        <f t="shared" si="2473"/>
        <v>7326396</v>
      </c>
      <c r="CB87" s="84">
        <f t="shared" si="2473"/>
        <v>7326396</v>
      </c>
      <c r="CC87" s="84">
        <f t="shared" si="2473"/>
        <v>7266531</v>
      </c>
      <c r="CD87" s="84">
        <f t="shared" si="2473"/>
        <v>7266531</v>
      </c>
      <c r="CE87" s="84">
        <f t="shared" si="2473"/>
        <v>7266531</v>
      </c>
      <c r="CF87" s="84">
        <f t="shared" si="2473"/>
        <v>7266531</v>
      </c>
      <c r="CG87" s="84">
        <f t="shared" si="2473"/>
        <v>7207156</v>
      </c>
      <c r="CH87" s="84">
        <f t="shared" si="2473"/>
        <v>7207156</v>
      </c>
      <c r="CI87" s="84">
        <f t="shared" si="2473"/>
        <v>7207156</v>
      </c>
      <c r="CJ87" s="84">
        <f>CO82</f>
        <v>7207156</v>
      </c>
      <c r="CK87" s="84">
        <f t="shared" ref="CK87:CV87" si="2474">CP82</f>
        <v>7148268</v>
      </c>
      <c r="CL87" s="84">
        <f t="shared" si="2474"/>
        <v>7148268</v>
      </c>
      <c r="CM87" s="84">
        <f t="shared" si="2474"/>
        <v>7148268</v>
      </c>
      <c r="CN87" s="84">
        <f t="shared" si="2474"/>
        <v>7148268</v>
      </c>
      <c r="CO87" s="84">
        <f t="shared" si="2474"/>
        <v>7089861</v>
      </c>
      <c r="CP87" s="84">
        <f t="shared" si="2474"/>
        <v>7089861</v>
      </c>
      <c r="CQ87" s="84">
        <f t="shared" si="2474"/>
        <v>7089861</v>
      </c>
      <c r="CR87" s="84">
        <f t="shared" si="2474"/>
        <v>7089861</v>
      </c>
      <c r="CS87" s="84">
        <f t="shared" si="2474"/>
        <v>7031926</v>
      </c>
      <c r="CT87" s="84">
        <f t="shared" si="2474"/>
        <v>7031926</v>
      </c>
      <c r="CU87" s="84">
        <f t="shared" si="2474"/>
        <v>7031926</v>
      </c>
      <c r="CV87" s="84">
        <f t="shared" si="2474"/>
        <v>7031926</v>
      </c>
      <c r="CW87" s="84">
        <f t="shared" ref="CW87" si="2475">DB82</f>
        <v>6974468</v>
      </c>
      <c r="CX87" s="84">
        <f t="shared" ref="CX87" si="2476">DC82</f>
        <v>6974468</v>
      </c>
      <c r="CY87" s="84">
        <f t="shared" ref="CY87" si="2477">DD82</f>
        <v>6974468</v>
      </c>
      <c r="CZ87" s="84">
        <f t="shared" ref="CZ87" si="2478">DE82</f>
        <v>6974468</v>
      </c>
      <c r="DA87" s="84">
        <f t="shared" ref="DA87" si="2479">DF82</f>
        <v>6917482</v>
      </c>
      <c r="DB87" s="84">
        <f t="shared" ref="DB87" si="2480">DG82</f>
        <v>6917482</v>
      </c>
      <c r="DC87" s="84">
        <f t="shared" ref="DC87" si="2481">DH82</f>
        <v>6917482</v>
      </c>
      <c r="DD87" s="84">
        <f t="shared" ref="DD87" si="2482">DI82</f>
        <v>6917482</v>
      </c>
      <c r="DE87" s="84">
        <f t="shared" ref="DE87" si="2483">DJ82</f>
        <v>6860954</v>
      </c>
      <c r="DF87" s="84">
        <f t="shared" ref="DF87" si="2484">DK82</f>
        <v>6860954</v>
      </c>
      <c r="DG87" s="84">
        <f t="shared" ref="DG87" si="2485">DL82</f>
        <v>6860954</v>
      </c>
      <c r="DH87" s="84">
        <f t="shared" ref="DH87" si="2486">DM82</f>
        <v>6860954</v>
      </c>
      <c r="DI87" s="84">
        <f t="shared" ref="DI87" si="2487">DN82</f>
        <v>6804895</v>
      </c>
      <c r="DJ87" s="84">
        <f t="shared" ref="DJ87" si="2488">DO82</f>
        <v>6804895</v>
      </c>
      <c r="DK87" s="84">
        <f t="shared" ref="DK87" si="2489">DP82</f>
        <v>6804895</v>
      </c>
      <c r="DL87" s="84">
        <f t="shared" ref="DL87" si="2490">DQ82</f>
        <v>6804895</v>
      </c>
      <c r="DM87" s="84">
        <f t="shared" ref="DM87" si="2491">DR82</f>
        <v>6749294</v>
      </c>
      <c r="DN87" s="84">
        <f t="shared" ref="DN87" si="2492">DS82</f>
        <v>6749294</v>
      </c>
      <c r="DO87" s="84">
        <f t="shared" ref="DO87" si="2493">DT82</f>
        <v>6749294</v>
      </c>
      <c r="DP87" s="84">
        <f t="shared" ref="DP87" si="2494">DU82</f>
        <v>6749294</v>
      </c>
      <c r="DQ87" s="84">
        <f t="shared" ref="DQ87" si="2495">DV82</f>
        <v>6694148</v>
      </c>
      <c r="DR87" s="84">
        <f t="shared" ref="DR87" si="2496">DW82</f>
        <v>6694148</v>
      </c>
      <c r="DS87" s="84">
        <f t="shared" ref="DS87" si="2497">DX82</f>
        <v>6694148</v>
      </c>
      <c r="DT87" s="84">
        <f t="shared" ref="DT87" si="2498">DY82</f>
        <v>6694148</v>
      </c>
      <c r="DU87" s="84">
        <f t="shared" ref="DU87" si="2499">DZ82</f>
        <v>6639449</v>
      </c>
      <c r="DV87" s="84">
        <f t="shared" ref="DV87" si="2500">EA82</f>
        <v>6639449</v>
      </c>
      <c r="DW87" s="84">
        <f t="shared" ref="DW87" si="2501">EB82</f>
        <v>6639449</v>
      </c>
      <c r="DX87" s="84">
        <f t="shared" ref="DX87" si="2502">EC82</f>
        <v>6639449</v>
      </c>
      <c r="DY87" s="84">
        <f t="shared" ref="DY87" si="2503">ED82</f>
        <v>6585197</v>
      </c>
      <c r="DZ87" s="84">
        <f t="shared" ref="DZ87" si="2504">EE82</f>
        <v>6585197</v>
      </c>
      <c r="EA87" s="84">
        <f t="shared" ref="EA87" si="2505">EF82</f>
        <v>6585197</v>
      </c>
      <c r="EB87" s="84">
        <f t="shared" ref="EB87" si="2506">EG82</f>
        <v>6585197</v>
      </c>
      <c r="EC87" s="84">
        <f t="shared" ref="EC87" si="2507">EH82</f>
        <v>6531392</v>
      </c>
      <c r="ED87" s="84">
        <f t="shared" ref="ED87" si="2508">EI82</f>
        <v>6531392</v>
      </c>
      <c r="EE87" s="84">
        <f t="shared" ref="EE87" si="2509">EJ82</f>
        <v>6531392</v>
      </c>
      <c r="EF87" s="84">
        <f t="shared" ref="EF87" si="2510">EK82</f>
        <v>6531392</v>
      </c>
      <c r="EG87" s="84">
        <f t="shared" ref="EG87" si="2511">EL82</f>
        <v>6478021</v>
      </c>
      <c r="EH87" s="84">
        <f t="shared" ref="EH87" si="2512">EM82</f>
        <v>6478021</v>
      </c>
      <c r="EI87" s="84">
        <f t="shared" ref="EI87" si="2513">EN82</f>
        <v>6478021</v>
      </c>
      <c r="EJ87" s="84">
        <f t="shared" ref="EJ87" si="2514">EO82</f>
        <v>6478021</v>
      </c>
      <c r="EK87" s="84">
        <f t="shared" ref="EK87" si="2515">EP82</f>
        <v>6425087</v>
      </c>
      <c r="EL87" s="84">
        <f t="shared" ref="EL87" si="2516">EQ82</f>
        <v>6425087</v>
      </c>
      <c r="EM87" s="84">
        <f t="shared" ref="EM87" si="2517">ER82</f>
        <v>6425087</v>
      </c>
      <c r="EN87" s="84">
        <f t="shared" ref="EN87" si="2518">ES82</f>
        <v>6425087</v>
      </c>
      <c r="EO87" s="85">
        <f t="shared" ref="EO87:EO94" si="2519">SUM(E87:EN87)</f>
        <v>1037082622</v>
      </c>
      <c r="EP87" s="72"/>
      <c r="EQ87" s="72"/>
      <c r="ER87" s="72"/>
      <c r="ES87" s="72"/>
      <c r="ET87" s="72"/>
      <c r="EU87" s="72"/>
      <c r="EV87" s="72"/>
      <c r="EW87" s="72"/>
      <c r="EX87" s="72"/>
      <c r="EY87" s="72"/>
      <c r="EZ87" s="72"/>
      <c r="FA87" s="72"/>
      <c r="FB87" s="72"/>
      <c r="FC87" s="72"/>
      <c r="FD87" s="72"/>
      <c r="FE87" s="72"/>
      <c r="FF87" s="72"/>
      <c r="FG87" s="72"/>
      <c r="FH87" s="72"/>
      <c r="FI87" s="72"/>
      <c r="FJ87" s="72"/>
      <c r="FK87" s="72"/>
      <c r="FL87" s="72"/>
      <c r="FM87" s="72"/>
      <c r="FN87" s="72"/>
      <c r="FO87" s="72"/>
      <c r="FP87" s="72"/>
      <c r="FQ87" s="72"/>
      <c r="FR87" s="72"/>
      <c r="FS87" s="72"/>
      <c r="FT87" s="72"/>
      <c r="FU87" s="72"/>
      <c r="FV87" s="72"/>
      <c r="FW87" s="72"/>
      <c r="FX87" s="72"/>
      <c r="FY87" s="72"/>
      <c r="FZ87" s="72"/>
      <c r="GA87" s="72"/>
      <c r="GB87" s="72"/>
      <c r="GC87" s="72"/>
      <c r="GD87" s="72"/>
      <c r="GE87" s="72"/>
      <c r="GF87" s="72"/>
      <c r="GG87" s="72"/>
      <c r="GH87" s="72"/>
      <c r="GI87" s="72"/>
      <c r="GJ87" s="72"/>
      <c r="GK87" s="72"/>
      <c r="GL87" s="72"/>
      <c r="GM87" s="72"/>
      <c r="GN87" s="72"/>
      <c r="GO87" s="72"/>
      <c r="GP87" s="72"/>
      <c r="GQ87" s="72"/>
      <c r="GR87" s="72"/>
      <c r="GS87" s="72"/>
      <c r="GT87" s="72"/>
      <c r="GU87" s="72"/>
      <c r="GV87" s="72"/>
      <c r="GW87" s="72"/>
      <c r="GX87" s="73"/>
    </row>
    <row r="88" spans="1:268" s="74" customFormat="1" ht="14.25">
      <c r="A88" s="68"/>
      <c r="B88" s="18" t="s">
        <v>793</v>
      </c>
      <c r="C88" s="18"/>
      <c r="D88" s="89"/>
      <c r="E88" s="90">
        <f>ROUND(前3年整理!C32/4,0)</f>
        <v>49</v>
      </c>
      <c r="F88" s="90">
        <f t="shared" ref="F88:H89" si="2520">E88</f>
        <v>49</v>
      </c>
      <c r="G88" s="90">
        <f t="shared" si="2520"/>
        <v>49</v>
      </c>
      <c r="H88" s="359">
        <f t="shared" si="2520"/>
        <v>49</v>
      </c>
      <c r="I88" s="90">
        <f t="shared" ref="I88:BT88" si="2521">H88</f>
        <v>49</v>
      </c>
      <c r="J88" s="90">
        <f t="shared" si="2521"/>
        <v>49</v>
      </c>
      <c r="K88" s="90">
        <f t="shared" si="2521"/>
        <v>49</v>
      </c>
      <c r="L88" s="90">
        <f t="shared" si="2521"/>
        <v>49</v>
      </c>
      <c r="M88" s="90">
        <f t="shared" si="2521"/>
        <v>49</v>
      </c>
      <c r="N88" s="90">
        <f t="shared" si="2521"/>
        <v>49</v>
      </c>
      <c r="O88" s="90">
        <f t="shared" si="2521"/>
        <v>49</v>
      </c>
      <c r="P88" s="90">
        <f t="shared" si="2521"/>
        <v>49</v>
      </c>
      <c r="Q88" s="90">
        <f t="shared" si="2521"/>
        <v>49</v>
      </c>
      <c r="R88" s="90">
        <f t="shared" si="2521"/>
        <v>49</v>
      </c>
      <c r="S88" s="90">
        <f t="shared" si="2521"/>
        <v>49</v>
      </c>
      <c r="T88" s="90">
        <f t="shared" si="2521"/>
        <v>49</v>
      </c>
      <c r="U88" s="90">
        <f t="shared" si="2521"/>
        <v>49</v>
      </c>
      <c r="V88" s="90">
        <f t="shared" si="2521"/>
        <v>49</v>
      </c>
      <c r="W88" s="90">
        <f t="shared" si="2521"/>
        <v>49</v>
      </c>
      <c r="X88" s="90">
        <f t="shared" si="2521"/>
        <v>49</v>
      </c>
      <c r="Y88" s="90">
        <f t="shared" si="2521"/>
        <v>49</v>
      </c>
      <c r="Z88" s="90">
        <f t="shared" si="2521"/>
        <v>49</v>
      </c>
      <c r="AA88" s="90">
        <f t="shared" si="2521"/>
        <v>49</v>
      </c>
      <c r="AB88" s="90">
        <f t="shared" si="2521"/>
        <v>49</v>
      </c>
      <c r="AC88" s="90">
        <f t="shared" si="2521"/>
        <v>49</v>
      </c>
      <c r="AD88" s="90">
        <f t="shared" si="2521"/>
        <v>49</v>
      </c>
      <c r="AE88" s="90">
        <f t="shared" si="2521"/>
        <v>49</v>
      </c>
      <c r="AF88" s="90">
        <f t="shared" si="2521"/>
        <v>49</v>
      </c>
      <c r="AG88" s="90">
        <f t="shared" si="2521"/>
        <v>49</v>
      </c>
      <c r="AH88" s="90">
        <f t="shared" si="2521"/>
        <v>49</v>
      </c>
      <c r="AI88" s="90">
        <f t="shared" si="2521"/>
        <v>49</v>
      </c>
      <c r="AJ88" s="90">
        <f t="shared" si="2521"/>
        <v>49</v>
      </c>
      <c r="AK88" s="90">
        <f t="shared" si="2521"/>
        <v>49</v>
      </c>
      <c r="AL88" s="90">
        <f t="shared" si="2521"/>
        <v>49</v>
      </c>
      <c r="AM88" s="90">
        <f t="shared" si="2521"/>
        <v>49</v>
      </c>
      <c r="AN88" s="90">
        <f t="shared" si="2521"/>
        <v>49</v>
      </c>
      <c r="AO88" s="90">
        <f t="shared" si="2521"/>
        <v>49</v>
      </c>
      <c r="AP88" s="90">
        <f t="shared" si="2521"/>
        <v>49</v>
      </c>
      <c r="AQ88" s="90">
        <f t="shared" si="2521"/>
        <v>49</v>
      </c>
      <c r="AR88" s="90">
        <f t="shared" si="2521"/>
        <v>49</v>
      </c>
      <c r="AS88" s="90">
        <f t="shared" si="2521"/>
        <v>49</v>
      </c>
      <c r="AT88" s="90">
        <f t="shared" si="2521"/>
        <v>49</v>
      </c>
      <c r="AU88" s="90">
        <f t="shared" si="2521"/>
        <v>49</v>
      </c>
      <c r="AV88" s="90">
        <f t="shared" si="2521"/>
        <v>49</v>
      </c>
      <c r="AW88" s="90">
        <f t="shared" si="2521"/>
        <v>49</v>
      </c>
      <c r="AX88" s="90">
        <f t="shared" si="2521"/>
        <v>49</v>
      </c>
      <c r="AY88" s="90">
        <f t="shared" si="2521"/>
        <v>49</v>
      </c>
      <c r="AZ88" s="90">
        <f t="shared" si="2521"/>
        <v>49</v>
      </c>
      <c r="BA88" s="90">
        <f t="shared" si="2521"/>
        <v>49</v>
      </c>
      <c r="BB88" s="90">
        <f t="shared" si="2521"/>
        <v>49</v>
      </c>
      <c r="BC88" s="90">
        <f t="shared" si="2521"/>
        <v>49</v>
      </c>
      <c r="BD88" s="90">
        <f t="shared" si="2521"/>
        <v>49</v>
      </c>
      <c r="BE88" s="90">
        <f t="shared" si="2521"/>
        <v>49</v>
      </c>
      <c r="BF88" s="90">
        <f t="shared" si="2521"/>
        <v>49</v>
      </c>
      <c r="BG88" s="90">
        <f t="shared" si="2521"/>
        <v>49</v>
      </c>
      <c r="BH88" s="90">
        <f t="shared" si="2521"/>
        <v>49</v>
      </c>
      <c r="BI88" s="90">
        <f t="shared" si="2521"/>
        <v>49</v>
      </c>
      <c r="BJ88" s="90">
        <f t="shared" si="2521"/>
        <v>49</v>
      </c>
      <c r="BK88" s="90">
        <f t="shared" si="2521"/>
        <v>49</v>
      </c>
      <c r="BL88" s="90">
        <f t="shared" si="2521"/>
        <v>49</v>
      </c>
      <c r="BM88" s="90">
        <f t="shared" si="2521"/>
        <v>49</v>
      </c>
      <c r="BN88" s="90">
        <f t="shared" si="2521"/>
        <v>49</v>
      </c>
      <c r="BO88" s="90">
        <f t="shared" si="2521"/>
        <v>49</v>
      </c>
      <c r="BP88" s="90">
        <f t="shared" si="2521"/>
        <v>49</v>
      </c>
      <c r="BQ88" s="90">
        <f t="shared" si="2521"/>
        <v>49</v>
      </c>
      <c r="BR88" s="90">
        <f t="shared" si="2521"/>
        <v>49</v>
      </c>
      <c r="BS88" s="90">
        <f t="shared" si="2521"/>
        <v>49</v>
      </c>
      <c r="BT88" s="90">
        <f t="shared" si="2521"/>
        <v>49</v>
      </c>
      <c r="BU88" s="90">
        <f t="shared" ref="BU88:CI88" si="2522">BT88</f>
        <v>49</v>
      </c>
      <c r="BV88" s="90">
        <f t="shared" si="2522"/>
        <v>49</v>
      </c>
      <c r="BW88" s="90">
        <f t="shared" si="2522"/>
        <v>49</v>
      </c>
      <c r="BX88" s="90">
        <f t="shared" si="2522"/>
        <v>49</v>
      </c>
      <c r="BY88" s="90">
        <f t="shared" si="2522"/>
        <v>49</v>
      </c>
      <c r="BZ88" s="90">
        <f t="shared" si="2522"/>
        <v>49</v>
      </c>
      <c r="CA88" s="90">
        <f t="shared" si="2522"/>
        <v>49</v>
      </c>
      <c r="CB88" s="90">
        <f t="shared" si="2522"/>
        <v>49</v>
      </c>
      <c r="CC88" s="90">
        <f t="shared" si="2522"/>
        <v>49</v>
      </c>
      <c r="CD88" s="90">
        <f t="shared" si="2522"/>
        <v>49</v>
      </c>
      <c r="CE88" s="90">
        <f t="shared" si="2522"/>
        <v>49</v>
      </c>
      <c r="CF88" s="90">
        <f t="shared" si="2522"/>
        <v>49</v>
      </c>
      <c r="CG88" s="90">
        <f t="shared" si="2522"/>
        <v>49</v>
      </c>
      <c r="CH88" s="90">
        <f t="shared" si="2522"/>
        <v>49</v>
      </c>
      <c r="CI88" s="90">
        <f t="shared" si="2522"/>
        <v>49</v>
      </c>
      <c r="CJ88" s="90">
        <f>CI88</f>
        <v>49</v>
      </c>
      <c r="CK88" s="90">
        <f t="shared" ref="CK88:CV88" si="2523">CJ88</f>
        <v>49</v>
      </c>
      <c r="CL88" s="90">
        <f t="shared" si="2523"/>
        <v>49</v>
      </c>
      <c r="CM88" s="90">
        <f t="shared" si="2523"/>
        <v>49</v>
      </c>
      <c r="CN88" s="90">
        <f t="shared" si="2523"/>
        <v>49</v>
      </c>
      <c r="CO88" s="90">
        <f t="shared" si="2523"/>
        <v>49</v>
      </c>
      <c r="CP88" s="90">
        <f t="shared" si="2523"/>
        <v>49</v>
      </c>
      <c r="CQ88" s="90">
        <f t="shared" si="2523"/>
        <v>49</v>
      </c>
      <c r="CR88" s="90">
        <f t="shared" si="2523"/>
        <v>49</v>
      </c>
      <c r="CS88" s="90">
        <f t="shared" si="2523"/>
        <v>49</v>
      </c>
      <c r="CT88" s="90">
        <f t="shared" si="2523"/>
        <v>49</v>
      </c>
      <c r="CU88" s="90">
        <f t="shared" si="2523"/>
        <v>49</v>
      </c>
      <c r="CV88" s="90">
        <f t="shared" si="2523"/>
        <v>49</v>
      </c>
      <c r="CW88" s="90">
        <f t="shared" ref="CW88:CW89" si="2524">CV88</f>
        <v>49</v>
      </c>
      <c r="CX88" s="90">
        <f t="shared" ref="CX88:CX89" si="2525">CW88</f>
        <v>49</v>
      </c>
      <c r="CY88" s="90">
        <f t="shared" ref="CY88:CY89" si="2526">CX88</f>
        <v>49</v>
      </c>
      <c r="CZ88" s="90">
        <f t="shared" ref="CZ88:CZ89" si="2527">CY88</f>
        <v>49</v>
      </c>
      <c r="DA88" s="90">
        <f t="shared" ref="DA88:DA89" si="2528">CZ88</f>
        <v>49</v>
      </c>
      <c r="DB88" s="90">
        <f t="shared" ref="DB88:DB89" si="2529">DA88</f>
        <v>49</v>
      </c>
      <c r="DC88" s="90">
        <f t="shared" ref="DC88:DC89" si="2530">DB88</f>
        <v>49</v>
      </c>
      <c r="DD88" s="90">
        <f t="shared" ref="DD88:DD89" si="2531">DC88</f>
        <v>49</v>
      </c>
      <c r="DE88" s="90">
        <f t="shared" ref="DE88:DE89" si="2532">DD88</f>
        <v>49</v>
      </c>
      <c r="DF88" s="90">
        <f t="shared" ref="DF88:DF89" si="2533">DE88</f>
        <v>49</v>
      </c>
      <c r="DG88" s="90">
        <f t="shared" ref="DG88:DG89" si="2534">DF88</f>
        <v>49</v>
      </c>
      <c r="DH88" s="90">
        <f t="shared" ref="DH88:DH89" si="2535">DG88</f>
        <v>49</v>
      </c>
      <c r="DI88" s="90">
        <f t="shared" ref="DI88:DI89" si="2536">DH88</f>
        <v>49</v>
      </c>
      <c r="DJ88" s="90">
        <f t="shared" ref="DJ88:DJ89" si="2537">DI88</f>
        <v>49</v>
      </c>
      <c r="DK88" s="90">
        <f t="shared" ref="DK88:DK89" si="2538">DJ88</f>
        <v>49</v>
      </c>
      <c r="DL88" s="90">
        <f t="shared" ref="DL88:DL89" si="2539">DK88</f>
        <v>49</v>
      </c>
      <c r="DM88" s="90">
        <f t="shared" ref="DM88:DM89" si="2540">DL88</f>
        <v>49</v>
      </c>
      <c r="DN88" s="90">
        <f t="shared" ref="DN88:DN89" si="2541">DM88</f>
        <v>49</v>
      </c>
      <c r="DO88" s="90">
        <f t="shared" ref="DO88:DO89" si="2542">DN88</f>
        <v>49</v>
      </c>
      <c r="DP88" s="90">
        <f t="shared" ref="DP88:DP89" si="2543">DO88</f>
        <v>49</v>
      </c>
      <c r="DQ88" s="90">
        <f t="shared" ref="DQ88:DQ89" si="2544">DP88</f>
        <v>49</v>
      </c>
      <c r="DR88" s="90">
        <f t="shared" ref="DR88:DR89" si="2545">DQ88</f>
        <v>49</v>
      </c>
      <c r="DS88" s="90">
        <f t="shared" ref="DS88:DS89" si="2546">DR88</f>
        <v>49</v>
      </c>
      <c r="DT88" s="90">
        <f t="shared" ref="DT88:DT89" si="2547">DS88</f>
        <v>49</v>
      </c>
      <c r="DU88" s="90">
        <f t="shared" ref="DU88:DU89" si="2548">DT88</f>
        <v>49</v>
      </c>
      <c r="DV88" s="90">
        <f t="shared" ref="DV88:DV89" si="2549">DU88</f>
        <v>49</v>
      </c>
      <c r="DW88" s="90">
        <f t="shared" ref="DW88:DW89" si="2550">DV88</f>
        <v>49</v>
      </c>
      <c r="DX88" s="90">
        <f t="shared" ref="DX88:DX89" si="2551">DW88</f>
        <v>49</v>
      </c>
      <c r="DY88" s="90">
        <f t="shared" ref="DY88:DY89" si="2552">DX88</f>
        <v>49</v>
      </c>
      <c r="DZ88" s="90">
        <f t="shared" ref="DZ88:DZ89" si="2553">DY88</f>
        <v>49</v>
      </c>
      <c r="EA88" s="90">
        <f t="shared" ref="EA88:EA89" si="2554">DZ88</f>
        <v>49</v>
      </c>
      <c r="EB88" s="90">
        <f t="shared" ref="EB88:EB89" si="2555">EA88</f>
        <v>49</v>
      </c>
      <c r="EC88" s="90">
        <f t="shared" ref="EC88:EC89" si="2556">EB88</f>
        <v>49</v>
      </c>
      <c r="ED88" s="90">
        <f t="shared" ref="ED88:ED89" si="2557">EC88</f>
        <v>49</v>
      </c>
      <c r="EE88" s="90">
        <f t="shared" ref="EE88:EE89" si="2558">ED88</f>
        <v>49</v>
      </c>
      <c r="EF88" s="90">
        <f t="shared" ref="EF88:EF89" si="2559">EE88</f>
        <v>49</v>
      </c>
      <c r="EG88" s="90">
        <f t="shared" ref="EG88:EG89" si="2560">EF88</f>
        <v>49</v>
      </c>
      <c r="EH88" s="90">
        <f t="shared" ref="EH88:EH89" si="2561">EG88</f>
        <v>49</v>
      </c>
      <c r="EI88" s="90">
        <f t="shared" ref="EI88:EI89" si="2562">EH88</f>
        <v>49</v>
      </c>
      <c r="EJ88" s="90">
        <f t="shared" ref="EJ88" si="2563">EI88</f>
        <v>49</v>
      </c>
      <c r="EK88" s="90">
        <f t="shared" ref="EK88:EK89" si="2564">EJ88</f>
        <v>49</v>
      </c>
      <c r="EL88" s="90">
        <f t="shared" ref="EL88:EL89" si="2565">EK88</f>
        <v>49</v>
      </c>
      <c r="EM88" s="90">
        <f t="shared" ref="EM88:EM89" si="2566">EL88</f>
        <v>49</v>
      </c>
      <c r="EN88" s="90">
        <f t="shared" ref="EN88:EN89" si="2567">EM88</f>
        <v>49</v>
      </c>
      <c r="EO88" s="85">
        <f t="shared" si="2519"/>
        <v>6860</v>
      </c>
      <c r="EP88" s="72"/>
      <c r="EQ88" s="72"/>
      <c r="ER88" s="72"/>
      <c r="ES88" s="72"/>
      <c r="ET88" s="72"/>
      <c r="EU88" s="72"/>
      <c r="EV88" s="72"/>
      <c r="EW88" s="72"/>
      <c r="EX88" s="72"/>
      <c r="EY88" s="72"/>
      <c r="EZ88" s="72"/>
      <c r="FA88" s="72"/>
      <c r="FB88" s="72"/>
      <c r="FC88" s="72"/>
      <c r="FD88" s="72"/>
      <c r="FE88" s="72"/>
      <c r="FF88" s="72"/>
      <c r="FG88" s="72"/>
      <c r="FH88" s="72"/>
      <c r="FI88" s="72"/>
      <c r="FJ88" s="72"/>
      <c r="FK88" s="72"/>
      <c r="FL88" s="72"/>
      <c r="FM88" s="72"/>
      <c r="FN88" s="72"/>
      <c r="FO88" s="72"/>
      <c r="FP88" s="72"/>
      <c r="FQ88" s="72"/>
      <c r="FR88" s="72"/>
      <c r="FS88" s="72"/>
      <c r="FT88" s="72"/>
      <c r="FU88" s="72"/>
      <c r="FV88" s="72"/>
      <c r="FW88" s="72"/>
      <c r="FX88" s="72"/>
      <c r="FY88" s="72"/>
      <c r="FZ88" s="72"/>
      <c r="GA88" s="72"/>
      <c r="GB88" s="72"/>
      <c r="GC88" s="72"/>
      <c r="GD88" s="72"/>
      <c r="GE88" s="72"/>
      <c r="GF88" s="72"/>
      <c r="GG88" s="72"/>
      <c r="GH88" s="72"/>
      <c r="GI88" s="72"/>
      <c r="GJ88" s="72"/>
      <c r="GK88" s="72"/>
      <c r="GL88" s="72"/>
      <c r="GM88" s="72"/>
      <c r="GN88" s="72"/>
      <c r="GO88" s="72"/>
      <c r="GP88" s="72"/>
      <c r="GQ88" s="72"/>
      <c r="GR88" s="72"/>
      <c r="GS88" s="72"/>
      <c r="GT88" s="72"/>
      <c r="GU88" s="72"/>
      <c r="GV88" s="72"/>
      <c r="GW88" s="72"/>
      <c r="GX88" s="73"/>
    </row>
    <row r="89" spans="1:268" s="74" customFormat="1" ht="14.25">
      <c r="A89" s="68"/>
      <c r="B89" s="18" t="s">
        <v>794</v>
      </c>
      <c r="C89" s="18"/>
      <c r="D89" s="83"/>
      <c r="E89" s="84">
        <f>ROUND(取值表!$J$6*(地下仓储现金流!E87+地下仓储现金流!F87+地下仓储现金流!G87+地下仓储现金流!H87)/4*1.5%,0)</f>
        <v>25136</v>
      </c>
      <c r="F89" s="84">
        <f t="shared" si="2520"/>
        <v>25136</v>
      </c>
      <c r="G89" s="84">
        <f t="shared" si="2520"/>
        <v>25136</v>
      </c>
      <c r="H89" s="358">
        <f t="shared" si="2520"/>
        <v>25136</v>
      </c>
      <c r="I89" s="84">
        <f>ROUND(取值表!$J$6*(地下仓储现金流!I87+地下仓储现金流!J87+地下仓储现金流!K87+地下仓储现金流!L87)/4*1.5%,0)</f>
        <v>25165</v>
      </c>
      <c r="J89" s="84">
        <f t="shared" ref="J89:L89" si="2568">I89</f>
        <v>25165</v>
      </c>
      <c r="K89" s="84">
        <f t="shared" si="2568"/>
        <v>25165</v>
      </c>
      <c r="L89" s="84">
        <f t="shared" si="2568"/>
        <v>25165</v>
      </c>
      <c r="M89" s="84">
        <f>ROUND(取值表!$J$6*(地下仓储现金流!M87+地下仓储现金流!N87+地下仓储现金流!O87+地下仓储现金流!P87)/4*1.5%,0)</f>
        <v>25044</v>
      </c>
      <c r="N89" s="84">
        <f t="shared" ref="N89:P89" si="2569">M89</f>
        <v>25044</v>
      </c>
      <c r="O89" s="84">
        <f t="shared" si="2569"/>
        <v>25044</v>
      </c>
      <c r="P89" s="84">
        <f t="shared" si="2569"/>
        <v>25044</v>
      </c>
      <c r="Q89" s="84">
        <f>ROUND(取值表!$J$6*(地下仓储现金流!Q87+地下仓储现金流!R87+地下仓储现金流!S87+地下仓储现金流!T87)/4*1.5%,0)</f>
        <v>24858</v>
      </c>
      <c r="R89" s="84">
        <f t="shared" ref="R89:T89" si="2570">Q89</f>
        <v>24858</v>
      </c>
      <c r="S89" s="84">
        <f t="shared" si="2570"/>
        <v>24858</v>
      </c>
      <c r="T89" s="84">
        <f t="shared" si="2570"/>
        <v>24858</v>
      </c>
      <c r="U89" s="84">
        <f>ROUND(取值表!$J$6*(地下仓储现金流!U87+地下仓储现金流!V87+地下仓储现金流!W87+地下仓储现金流!X87)/4*1.5%,0)</f>
        <v>24655</v>
      </c>
      <c r="V89" s="84">
        <f t="shared" ref="V89:X89" si="2571">U89</f>
        <v>24655</v>
      </c>
      <c r="W89" s="84">
        <f t="shared" si="2571"/>
        <v>24655</v>
      </c>
      <c r="X89" s="84">
        <f t="shared" si="2571"/>
        <v>24655</v>
      </c>
      <c r="Y89" s="84">
        <f>ROUND(取值表!$J$6*(地下仓储现金流!Y87+地下仓储现金流!Z87+地下仓储现金流!AA87+地下仓储现金流!AB87)/4*1.5%,0)</f>
        <v>24453</v>
      </c>
      <c r="Z89" s="84">
        <f t="shared" ref="Z89:AB89" si="2572">Y89</f>
        <v>24453</v>
      </c>
      <c r="AA89" s="84">
        <f t="shared" si="2572"/>
        <v>24453</v>
      </c>
      <c r="AB89" s="84">
        <f t="shared" si="2572"/>
        <v>24453</v>
      </c>
      <c r="AC89" s="84">
        <f>ROUND(取值表!$J$6*(地下仓储现金流!AC87+地下仓储现金流!AD87+地下仓储现金流!AE87+地下仓储现金流!AF87)/4*1.5%,0)</f>
        <v>24253</v>
      </c>
      <c r="AD89" s="84">
        <f t="shared" ref="AD89:AF89" si="2573">AC89</f>
        <v>24253</v>
      </c>
      <c r="AE89" s="84">
        <f t="shared" si="2573"/>
        <v>24253</v>
      </c>
      <c r="AF89" s="84">
        <f t="shared" si="2573"/>
        <v>24253</v>
      </c>
      <c r="AG89" s="84">
        <f>ROUND(取值表!$J$6*(地下仓储现金流!AG87+地下仓储现金流!AH87+地下仓储现金流!AI87+地下仓储现金流!AJ87)/4*1.5%,0)</f>
        <v>24055</v>
      </c>
      <c r="AH89" s="84">
        <f t="shared" ref="AH89:AJ89" si="2574">AG89</f>
        <v>24055</v>
      </c>
      <c r="AI89" s="84">
        <f t="shared" si="2574"/>
        <v>24055</v>
      </c>
      <c r="AJ89" s="84">
        <f t="shared" si="2574"/>
        <v>24055</v>
      </c>
      <c r="AK89" s="84">
        <f>ROUND(取值表!$J$6*(地下仓储现金流!AK87+地下仓储现金流!AL87+地下仓储现金流!AM87+地下仓储现金流!AN87)/4*1.5%,0)</f>
        <v>23859</v>
      </c>
      <c r="AL89" s="84">
        <f t="shared" ref="AL89:AN89" si="2575">AK89</f>
        <v>23859</v>
      </c>
      <c r="AM89" s="84">
        <f t="shared" si="2575"/>
        <v>23859</v>
      </c>
      <c r="AN89" s="84">
        <f t="shared" si="2575"/>
        <v>23859</v>
      </c>
      <c r="AO89" s="84">
        <f>ROUND(取值表!$J$6*(地下仓储现金流!AO87+地下仓储现金流!AP87+地下仓储现金流!AQ87+地下仓储现金流!AR87)/4*1.5%,0)</f>
        <v>23664</v>
      </c>
      <c r="AP89" s="84">
        <f t="shared" ref="AP89:AR89" si="2576">AO89</f>
        <v>23664</v>
      </c>
      <c r="AQ89" s="84">
        <f t="shared" si="2576"/>
        <v>23664</v>
      </c>
      <c r="AR89" s="84">
        <f t="shared" si="2576"/>
        <v>23664</v>
      </c>
      <c r="AS89" s="84">
        <f>ROUND(取值表!$J$6*(地下仓储现金流!AS87+地下仓储现金流!AT87+地下仓储现金流!AU87+地下仓储现金流!AV87)/4*1.5%,0)</f>
        <v>23470</v>
      </c>
      <c r="AT89" s="84">
        <f t="shared" ref="AT89:AV89" si="2577">AS89</f>
        <v>23470</v>
      </c>
      <c r="AU89" s="84">
        <f t="shared" si="2577"/>
        <v>23470</v>
      </c>
      <c r="AV89" s="84">
        <f t="shared" si="2577"/>
        <v>23470</v>
      </c>
      <c r="AW89" s="84">
        <f>ROUND(取值表!$J$6*(地下仓储现金流!AW87+地下仓储现金流!AX87+地下仓储现金流!AY87+地下仓储现金流!AZ87)/4*1.5%,0)</f>
        <v>23278</v>
      </c>
      <c r="AX89" s="84">
        <f t="shared" ref="AX89:AZ89" si="2578">AW89</f>
        <v>23278</v>
      </c>
      <c r="AY89" s="84">
        <f t="shared" si="2578"/>
        <v>23278</v>
      </c>
      <c r="AZ89" s="84">
        <f t="shared" si="2578"/>
        <v>23278</v>
      </c>
      <c r="BA89" s="84">
        <f>ROUND(取值表!$J$6*(地下仓储现金流!BA87+地下仓储现金流!BB87+地下仓储现金流!BC87+地下仓储现金流!BD87)/4*1.5%,0)</f>
        <v>23088</v>
      </c>
      <c r="BB89" s="84">
        <f t="shared" ref="BB89:BD89" si="2579">BA89</f>
        <v>23088</v>
      </c>
      <c r="BC89" s="84">
        <f t="shared" si="2579"/>
        <v>23088</v>
      </c>
      <c r="BD89" s="84">
        <f t="shared" si="2579"/>
        <v>23088</v>
      </c>
      <c r="BE89" s="84">
        <f>ROUND(取值表!$J$6*(地下仓储现金流!BE87+地下仓储现金流!BF87+地下仓储现金流!BG87+地下仓储现金流!BH87)/4*1.5%,0)</f>
        <v>22900</v>
      </c>
      <c r="BF89" s="84">
        <f t="shared" ref="BF89:BH89" si="2580">BE89</f>
        <v>22900</v>
      </c>
      <c r="BG89" s="84">
        <f t="shared" si="2580"/>
        <v>22900</v>
      </c>
      <c r="BH89" s="84">
        <f t="shared" si="2580"/>
        <v>22900</v>
      </c>
      <c r="BI89" s="84">
        <f>ROUND(取值表!$J$6*(地下仓储现金流!BI87+地下仓储现金流!BJ87+地下仓储现金流!BK87+地下仓储现金流!BL87)/4*1.5%,0)</f>
        <v>22712</v>
      </c>
      <c r="BJ89" s="84">
        <f t="shared" ref="BJ89:BL89" si="2581">BI89</f>
        <v>22712</v>
      </c>
      <c r="BK89" s="84">
        <f t="shared" si="2581"/>
        <v>22712</v>
      </c>
      <c r="BL89" s="84">
        <f t="shared" si="2581"/>
        <v>22712</v>
      </c>
      <c r="BM89" s="84">
        <f>ROUND(取值表!$J$6*(地下仓储现金流!BM87+地下仓储现金流!BN87+地下仓储现金流!BO87+地下仓储现金流!BP87)/4*1.5%,0)</f>
        <v>22527</v>
      </c>
      <c r="BN89" s="84">
        <f t="shared" ref="BN89:BP89" si="2582">BM89</f>
        <v>22527</v>
      </c>
      <c r="BO89" s="84">
        <f t="shared" si="2582"/>
        <v>22527</v>
      </c>
      <c r="BP89" s="84">
        <f t="shared" si="2582"/>
        <v>22527</v>
      </c>
      <c r="BQ89" s="84">
        <f>ROUND(取值表!$J$6*(地下仓储现金流!BQ87+地下仓储现金流!BR87+地下仓储现金流!BS87+地下仓储现金流!BT87)/4*1.5%,0)</f>
        <v>22343</v>
      </c>
      <c r="BR89" s="84">
        <f t="shared" ref="BR89:BT89" si="2583">BQ89</f>
        <v>22343</v>
      </c>
      <c r="BS89" s="84">
        <f t="shared" si="2583"/>
        <v>22343</v>
      </c>
      <c r="BT89" s="84">
        <f t="shared" si="2583"/>
        <v>22343</v>
      </c>
      <c r="BU89" s="84">
        <f>ROUND(取值表!$J$6*(地下仓储现金流!BU87+地下仓储现金流!BV87+地下仓储现金流!BW87+地下仓储现金流!BX87)/4*1.5%,0)</f>
        <v>22160</v>
      </c>
      <c r="BV89" s="84">
        <f t="shared" ref="BV89:BX89" si="2584">BU89</f>
        <v>22160</v>
      </c>
      <c r="BW89" s="84">
        <f t="shared" si="2584"/>
        <v>22160</v>
      </c>
      <c r="BX89" s="84">
        <f t="shared" si="2584"/>
        <v>22160</v>
      </c>
      <c r="BY89" s="84">
        <f>ROUND(取值表!$J$6*(地下仓储现金流!BY87+地下仓储现金流!BZ87+地下仓储现金流!CA87+地下仓储现金流!CB87)/4*1.5%,0)</f>
        <v>21979</v>
      </c>
      <c r="BZ89" s="84">
        <f t="shared" ref="BZ89:CB89" si="2585">BY89</f>
        <v>21979</v>
      </c>
      <c r="CA89" s="84">
        <f t="shared" si="2585"/>
        <v>21979</v>
      </c>
      <c r="CB89" s="84">
        <f t="shared" si="2585"/>
        <v>21979</v>
      </c>
      <c r="CC89" s="84">
        <f>ROUND(取值表!$J$6*(地下仓储现金流!CC87+地下仓储现金流!CD87+地下仓储现金流!CE87+地下仓储现金流!CF87)/4*1.5%,0)</f>
        <v>21800</v>
      </c>
      <c r="CD89" s="84">
        <f t="shared" ref="CD89:CF89" si="2586">CC89</f>
        <v>21800</v>
      </c>
      <c r="CE89" s="84">
        <f t="shared" si="2586"/>
        <v>21800</v>
      </c>
      <c r="CF89" s="84">
        <f t="shared" si="2586"/>
        <v>21800</v>
      </c>
      <c r="CG89" s="84">
        <f>ROUND(取值表!$J$6*(地下仓储现金流!CG87+地下仓储现金流!CH87+地下仓储现金流!CI87+地下仓储现金流!CJ87)/4*1.5%,0)</f>
        <v>21621</v>
      </c>
      <c r="CH89" s="84">
        <f t="shared" ref="CH89" si="2587">CG89</f>
        <v>21621</v>
      </c>
      <c r="CI89" s="84">
        <f>CH89</f>
        <v>21621</v>
      </c>
      <c r="CJ89" s="84">
        <f>CI89</f>
        <v>21621</v>
      </c>
      <c r="CK89" s="84">
        <f t="shared" ref="CK89:CU89" si="2588">CJ89</f>
        <v>21621</v>
      </c>
      <c r="CL89" s="84">
        <f t="shared" si="2588"/>
        <v>21621</v>
      </c>
      <c r="CM89" s="84">
        <f t="shared" si="2588"/>
        <v>21621</v>
      </c>
      <c r="CN89" s="84">
        <f t="shared" si="2588"/>
        <v>21621</v>
      </c>
      <c r="CO89" s="84">
        <f t="shared" si="2588"/>
        <v>21621</v>
      </c>
      <c r="CP89" s="84">
        <f t="shared" si="2588"/>
        <v>21621</v>
      </c>
      <c r="CQ89" s="84">
        <f t="shared" si="2588"/>
        <v>21621</v>
      </c>
      <c r="CR89" s="84">
        <f t="shared" si="2588"/>
        <v>21621</v>
      </c>
      <c r="CS89" s="84">
        <f t="shared" si="2588"/>
        <v>21621</v>
      </c>
      <c r="CT89" s="84">
        <f t="shared" si="2588"/>
        <v>21621</v>
      </c>
      <c r="CU89" s="84">
        <f t="shared" si="2588"/>
        <v>21621</v>
      </c>
      <c r="CV89" s="84">
        <f>CU89</f>
        <v>21621</v>
      </c>
      <c r="CW89" s="84">
        <f t="shared" si="2524"/>
        <v>21621</v>
      </c>
      <c r="CX89" s="84">
        <f t="shared" si="2525"/>
        <v>21621</v>
      </c>
      <c r="CY89" s="84">
        <f t="shared" si="2526"/>
        <v>21621</v>
      </c>
      <c r="CZ89" s="84">
        <f t="shared" si="2527"/>
        <v>21621</v>
      </c>
      <c r="DA89" s="84">
        <f t="shared" si="2528"/>
        <v>21621</v>
      </c>
      <c r="DB89" s="84">
        <f t="shared" si="2529"/>
        <v>21621</v>
      </c>
      <c r="DC89" s="84">
        <f t="shared" si="2530"/>
        <v>21621</v>
      </c>
      <c r="DD89" s="84">
        <f t="shared" si="2531"/>
        <v>21621</v>
      </c>
      <c r="DE89" s="84">
        <f t="shared" si="2532"/>
        <v>21621</v>
      </c>
      <c r="DF89" s="84">
        <f t="shared" si="2533"/>
        <v>21621</v>
      </c>
      <c r="DG89" s="84">
        <f t="shared" si="2534"/>
        <v>21621</v>
      </c>
      <c r="DH89" s="84">
        <f t="shared" si="2535"/>
        <v>21621</v>
      </c>
      <c r="DI89" s="84">
        <f t="shared" si="2536"/>
        <v>21621</v>
      </c>
      <c r="DJ89" s="84">
        <f t="shared" si="2537"/>
        <v>21621</v>
      </c>
      <c r="DK89" s="84">
        <f t="shared" si="2538"/>
        <v>21621</v>
      </c>
      <c r="DL89" s="84">
        <f t="shared" si="2539"/>
        <v>21621</v>
      </c>
      <c r="DM89" s="84">
        <f t="shared" si="2540"/>
        <v>21621</v>
      </c>
      <c r="DN89" s="84">
        <f t="shared" si="2541"/>
        <v>21621</v>
      </c>
      <c r="DO89" s="84">
        <f t="shared" si="2542"/>
        <v>21621</v>
      </c>
      <c r="DP89" s="84">
        <f t="shared" si="2543"/>
        <v>21621</v>
      </c>
      <c r="DQ89" s="84">
        <f t="shared" si="2544"/>
        <v>21621</v>
      </c>
      <c r="DR89" s="84">
        <f t="shared" si="2545"/>
        <v>21621</v>
      </c>
      <c r="DS89" s="84">
        <f t="shared" si="2546"/>
        <v>21621</v>
      </c>
      <c r="DT89" s="84">
        <f t="shared" si="2547"/>
        <v>21621</v>
      </c>
      <c r="DU89" s="84">
        <f t="shared" si="2548"/>
        <v>21621</v>
      </c>
      <c r="DV89" s="84">
        <f t="shared" si="2549"/>
        <v>21621</v>
      </c>
      <c r="DW89" s="84">
        <f t="shared" si="2550"/>
        <v>21621</v>
      </c>
      <c r="DX89" s="84">
        <f t="shared" si="2551"/>
        <v>21621</v>
      </c>
      <c r="DY89" s="84">
        <f t="shared" si="2552"/>
        <v>21621</v>
      </c>
      <c r="DZ89" s="84">
        <f t="shared" si="2553"/>
        <v>21621</v>
      </c>
      <c r="EA89" s="84">
        <f t="shared" si="2554"/>
        <v>21621</v>
      </c>
      <c r="EB89" s="84">
        <f t="shared" si="2555"/>
        <v>21621</v>
      </c>
      <c r="EC89" s="84">
        <f t="shared" si="2556"/>
        <v>21621</v>
      </c>
      <c r="ED89" s="84">
        <f t="shared" si="2557"/>
        <v>21621</v>
      </c>
      <c r="EE89" s="84">
        <f t="shared" si="2558"/>
        <v>21621</v>
      </c>
      <c r="EF89" s="84">
        <f t="shared" si="2559"/>
        <v>21621</v>
      </c>
      <c r="EG89" s="84">
        <f t="shared" si="2560"/>
        <v>21621</v>
      </c>
      <c r="EH89" s="84">
        <f t="shared" si="2561"/>
        <v>21621</v>
      </c>
      <c r="EI89" s="84">
        <f t="shared" si="2562"/>
        <v>21621</v>
      </c>
      <c r="EJ89" s="84">
        <f>EI89</f>
        <v>21621</v>
      </c>
      <c r="EK89" s="84">
        <f t="shared" si="2564"/>
        <v>21621</v>
      </c>
      <c r="EL89" s="84">
        <f t="shared" si="2565"/>
        <v>21621</v>
      </c>
      <c r="EM89" s="84">
        <f t="shared" si="2566"/>
        <v>21621</v>
      </c>
      <c r="EN89" s="84">
        <f t="shared" si="2567"/>
        <v>21621</v>
      </c>
      <c r="EO89" s="85">
        <f t="shared" si="2519"/>
        <v>3182856</v>
      </c>
      <c r="EP89" s="72"/>
      <c r="EQ89" s="72"/>
      <c r="ER89" s="72"/>
      <c r="ES89" s="72"/>
      <c r="ET89" s="72"/>
      <c r="EU89" s="72"/>
      <c r="EV89" s="72"/>
      <c r="EW89" s="72"/>
      <c r="EX89" s="72"/>
      <c r="EY89" s="72"/>
      <c r="EZ89" s="72"/>
      <c r="FA89" s="72"/>
      <c r="FB89" s="72"/>
      <c r="FC89" s="72"/>
      <c r="FD89" s="72"/>
      <c r="FE89" s="72"/>
      <c r="FF89" s="72"/>
      <c r="FG89" s="72"/>
      <c r="FH89" s="72"/>
      <c r="FI89" s="72"/>
      <c r="FJ89" s="72"/>
      <c r="FK89" s="72"/>
      <c r="FL89" s="72"/>
      <c r="FM89" s="72"/>
      <c r="FN89" s="72"/>
      <c r="FO89" s="72"/>
      <c r="FP89" s="72"/>
      <c r="FQ89" s="72"/>
      <c r="FR89" s="72"/>
      <c r="FS89" s="72"/>
      <c r="FT89" s="72"/>
      <c r="FU89" s="72"/>
      <c r="FV89" s="72"/>
      <c r="FW89" s="72"/>
      <c r="FX89" s="72"/>
      <c r="FY89" s="72"/>
      <c r="FZ89" s="72"/>
      <c r="GA89" s="72"/>
      <c r="GB89" s="72"/>
      <c r="GC89" s="72"/>
      <c r="GD89" s="72"/>
      <c r="GE89" s="72"/>
      <c r="GF89" s="72"/>
      <c r="GG89" s="72"/>
      <c r="GH89" s="72"/>
      <c r="GI89" s="72"/>
      <c r="GJ89" s="72"/>
      <c r="GK89" s="72"/>
      <c r="GL89" s="72"/>
      <c r="GM89" s="72"/>
      <c r="GN89" s="72"/>
      <c r="GO89" s="72"/>
      <c r="GP89" s="72"/>
      <c r="GQ89" s="72"/>
      <c r="GR89" s="72"/>
      <c r="GS89" s="72"/>
      <c r="GT89" s="72"/>
      <c r="GU89" s="72"/>
      <c r="GV89" s="72"/>
      <c r="GW89" s="72"/>
      <c r="GX89" s="73"/>
    </row>
    <row r="90" spans="1:268" s="88" customFormat="1" ht="22.5">
      <c r="A90" s="82"/>
      <c r="B90" s="91" t="s">
        <v>965</v>
      </c>
      <c r="C90" s="84"/>
      <c r="D90" s="83"/>
      <c r="E90" s="84">
        <f>E91+E92+E93</f>
        <v>1788144</v>
      </c>
      <c r="F90" s="84">
        <f t="shared" ref="F90:BQ90" si="2589">F91+F92+F93</f>
        <v>1788144</v>
      </c>
      <c r="G90" s="84">
        <f t="shared" si="2589"/>
        <v>1795426</v>
      </c>
      <c r="H90" s="358">
        <f t="shared" si="2589"/>
        <v>1799676</v>
      </c>
      <c r="I90" s="84">
        <f t="shared" ref="I90:O90" si="2590">I91+I92+I93</f>
        <v>1790336</v>
      </c>
      <c r="J90" s="84">
        <f t="shared" si="2590"/>
        <v>1790336</v>
      </c>
      <c r="K90" s="84">
        <f t="shared" si="2590"/>
        <v>1799410</v>
      </c>
      <c r="L90" s="84">
        <f t="shared" si="2590"/>
        <v>1799410</v>
      </c>
      <c r="M90" s="84">
        <f t="shared" si="2590"/>
        <v>1786295</v>
      </c>
      <c r="N90" s="84">
        <f t="shared" si="2590"/>
        <v>1786295</v>
      </c>
      <c r="O90" s="84">
        <f t="shared" si="2590"/>
        <v>1786295</v>
      </c>
      <c r="P90" s="84">
        <f t="shared" si="2589"/>
        <v>1786295</v>
      </c>
      <c r="Q90" s="84">
        <f t="shared" si="2589"/>
        <v>1772969</v>
      </c>
      <c r="R90" s="84">
        <f t="shared" si="2589"/>
        <v>1772969</v>
      </c>
      <c r="S90" s="84">
        <f t="shared" si="2589"/>
        <v>1772969</v>
      </c>
      <c r="T90" s="84">
        <f t="shared" si="2589"/>
        <v>1772969</v>
      </c>
      <c r="U90" s="84">
        <f t="shared" si="2589"/>
        <v>1758481</v>
      </c>
      <c r="V90" s="84">
        <f t="shared" si="2589"/>
        <v>1758481</v>
      </c>
      <c r="W90" s="84">
        <f t="shared" si="2589"/>
        <v>1758481</v>
      </c>
      <c r="X90" s="84">
        <f t="shared" si="2589"/>
        <v>1758481</v>
      </c>
      <c r="Y90" s="84">
        <f t="shared" si="2589"/>
        <v>1744112</v>
      </c>
      <c r="Z90" s="84">
        <f t="shared" si="2589"/>
        <v>1744112</v>
      </c>
      <c r="AA90" s="84">
        <f t="shared" si="2589"/>
        <v>1744112</v>
      </c>
      <c r="AB90" s="84">
        <f t="shared" si="2589"/>
        <v>1744112</v>
      </c>
      <c r="AC90" s="84">
        <f t="shared" si="2589"/>
        <v>1729861</v>
      </c>
      <c r="AD90" s="84">
        <f t="shared" si="2589"/>
        <v>1729861</v>
      </c>
      <c r="AE90" s="84">
        <f t="shared" si="2589"/>
        <v>1729861</v>
      </c>
      <c r="AF90" s="84">
        <f t="shared" si="2589"/>
        <v>1729861</v>
      </c>
      <c r="AG90" s="84">
        <f t="shared" si="2589"/>
        <v>1715727</v>
      </c>
      <c r="AH90" s="84">
        <f t="shared" si="2589"/>
        <v>1715727</v>
      </c>
      <c r="AI90" s="84">
        <f t="shared" si="2589"/>
        <v>1715727</v>
      </c>
      <c r="AJ90" s="84">
        <f t="shared" si="2589"/>
        <v>1715727</v>
      </c>
      <c r="AK90" s="84">
        <f t="shared" si="2589"/>
        <v>1701708</v>
      </c>
      <c r="AL90" s="84">
        <f t="shared" si="2589"/>
        <v>1701708</v>
      </c>
      <c r="AM90" s="84">
        <f t="shared" si="2589"/>
        <v>1701708</v>
      </c>
      <c r="AN90" s="84">
        <f t="shared" si="2589"/>
        <v>1701708</v>
      </c>
      <c r="AO90" s="84">
        <f t="shared" si="2589"/>
        <v>1687803</v>
      </c>
      <c r="AP90" s="84">
        <f t="shared" si="2589"/>
        <v>1687803</v>
      </c>
      <c r="AQ90" s="84">
        <f t="shared" si="2589"/>
        <v>1687803</v>
      </c>
      <c r="AR90" s="84">
        <f t="shared" si="2589"/>
        <v>1687803</v>
      </c>
      <c r="AS90" s="84">
        <f t="shared" si="2589"/>
        <v>1674012</v>
      </c>
      <c r="AT90" s="84">
        <f t="shared" si="2589"/>
        <v>1674012</v>
      </c>
      <c r="AU90" s="84">
        <f t="shared" si="2589"/>
        <v>1674012</v>
      </c>
      <c r="AV90" s="84">
        <f t="shared" si="2589"/>
        <v>1674012</v>
      </c>
      <c r="AW90" s="84">
        <f t="shared" si="2589"/>
        <v>1660334</v>
      </c>
      <c r="AX90" s="84">
        <f t="shared" si="2589"/>
        <v>1660334</v>
      </c>
      <c r="AY90" s="84">
        <f t="shared" si="2589"/>
        <v>1660334</v>
      </c>
      <c r="AZ90" s="84">
        <f t="shared" si="2589"/>
        <v>1660334</v>
      </c>
      <c r="BA90" s="84">
        <f t="shared" si="2589"/>
        <v>1646768</v>
      </c>
      <c r="BB90" s="84">
        <f t="shared" si="2589"/>
        <v>1646768</v>
      </c>
      <c r="BC90" s="84">
        <f t="shared" si="2589"/>
        <v>1646768</v>
      </c>
      <c r="BD90" s="84">
        <f t="shared" si="2589"/>
        <v>1646768</v>
      </c>
      <c r="BE90" s="84">
        <f t="shared" si="2589"/>
        <v>1633312</v>
      </c>
      <c r="BF90" s="84">
        <f t="shared" si="2589"/>
        <v>1633312</v>
      </c>
      <c r="BG90" s="84">
        <f t="shared" si="2589"/>
        <v>1633312</v>
      </c>
      <c r="BH90" s="84">
        <f t="shared" si="2589"/>
        <v>1633312</v>
      </c>
      <c r="BI90" s="84">
        <f t="shared" si="2589"/>
        <v>1619967</v>
      </c>
      <c r="BJ90" s="84">
        <f t="shared" si="2589"/>
        <v>1619967</v>
      </c>
      <c r="BK90" s="84">
        <f t="shared" si="2589"/>
        <v>1619967</v>
      </c>
      <c r="BL90" s="84">
        <f t="shared" si="2589"/>
        <v>1619967</v>
      </c>
      <c r="BM90" s="84">
        <f t="shared" si="2589"/>
        <v>1606729</v>
      </c>
      <c r="BN90" s="84">
        <f t="shared" si="2589"/>
        <v>1606729</v>
      </c>
      <c r="BO90" s="84">
        <f t="shared" si="2589"/>
        <v>1606729</v>
      </c>
      <c r="BP90" s="84">
        <f t="shared" si="2589"/>
        <v>1606729</v>
      </c>
      <c r="BQ90" s="84">
        <f t="shared" si="2589"/>
        <v>1593600</v>
      </c>
      <c r="BR90" s="84">
        <f t="shared" ref="BR90:CJ90" si="2591">BR91+BR92+BR93</f>
        <v>1593600</v>
      </c>
      <c r="BS90" s="84">
        <f t="shared" si="2591"/>
        <v>1593600</v>
      </c>
      <c r="BT90" s="84">
        <f t="shared" si="2591"/>
        <v>1593600</v>
      </c>
      <c r="BU90" s="84">
        <f t="shared" si="2591"/>
        <v>1580578</v>
      </c>
      <c r="BV90" s="84">
        <f t="shared" si="2591"/>
        <v>1580578</v>
      </c>
      <c r="BW90" s="84">
        <f t="shared" si="2591"/>
        <v>1580578</v>
      </c>
      <c r="BX90" s="84">
        <f t="shared" si="2591"/>
        <v>1580578</v>
      </c>
      <c r="BY90" s="84">
        <f t="shared" si="2591"/>
        <v>1567664</v>
      </c>
      <c r="BZ90" s="84">
        <f t="shared" si="2591"/>
        <v>1567664</v>
      </c>
      <c r="CA90" s="84">
        <f t="shared" si="2591"/>
        <v>1567664</v>
      </c>
      <c r="CB90" s="84">
        <f t="shared" si="2591"/>
        <v>1567664</v>
      </c>
      <c r="CC90" s="84">
        <f t="shared" si="2591"/>
        <v>1554855</v>
      </c>
      <c r="CD90" s="84">
        <f t="shared" si="2591"/>
        <v>1554855</v>
      </c>
      <c r="CE90" s="84">
        <f t="shared" si="2591"/>
        <v>1554855</v>
      </c>
      <c r="CF90" s="84">
        <f t="shared" si="2591"/>
        <v>1554855</v>
      </c>
      <c r="CG90" s="84">
        <f t="shared" si="2591"/>
        <v>1542149</v>
      </c>
      <c r="CH90" s="84">
        <f t="shared" si="2591"/>
        <v>1542149</v>
      </c>
      <c r="CI90" s="84">
        <f t="shared" si="2591"/>
        <v>1542149</v>
      </c>
      <c r="CJ90" s="84">
        <f t="shared" si="2591"/>
        <v>1542149</v>
      </c>
      <c r="CK90" s="84">
        <f t="shared" ref="CK90:CU90" si="2592">CK91+CK92+CK93</f>
        <v>1529588</v>
      </c>
      <c r="CL90" s="84">
        <f t="shared" si="2592"/>
        <v>1529588</v>
      </c>
      <c r="CM90" s="84">
        <f t="shared" si="2592"/>
        <v>1529588</v>
      </c>
      <c r="CN90" s="84">
        <f t="shared" si="2592"/>
        <v>1529588</v>
      </c>
      <c r="CO90" s="84">
        <f t="shared" si="2592"/>
        <v>1517127</v>
      </c>
      <c r="CP90" s="84">
        <f t="shared" si="2592"/>
        <v>1517127</v>
      </c>
      <c r="CQ90" s="84">
        <f t="shared" si="2592"/>
        <v>1517127</v>
      </c>
      <c r="CR90" s="84">
        <f t="shared" si="2592"/>
        <v>1517127</v>
      </c>
      <c r="CS90" s="84">
        <f t="shared" si="2592"/>
        <v>1504768</v>
      </c>
      <c r="CT90" s="84">
        <f t="shared" si="2592"/>
        <v>1504768</v>
      </c>
      <c r="CU90" s="84">
        <f t="shared" si="2592"/>
        <v>1504768</v>
      </c>
      <c r="CV90" s="84">
        <f>CV91+CV92+CV93</f>
        <v>1504768</v>
      </c>
      <c r="CW90" s="84">
        <f t="shared" ref="CW90:EI90" si="2593">CW91+CW92+CW93</f>
        <v>1492510</v>
      </c>
      <c r="CX90" s="84">
        <f t="shared" si="2593"/>
        <v>1492510</v>
      </c>
      <c r="CY90" s="84">
        <f t="shared" si="2593"/>
        <v>1492510</v>
      </c>
      <c r="CZ90" s="84">
        <f t="shared" si="2593"/>
        <v>1492510</v>
      </c>
      <c r="DA90" s="84">
        <f t="shared" si="2593"/>
        <v>1480352</v>
      </c>
      <c r="DB90" s="84">
        <f t="shared" si="2593"/>
        <v>1480352</v>
      </c>
      <c r="DC90" s="84">
        <f t="shared" si="2593"/>
        <v>1480352</v>
      </c>
      <c r="DD90" s="84">
        <f t="shared" si="2593"/>
        <v>1480352</v>
      </c>
      <c r="DE90" s="84">
        <f t="shared" si="2593"/>
        <v>1468293</v>
      </c>
      <c r="DF90" s="84">
        <f t="shared" si="2593"/>
        <v>1468293</v>
      </c>
      <c r="DG90" s="84">
        <f t="shared" si="2593"/>
        <v>1468293</v>
      </c>
      <c r="DH90" s="84">
        <f t="shared" si="2593"/>
        <v>1468293</v>
      </c>
      <c r="DI90" s="84">
        <f t="shared" si="2593"/>
        <v>1456334</v>
      </c>
      <c r="DJ90" s="84">
        <f t="shared" si="2593"/>
        <v>1456334</v>
      </c>
      <c r="DK90" s="84">
        <f t="shared" si="2593"/>
        <v>1456334</v>
      </c>
      <c r="DL90" s="84">
        <f t="shared" si="2593"/>
        <v>1456334</v>
      </c>
      <c r="DM90" s="84">
        <f t="shared" si="2593"/>
        <v>1444473</v>
      </c>
      <c r="DN90" s="84">
        <f t="shared" si="2593"/>
        <v>1444473</v>
      </c>
      <c r="DO90" s="84">
        <f t="shared" si="2593"/>
        <v>1444473</v>
      </c>
      <c r="DP90" s="84">
        <f t="shared" si="2593"/>
        <v>1444473</v>
      </c>
      <c r="DQ90" s="84">
        <f t="shared" si="2593"/>
        <v>1432708</v>
      </c>
      <c r="DR90" s="84">
        <f t="shared" si="2593"/>
        <v>1432708</v>
      </c>
      <c r="DS90" s="84">
        <f t="shared" si="2593"/>
        <v>1432708</v>
      </c>
      <c r="DT90" s="84">
        <f t="shared" si="2593"/>
        <v>1432708</v>
      </c>
      <c r="DU90" s="84">
        <f t="shared" si="2593"/>
        <v>1421039</v>
      </c>
      <c r="DV90" s="84">
        <f t="shared" si="2593"/>
        <v>1421039</v>
      </c>
      <c r="DW90" s="84">
        <f t="shared" si="2593"/>
        <v>1421039</v>
      </c>
      <c r="DX90" s="84">
        <f t="shared" si="2593"/>
        <v>1421039</v>
      </c>
      <c r="DY90" s="84">
        <f t="shared" si="2593"/>
        <v>1409465</v>
      </c>
      <c r="DZ90" s="84">
        <f t="shared" si="2593"/>
        <v>1409465</v>
      </c>
      <c r="EA90" s="84">
        <f t="shared" si="2593"/>
        <v>1409465</v>
      </c>
      <c r="EB90" s="84">
        <f t="shared" si="2593"/>
        <v>1409465</v>
      </c>
      <c r="EC90" s="84">
        <f t="shared" si="2593"/>
        <v>1397986</v>
      </c>
      <c r="ED90" s="84">
        <f t="shared" si="2593"/>
        <v>1397986</v>
      </c>
      <c r="EE90" s="84">
        <f t="shared" si="2593"/>
        <v>1397986</v>
      </c>
      <c r="EF90" s="84">
        <f t="shared" si="2593"/>
        <v>1397986</v>
      </c>
      <c r="EG90" s="84">
        <f t="shared" si="2593"/>
        <v>1386601</v>
      </c>
      <c r="EH90" s="84">
        <f t="shared" si="2593"/>
        <v>1386601</v>
      </c>
      <c r="EI90" s="84">
        <f t="shared" si="2593"/>
        <v>1386601</v>
      </c>
      <c r="EJ90" s="84">
        <f>EJ91+EJ92+EJ93</f>
        <v>1386601</v>
      </c>
      <c r="EK90" s="84">
        <f>EK91+EK92+EK93</f>
        <v>1375308</v>
      </c>
      <c r="EL90" s="84">
        <f t="shared" ref="EL90:EN90" si="2594">EL91+EL92+EL93</f>
        <v>1375308</v>
      </c>
      <c r="EM90" s="84">
        <f t="shared" si="2594"/>
        <v>1375308</v>
      </c>
      <c r="EN90" s="84">
        <f t="shared" si="2594"/>
        <v>1375308</v>
      </c>
      <c r="EO90" s="85">
        <f t="shared" si="2519"/>
        <v>221924786</v>
      </c>
      <c r="EP90" s="86"/>
      <c r="EQ90" s="86"/>
      <c r="ER90" s="86"/>
      <c r="ES90" s="86"/>
      <c r="ET90" s="86"/>
      <c r="EU90" s="86"/>
      <c r="EV90" s="86"/>
      <c r="EW90" s="86"/>
      <c r="EX90" s="86"/>
      <c r="EY90" s="86"/>
      <c r="EZ90" s="86"/>
      <c r="FA90" s="86"/>
      <c r="FB90" s="86"/>
      <c r="FC90" s="86"/>
      <c r="FD90" s="86"/>
      <c r="FE90" s="86"/>
      <c r="FF90" s="86"/>
      <c r="FG90" s="86"/>
      <c r="FH90" s="86"/>
      <c r="FI90" s="86"/>
      <c r="FJ90" s="86"/>
      <c r="FK90" s="86"/>
      <c r="FL90" s="86"/>
      <c r="FM90" s="86"/>
      <c r="FN90" s="86"/>
      <c r="FO90" s="86"/>
      <c r="FP90" s="86"/>
      <c r="FQ90" s="86"/>
      <c r="FR90" s="86"/>
      <c r="FS90" s="86"/>
      <c r="FT90" s="86"/>
      <c r="FU90" s="86"/>
      <c r="FV90" s="86"/>
      <c r="FW90" s="86"/>
      <c r="FX90" s="86"/>
      <c r="FY90" s="86"/>
      <c r="FZ90" s="86"/>
      <c r="GA90" s="86"/>
      <c r="GB90" s="86"/>
      <c r="GC90" s="86"/>
      <c r="GD90" s="86"/>
      <c r="GE90" s="86"/>
      <c r="GF90" s="86"/>
      <c r="GG90" s="86"/>
      <c r="GH90" s="86"/>
      <c r="GI90" s="86"/>
      <c r="GJ90" s="86"/>
      <c r="GK90" s="86"/>
      <c r="GL90" s="86"/>
      <c r="GM90" s="86"/>
      <c r="GN90" s="86"/>
      <c r="GO90" s="86"/>
      <c r="GP90" s="86"/>
      <c r="GQ90" s="86"/>
      <c r="GR90" s="86"/>
      <c r="GS90" s="86"/>
      <c r="GT90" s="86"/>
      <c r="GU90" s="86"/>
      <c r="GV90" s="86"/>
      <c r="GW90" s="86"/>
      <c r="GX90" s="87"/>
    </row>
    <row r="91" spans="1:268" s="88" customFormat="1" ht="14.25">
      <c r="A91" s="82"/>
      <c r="B91" s="18" t="s">
        <v>795</v>
      </c>
      <c r="C91" s="18"/>
      <c r="D91" s="92">
        <v>0.12</v>
      </c>
      <c r="E91" s="93">
        <f>ROUND(E86*$D$91,0)</f>
        <v>1005831</v>
      </c>
      <c r="F91" s="93">
        <f t="shared" ref="F91:BQ91" si="2595">ROUND(F86*$D$91,0)</f>
        <v>1005831</v>
      </c>
      <c r="G91" s="93">
        <f t="shared" si="2595"/>
        <v>1009927</v>
      </c>
      <c r="H91" s="360">
        <f t="shared" si="2595"/>
        <v>1012318</v>
      </c>
      <c r="I91" s="93">
        <f t="shared" si="2595"/>
        <v>1007064</v>
      </c>
      <c r="J91" s="93">
        <f t="shared" si="2595"/>
        <v>1007064</v>
      </c>
      <c r="K91" s="93">
        <f t="shared" si="2595"/>
        <v>1012168</v>
      </c>
      <c r="L91" s="93">
        <f t="shared" si="2595"/>
        <v>1012168</v>
      </c>
      <c r="M91" s="93">
        <f t="shared" si="2595"/>
        <v>1004791</v>
      </c>
      <c r="N91" s="93">
        <f t="shared" si="2595"/>
        <v>1004791</v>
      </c>
      <c r="O91" s="93">
        <f t="shared" si="2595"/>
        <v>1004791</v>
      </c>
      <c r="P91" s="93">
        <f t="shared" si="2595"/>
        <v>1004791</v>
      </c>
      <c r="Q91" s="93">
        <f t="shared" si="2595"/>
        <v>997295</v>
      </c>
      <c r="R91" s="93">
        <f t="shared" si="2595"/>
        <v>997295</v>
      </c>
      <c r="S91" s="93">
        <f t="shared" si="2595"/>
        <v>997295</v>
      </c>
      <c r="T91" s="93">
        <f t="shared" si="2595"/>
        <v>997295</v>
      </c>
      <c r="U91" s="93">
        <f t="shared" si="2595"/>
        <v>989146</v>
      </c>
      <c r="V91" s="93">
        <f t="shared" si="2595"/>
        <v>989146</v>
      </c>
      <c r="W91" s="93">
        <f t="shared" si="2595"/>
        <v>989146</v>
      </c>
      <c r="X91" s="93">
        <f t="shared" si="2595"/>
        <v>989146</v>
      </c>
      <c r="Y91" s="93">
        <f t="shared" si="2595"/>
        <v>981063</v>
      </c>
      <c r="Z91" s="93">
        <f t="shared" si="2595"/>
        <v>981063</v>
      </c>
      <c r="AA91" s="93">
        <f t="shared" si="2595"/>
        <v>981063</v>
      </c>
      <c r="AB91" s="93">
        <f t="shared" si="2595"/>
        <v>981063</v>
      </c>
      <c r="AC91" s="93">
        <f t="shared" si="2595"/>
        <v>973047</v>
      </c>
      <c r="AD91" s="93">
        <f t="shared" si="2595"/>
        <v>973047</v>
      </c>
      <c r="AE91" s="93">
        <f t="shared" si="2595"/>
        <v>973047</v>
      </c>
      <c r="AF91" s="93">
        <f t="shared" si="2595"/>
        <v>973047</v>
      </c>
      <c r="AG91" s="93">
        <f t="shared" si="2595"/>
        <v>965096</v>
      </c>
      <c r="AH91" s="93">
        <f t="shared" si="2595"/>
        <v>965096</v>
      </c>
      <c r="AI91" s="93">
        <f t="shared" si="2595"/>
        <v>965096</v>
      </c>
      <c r="AJ91" s="93">
        <f t="shared" si="2595"/>
        <v>965096</v>
      </c>
      <c r="AK91" s="93">
        <f t="shared" si="2595"/>
        <v>957211</v>
      </c>
      <c r="AL91" s="93">
        <f t="shared" si="2595"/>
        <v>957211</v>
      </c>
      <c r="AM91" s="93">
        <f t="shared" si="2595"/>
        <v>957211</v>
      </c>
      <c r="AN91" s="93">
        <f t="shared" si="2595"/>
        <v>957211</v>
      </c>
      <c r="AO91" s="93">
        <f t="shared" si="2595"/>
        <v>949389</v>
      </c>
      <c r="AP91" s="93">
        <f t="shared" si="2595"/>
        <v>949389</v>
      </c>
      <c r="AQ91" s="93">
        <f t="shared" si="2595"/>
        <v>949389</v>
      </c>
      <c r="AR91" s="93">
        <f t="shared" si="2595"/>
        <v>949389</v>
      </c>
      <c r="AS91" s="93">
        <f t="shared" si="2595"/>
        <v>941632</v>
      </c>
      <c r="AT91" s="93">
        <f t="shared" si="2595"/>
        <v>941632</v>
      </c>
      <c r="AU91" s="93">
        <f t="shared" si="2595"/>
        <v>941632</v>
      </c>
      <c r="AV91" s="93">
        <f t="shared" si="2595"/>
        <v>941632</v>
      </c>
      <c r="AW91" s="93">
        <f t="shared" si="2595"/>
        <v>933938</v>
      </c>
      <c r="AX91" s="93">
        <f t="shared" si="2595"/>
        <v>933938</v>
      </c>
      <c r="AY91" s="93">
        <f t="shared" si="2595"/>
        <v>933938</v>
      </c>
      <c r="AZ91" s="93">
        <f t="shared" si="2595"/>
        <v>933938</v>
      </c>
      <c r="BA91" s="93">
        <f t="shared" si="2595"/>
        <v>926307</v>
      </c>
      <c r="BB91" s="93">
        <f t="shared" si="2595"/>
        <v>926307</v>
      </c>
      <c r="BC91" s="93">
        <f t="shared" si="2595"/>
        <v>926307</v>
      </c>
      <c r="BD91" s="93">
        <f t="shared" si="2595"/>
        <v>926307</v>
      </c>
      <c r="BE91" s="93">
        <f t="shared" si="2595"/>
        <v>918738</v>
      </c>
      <c r="BF91" s="93">
        <f t="shared" si="2595"/>
        <v>918738</v>
      </c>
      <c r="BG91" s="93">
        <f t="shared" si="2595"/>
        <v>918738</v>
      </c>
      <c r="BH91" s="93">
        <f t="shared" si="2595"/>
        <v>918738</v>
      </c>
      <c r="BI91" s="93">
        <f t="shared" si="2595"/>
        <v>911231</v>
      </c>
      <c r="BJ91" s="93">
        <f t="shared" si="2595"/>
        <v>911231</v>
      </c>
      <c r="BK91" s="93">
        <f t="shared" si="2595"/>
        <v>911231</v>
      </c>
      <c r="BL91" s="93">
        <f t="shared" si="2595"/>
        <v>911231</v>
      </c>
      <c r="BM91" s="93">
        <f t="shared" si="2595"/>
        <v>903785</v>
      </c>
      <c r="BN91" s="93">
        <f t="shared" si="2595"/>
        <v>903785</v>
      </c>
      <c r="BO91" s="93">
        <f t="shared" si="2595"/>
        <v>903785</v>
      </c>
      <c r="BP91" s="93">
        <f t="shared" si="2595"/>
        <v>903785</v>
      </c>
      <c r="BQ91" s="93">
        <f t="shared" si="2595"/>
        <v>896400</v>
      </c>
      <c r="BR91" s="93">
        <f t="shared" ref="BR91:CI91" si="2596">ROUND(BR86*$D$91,0)</f>
        <v>896400</v>
      </c>
      <c r="BS91" s="93">
        <f t="shared" si="2596"/>
        <v>896400</v>
      </c>
      <c r="BT91" s="93">
        <f t="shared" si="2596"/>
        <v>896400</v>
      </c>
      <c r="BU91" s="93">
        <f t="shared" si="2596"/>
        <v>889075</v>
      </c>
      <c r="BV91" s="93">
        <f t="shared" si="2596"/>
        <v>889075</v>
      </c>
      <c r="BW91" s="93">
        <f t="shared" si="2596"/>
        <v>889075</v>
      </c>
      <c r="BX91" s="93">
        <f t="shared" si="2596"/>
        <v>889075</v>
      </c>
      <c r="BY91" s="93">
        <f t="shared" si="2596"/>
        <v>881811</v>
      </c>
      <c r="BZ91" s="93">
        <f t="shared" si="2596"/>
        <v>881811</v>
      </c>
      <c r="CA91" s="93">
        <f t="shared" si="2596"/>
        <v>881811</v>
      </c>
      <c r="CB91" s="93">
        <f t="shared" si="2596"/>
        <v>881811</v>
      </c>
      <c r="CC91" s="93">
        <f t="shared" si="2596"/>
        <v>874606</v>
      </c>
      <c r="CD91" s="93">
        <f t="shared" si="2596"/>
        <v>874606</v>
      </c>
      <c r="CE91" s="93">
        <f t="shared" si="2596"/>
        <v>874606</v>
      </c>
      <c r="CF91" s="93">
        <f t="shared" si="2596"/>
        <v>874606</v>
      </c>
      <c r="CG91" s="93">
        <f t="shared" si="2596"/>
        <v>867459</v>
      </c>
      <c r="CH91" s="93">
        <f t="shared" si="2596"/>
        <v>867459</v>
      </c>
      <c r="CI91" s="93">
        <f t="shared" si="2596"/>
        <v>867459</v>
      </c>
      <c r="CJ91" s="93">
        <f>ROUND(CJ86*$D$91,0)</f>
        <v>867459</v>
      </c>
      <c r="CK91" s="93">
        <f t="shared" ref="CK91:CU91" si="2597">ROUND(CK86*$D$91,0)</f>
        <v>860393</v>
      </c>
      <c r="CL91" s="93">
        <f t="shared" si="2597"/>
        <v>860393</v>
      </c>
      <c r="CM91" s="93">
        <f t="shared" si="2597"/>
        <v>860393</v>
      </c>
      <c r="CN91" s="93">
        <f t="shared" si="2597"/>
        <v>860393</v>
      </c>
      <c r="CO91" s="93">
        <f t="shared" si="2597"/>
        <v>853384</v>
      </c>
      <c r="CP91" s="93">
        <f t="shared" si="2597"/>
        <v>853384</v>
      </c>
      <c r="CQ91" s="93">
        <f t="shared" si="2597"/>
        <v>853384</v>
      </c>
      <c r="CR91" s="93">
        <f t="shared" si="2597"/>
        <v>853384</v>
      </c>
      <c r="CS91" s="93">
        <f t="shared" si="2597"/>
        <v>846432</v>
      </c>
      <c r="CT91" s="93">
        <f t="shared" si="2597"/>
        <v>846432</v>
      </c>
      <c r="CU91" s="93">
        <f t="shared" si="2597"/>
        <v>846432</v>
      </c>
      <c r="CV91" s="93">
        <f>ROUND(CV86*$D$91,0)</f>
        <v>846432</v>
      </c>
      <c r="CW91" s="93">
        <f t="shared" ref="CW91:EJ91" si="2598">ROUND(CW86*$D$91,0)</f>
        <v>839537</v>
      </c>
      <c r="CX91" s="93">
        <f t="shared" si="2598"/>
        <v>839537</v>
      </c>
      <c r="CY91" s="93">
        <f t="shared" si="2598"/>
        <v>839537</v>
      </c>
      <c r="CZ91" s="93">
        <f t="shared" si="2598"/>
        <v>839537</v>
      </c>
      <c r="DA91" s="93">
        <f t="shared" si="2598"/>
        <v>832698</v>
      </c>
      <c r="DB91" s="93">
        <f t="shared" si="2598"/>
        <v>832698</v>
      </c>
      <c r="DC91" s="93">
        <f t="shared" si="2598"/>
        <v>832698</v>
      </c>
      <c r="DD91" s="93">
        <f t="shared" si="2598"/>
        <v>832698</v>
      </c>
      <c r="DE91" s="93">
        <f t="shared" si="2598"/>
        <v>825915</v>
      </c>
      <c r="DF91" s="93">
        <f t="shared" si="2598"/>
        <v>825915</v>
      </c>
      <c r="DG91" s="93">
        <f t="shared" si="2598"/>
        <v>825915</v>
      </c>
      <c r="DH91" s="93">
        <f t="shared" si="2598"/>
        <v>825915</v>
      </c>
      <c r="DI91" s="93">
        <f t="shared" si="2598"/>
        <v>819188</v>
      </c>
      <c r="DJ91" s="93">
        <f t="shared" si="2598"/>
        <v>819188</v>
      </c>
      <c r="DK91" s="93">
        <f t="shared" si="2598"/>
        <v>819188</v>
      </c>
      <c r="DL91" s="93">
        <f t="shared" si="2598"/>
        <v>819188</v>
      </c>
      <c r="DM91" s="93">
        <f t="shared" si="2598"/>
        <v>812516</v>
      </c>
      <c r="DN91" s="93">
        <f t="shared" si="2598"/>
        <v>812516</v>
      </c>
      <c r="DO91" s="93">
        <f t="shared" si="2598"/>
        <v>812516</v>
      </c>
      <c r="DP91" s="93">
        <f t="shared" si="2598"/>
        <v>812516</v>
      </c>
      <c r="DQ91" s="93">
        <f t="shared" si="2598"/>
        <v>805898</v>
      </c>
      <c r="DR91" s="93">
        <f t="shared" si="2598"/>
        <v>805898</v>
      </c>
      <c r="DS91" s="93">
        <f t="shared" si="2598"/>
        <v>805898</v>
      </c>
      <c r="DT91" s="93">
        <f t="shared" si="2598"/>
        <v>805898</v>
      </c>
      <c r="DU91" s="93">
        <f t="shared" si="2598"/>
        <v>799334</v>
      </c>
      <c r="DV91" s="93">
        <f t="shared" si="2598"/>
        <v>799334</v>
      </c>
      <c r="DW91" s="93">
        <f t="shared" si="2598"/>
        <v>799334</v>
      </c>
      <c r="DX91" s="93">
        <f t="shared" si="2598"/>
        <v>799334</v>
      </c>
      <c r="DY91" s="93">
        <f t="shared" si="2598"/>
        <v>792824</v>
      </c>
      <c r="DZ91" s="93">
        <f t="shared" si="2598"/>
        <v>792824</v>
      </c>
      <c r="EA91" s="93">
        <f t="shared" si="2598"/>
        <v>792824</v>
      </c>
      <c r="EB91" s="93">
        <f t="shared" si="2598"/>
        <v>792824</v>
      </c>
      <c r="EC91" s="93">
        <f t="shared" si="2598"/>
        <v>786367</v>
      </c>
      <c r="ED91" s="93">
        <f t="shared" si="2598"/>
        <v>786367</v>
      </c>
      <c r="EE91" s="93">
        <f t="shared" si="2598"/>
        <v>786367</v>
      </c>
      <c r="EF91" s="93">
        <f t="shared" si="2598"/>
        <v>786367</v>
      </c>
      <c r="EG91" s="93">
        <f t="shared" si="2598"/>
        <v>779963</v>
      </c>
      <c r="EH91" s="93">
        <f t="shared" si="2598"/>
        <v>779963</v>
      </c>
      <c r="EI91" s="93">
        <f t="shared" si="2598"/>
        <v>779963</v>
      </c>
      <c r="EJ91" s="93">
        <f t="shared" si="2598"/>
        <v>779963</v>
      </c>
      <c r="EK91" s="93">
        <f>ROUND(EK86*$D$91,0)</f>
        <v>773611</v>
      </c>
      <c r="EL91" s="93">
        <f t="shared" ref="EL91:EN91" si="2599">ROUND(EL86*$D$91,0)</f>
        <v>773611</v>
      </c>
      <c r="EM91" s="93">
        <f t="shared" si="2599"/>
        <v>773611</v>
      </c>
      <c r="EN91" s="93">
        <f t="shared" si="2599"/>
        <v>773611</v>
      </c>
      <c r="EO91" s="85">
        <f t="shared" si="2519"/>
        <v>124832691</v>
      </c>
      <c r="EP91" s="86"/>
      <c r="EQ91" s="86"/>
      <c r="ER91" s="86"/>
      <c r="ES91" s="86"/>
      <c r="ET91" s="86"/>
      <c r="EU91" s="86"/>
      <c r="EV91" s="86"/>
      <c r="EW91" s="86"/>
      <c r="EX91" s="86"/>
      <c r="EY91" s="86"/>
      <c r="EZ91" s="86"/>
      <c r="FA91" s="86"/>
      <c r="FB91" s="86"/>
      <c r="FC91" s="86"/>
      <c r="FD91" s="86"/>
      <c r="FE91" s="86"/>
      <c r="FF91" s="86"/>
      <c r="FG91" s="86"/>
      <c r="FH91" s="86"/>
      <c r="FI91" s="86"/>
      <c r="FJ91" s="86"/>
      <c r="FK91" s="86"/>
      <c r="FL91" s="86"/>
      <c r="FM91" s="86"/>
      <c r="FN91" s="86"/>
      <c r="FO91" s="86"/>
      <c r="FP91" s="86"/>
      <c r="FQ91" s="86"/>
      <c r="FR91" s="86"/>
      <c r="FS91" s="86"/>
      <c r="FT91" s="86"/>
      <c r="FU91" s="86"/>
      <c r="FV91" s="86"/>
      <c r="FW91" s="86"/>
      <c r="FX91" s="86"/>
      <c r="FY91" s="86"/>
      <c r="FZ91" s="86"/>
      <c r="GA91" s="86"/>
      <c r="GB91" s="86"/>
      <c r="GC91" s="86"/>
      <c r="GD91" s="86"/>
      <c r="GE91" s="86"/>
      <c r="GF91" s="86"/>
      <c r="GG91" s="86"/>
      <c r="GH91" s="86"/>
      <c r="GI91" s="86"/>
      <c r="GJ91" s="86"/>
      <c r="GK91" s="86"/>
      <c r="GL91" s="86"/>
      <c r="GM91" s="86"/>
      <c r="GN91" s="86"/>
      <c r="GO91" s="86"/>
      <c r="GP91" s="86"/>
      <c r="GQ91" s="86"/>
      <c r="GR91" s="86"/>
      <c r="GS91" s="86"/>
      <c r="GT91" s="86"/>
      <c r="GU91" s="86"/>
      <c r="GV91" s="86"/>
      <c r="GW91" s="86"/>
      <c r="GX91" s="87"/>
    </row>
    <row r="92" spans="1:268" s="74" customFormat="1" ht="14.25">
      <c r="A92" s="68"/>
      <c r="B92" s="18" t="s">
        <v>966</v>
      </c>
      <c r="C92" s="18"/>
      <c r="D92" s="83">
        <v>5.6000000000000001E-2</v>
      </c>
      <c r="E92" s="84">
        <f>ROUND(E86*$D$92/(1+5%),0)</f>
        <v>447036</v>
      </c>
      <c r="F92" s="84">
        <f t="shared" ref="F92:BQ92" si="2600">ROUND(F86*$D$92/(1+5%),0)</f>
        <v>447036</v>
      </c>
      <c r="G92" s="84">
        <f t="shared" si="2600"/>
        <v>448857</v>
      </c>
      <c r="H92" s="358">
        <f t="shared" si="2600"/>
        <v>449919</v>
      </c>
      <c r="I92" s="84">
        <f t="shared" si="2600"/>
        <v>447584</v>
      </c>
      <c r="J92" s="84">
        <f>ROUND(J86*$D$92/(1+5%),0)</f>
        <v>447584</v>
      </c>
      <c r="K92" s="84">
        <f t="shared" si="2600"/>
        <v>449853</v>
      </c>
      <c r="L92" s="84">
        <f t="shared" si="2600"/>
        <v>449853</v>
      </c>
      <c r="M92" s="84">
        <f t="shared" si="2600"/>
        <v>446574</v>
      </c>
      <c r="N92" s="84">
        <f t="shared" si="2600"/>
        <v>446574</v>
      </c>
      <c r="O92" s="84">
        <f t="shared" si="2600"/>
        <v>446574</v>
      </c>
      <c r="P92" s="84">
        <f t="shared" si="2600"/>
        <v>446574</v>
      </c>
      <c r="Q92" s="84">
        <f t="shared" si="2600"/>
        <v>443242</v>
      </c>
      <c r="R92" s="84">
        <f t="shared" si="2600"/>
        <v>443242</v>
      </c>
      <c r="S92" s="84">
        <f t="shared" si="2600"/>
        <v>443242</v>
      </c>
      <c r="T92" s="84">
        <f t="shared" si="2600"/>
        <v>443242</v>
      </c>
      <c r="U92" s="84">
        <f t="shared" si="2600"/>
        <v>439620</v>
      </c>
      <c r="V92" s="84">
        <f t="shared" si="2600"/>
        <v>439620</v>
      </c>
      <c r="W92" s="84">
        <f t="shared" si="2600"/>
        <v>439620</v>
      </c>
      <c r="X92" s="84">
        <f t="shared" si="2600"/>
        <v>439620</v>
      </c>
      <c r="Y92" s="84">
        <f t="shared" si="2600"/>
        <v>436028</v>
      </c>
      <c r="Z92" s="84">
        <f t="shared" si="2600"/>
        <v>436028</v>
      </c>
      <c r="AA92" s="84">
        <f t="shared" si="2600"/>
        <v>436028</v>
      </c>
      <c r="AB92" s="84">
        <f t="shared" si="2600"/>
        <v>436028</v>
      </c>
      <c r="AC92" s="84">
        <f t="shared" si="2600"/>
        <v>432465</v>
      </c>
      <c r="AD92" s="84">
        <f t="shared" si="2600"/>
        <v>432465</v>
      </c>
      <c r="AE92" s="84">
        <f t="shared" si="2600"/>
        <v>432465</v>
      </c>
      <c r="AF92" s="84">
        <f t="shared" si="2600"/>
        <v>432465</v>
      </c>
      <c r="AG92" s="84">
        <f t="shared" si="2600"/>
        <v>428932</v>
      </c>
      <c r="AH92" s="84">
        <f t="shared" si="2600"/>
        <v>428932</v>
      </c>
      <c r="AI92" s="84">
        <f t="shared" si="2600"/>
        <v>428932</v>
      </c>
      <c r="AJ92" s="84">
        <f t="shared" si="2600"/>
        <v>428932</v>
      </c>
      <c r="AK92" s="84">
        <f t="shared" si="2600"/>
        <v>425427</v>
      </c>
      <c r="AL92" s="84">
        <f t="shared" si="2600"/>
        <v>425427</v>
      </c>
      <c r="AM92" s="84">
        <f t="shared" si="2600"/>
        <v>425427</v>
      </c>
      <c r="AN92" s="84">
        <f t="shared" si="2600"/>
        <v>425427</v>
      </c>
      <c r="AO92" s="84">
        <f t="shared" si="2600"/>
        <v>421951</v>
      </c>
      <c r="AP92" s="84">
        <f t="shared" si="2600"/>
        <v>421951</v>
      </c>
      <c r="AQ92" s="84">
        <f t="shared" si="2600"/>
        <v>421951</v>
      </c>
      <c r="AR92" s="84">
        <f t="shared" si="2600"/>
        <v>421951</v>
      </c>
      <c r="AS92" s="84">
        <f t="shared" si="2600"/>
        <v>418503</v>
      </c>
      <c r="AT92" s="84">
        <f t="shared" si="2600"/>
        <v>418503</v>
      </c>
      <c r="AU92" s="84">
        <f t="shared" si="2600"/>
        <v>418503</v>
      </c>
      <c r="AV92" s="84">
        <f t="shared" si="2600"/>
        <v>418503</v>
      </c>
      <c r="AW92" s="84">
        <f t="shared" si="2600"/>
        <v>415083</v>
      </c>
      <c r="AX92" s="84">
        <f t="shared" si="2600"/>
        <v>415083</v>
      </c>
      <c r="AY92" s="84">
        <f t="shared" si="2600"/>
        <v>415083</v>
      </c>
      <c r="AZ92" s="84">
        <f t="shared" si="2600"/>
        <v>415083</v>
      </c>
      <c r="BA92" s="84">
        <f t="shared" si="2600"/>
        <v>411692</v>
      </c>
      <c r="BB92" s="84">
        <f t="shared" si="2600"/>
        <v>411692</v>
      </c>
      <c r="BC92" s="84">
        <f t="shared" si="2600"/>
        <v>411692</v>
      </c>
      <c r="BD92" s="84">
        <f t="shared" si="2600"/>
        <v>411692</v>
      </c>
      <c r="BE92" s="84">
        <f t="shared" si="2600"/>
        <v>408328</v>
      </c>
      <c r="BF92" s="84">
        <f t="shared" si="2600"/>
        <v>408328</v>
      </c>
      <c r="BG92" s="84">
        <f t="shared" si="2600"/>
        <v>408328</v>
      </c>
      <c r="BH92" s="84">
        <f t="shared" si="2600"/>
        <v>408328</v>
      </c>
      <c r="BI92" s="84">
        <f t="shared" si="2600"/>
        <v>404992</v>
      </c>
      <c r="BJ92" s="84">
        <f t="shared" si="2600"/>
        <v>404992</v>
      </c>
      <c r="BK92" s="84">
        <f t="shared" si="2600"/>
        <v>404992</v>
      </c>
      <c r="BL92" s="84">
        <f t="shared" si="2600"/>
        <v>404992</v>
      </c>
      <c r="BM92" s="84">
        <f t="shared" si="2600"/>
        <v>401682</v>
      </c>
      <c r="BN92" s="84">
        <f t="shared" si="2600"/>
        <v>401682</v>
      </c>
      <c r="BO92" s="84">
        <f t="shared" si="2600"/>
        <v>401682</v>
      </c>
      <c r="BP92" s="84">
        <f t="shared" si="2600"/>
        <v>401682</v>
      </c>
      <c r="BQ92" s="84">
        <f t="shared" si="2600"/>
        <v>398400</v>
      </c>
      <c r="BR92" s="84">
        <f t="shared" ref="BR92:CJ92" si="2601">ROUND(BR86*$D$92/(1+5%),0)</f>
        <v>398400</v>
      </c>
      <c r="BS92" s="84">
        <f t="shared" si="2601"/>
        <v>398400</v>
      </c>
      <c r="BT92" s="84">
        <f t="shared" si="2601"/>
        <v>398400</v>
      </c>
      <c r="BU92" s="84">
        <f t="shared" si="2601"/>
        <v>395145</v>
      </c>
      <c r="BV92" s="84">
        <f t="shared" si="2601"/>
        <v>395145</v>
      </c>
      <c r="BW92" s="84">
        <f t="shared" si="2601"/>
        <v>395145</v>
      </c>
      <c r="BX92" s="84">
        <f t="shared" si="2601"/>
        <v>395145</v>
      </c>
      <c r="BY92" s="84">
        <f t="shared" si="2601"/>
        <v>391916</v>
      </c>
      <c r="BZ92" s="84">
        <f t="shared" si="2601"/>
        <v>391916</v>
      </c>
      <c r="CA92" s="84">
        <f t="shared" si="2601"/>
        <v>391916</v>
      </c>
      <c r="CB92" s="84">
        <f t="shared" si="2601"/>
        <v>391916</v>
      </c>
      <c r="CC92" s="84">
        <f t="shared" si="2601"/>
        <v>388714</v>
      </c>
      <c r="CD92" s="84">
        <f t="shared" si="2601"/>
        <v>388714</v>
      </c>
      <c r="CE92" s="84">
        <f t="shared" si="2601"/>
        <v>388714</v>
      </c>
      <c r="CF92" s="84">
        <f t="shared" si="2601"/>
        <v>388714</v>
      </c>
      <c r="CG92" s="84">
        <f t="shared" si="2601"/>
        <v>385537</v>
      </c>
      <c r="CH92" s="84">
        <f t="shared" si="2601"/>
        <v>385537</v>
      </c>
      <c r="CI92" s="84">
        <f t="shared" si="2601"/>
        <v>385537</v>
      </c>
      <c r="CJ92" s="84">
        <f t="shared" si="2601"/>
        <v>385537</v>
      </c>
      <c r="CK92" s="84">
        <f t="shared" ref="CK92:CU92" si="2602">ROUND(CK86*$D$92/(1+5%),0)</f>
        <v>382397</v>
      </c>
      <c r="CL92" s="84">
        <f t="shared" si="2602"/>
        <v>382397</v>
      </c>
      <c r="CM92" s="84">
        <f t="shared" si="2602"/>
        <v>382397</v>
      </c>
      <c r="CN92" s="84">
        <f t="shared" si="2602"/>
        <v>382397</v>
      </c>
      <c r="CO92" s="84">
        <f t="shared" si="2602"/>
        <v>379282</v>
      </c>
      <c r="CP92" s="84">
        <f t="shared" si="2602"/>
        <v>379282</v>
      </c>
      <c r="CQ92" s="84">
        <f t="shared" si="2602"/>
        <v>379282</v>
      </c>
      <c r="CR92" s="84">
        <f t="shared" si="2602"/>
        <v>379282</v>
      </c>
      <c r="CS92" s="84">
        <f t="shared" si="2602"/>
        <v>376192</v>
      </c>
      <c r="CT92" s="84">
        <f t="shared" si="2602"/>
        <v>376192</v>
      </c>
      <c r="CU92" s="84">
        <f t="shared" si="2602"/>
        <v>376192</v>
      </c>
      <c r="CV92" s="84">
        <f>ROUND(CV86*$D$92/(1+5%),0)</f>
        <v>376192</v>
      </c>
      <c r="CW92" s="84">
        <f t="shared" ref="CW92:EJ92" si="2603">ROUND(CW86*$D$92/(1+5%),0)</f>
        <v>373127</v>
      </c>
      <c r="CX92" s="84">
        <f t="shared" si="2603"/>
        <v>373127</v>
      </c>
      <c r="CY92" s="84">
        <f t="shared" si="2603"/>
        <v>373127</v>
      </c>
      <c r="CZ92" s="84">
        <f t="shared" si="2603"/>
        <v>373127</v>
      </c>
      <c r="DA92" s="84">
        <f t="shared" si="2603"/>
        <v>370088</v>
      </c>
      <c r="DB92" s="84">
        <f t="shared" si="2603"/>
        <v>370088</v>
      </c>
      <c r="DC92" s="84">
        <f t="shared" si="2603"/>
        <v>370088</v>
      </c>
      <c r="DD92" s="84">
        <f t="shared" si="2603"/>
        <v>370088</v>
      </c>
      <c r="DE92" s="84">
        <f t="shared" si="2603"/>
        <v>367073</v>
      </c>
      <c r="DF92" s="84">
        <f t="shared" si="2603"/>
        <v>367073</v>
      </c>
      <c r="DG92" s="84">
        <f t="shared" si="2603"/>
        <v>367073</v>
      </c>
      <c r="DH92" s="84">
        <f t="shared" si="2603"/>
        <v>367073</v>
      </c>
      <c r="DI92" s="84">
        <f t="shared" si="2603"/>
        <v>364083</v>
      </c>
      <c r="DJ92" s="84">
        <f t="shared" si="2603"/>
        <v>364083</v>
      </c>
      <c r="DK92" s="84">
        <f t="shared" si="2603"/>
        <v>364083</v>
      </c>
      <c r="DL92" s="84">
        <f t="shared" si="2603"/>
        <v>364083</v>
      </c>
      <c r="DM92" s="84">
        <f t="shared" si="2603"/>
        <v>361118</v>
      </c>
      <c r="DN92" s="84">
        <f t="shared" si="2603"/>
        <v>361118</v>
      </c>
      <c r="DO92" s="84">
        <f t="shared" si="2603"/>
        <v>361118</v>
      </c>
      <c r="DP92" s="84">
        <f t="shared" si="2603"/>
        <v>361118</v>
      </c>
      <c r="DQ92" s="84">
        <f t="shared" si="2603"/>
        <v>358177</v>
      </c>
      <c r="DR92" s="84">
        <f t="shared" si="2603"/>
        <v>358177</v>
      </c>
      <c r="DS92" s="84">
        <f t="shared" si="2603"/>
        <v>358177</v>
      </c>
      <c r="DT92" s="84">
        <f t="shared" si="2603"/>
        <v>358177</v>
      </c>
      <c r="DU92" s="84">
        <f t="shared" si="2603"/>
        <v>355260</v>
      </c>
      <c r="DV92" s="84">
        <f t="shared" si="2603"/>
        <v>355260</v>
      </c>
      <c r="DW92" s="84">
        <f t="shared" si="2603"/>
        <v>355260</v>
      </c>
      <c r="DX92" s="84">
        <f t="shared" si="2603"/>
        <v>355260</v>
      </c>
      <c r="DY92" s="84">
        <f t="shared" si="2603"/>
        <v>352366</v>
      </c>
      <c r="DZ92" s="84">
        <f t="shared" si="2603"/>
        <v>352366</v>
      </c>
      <c r="EA92" s="84">
        <f t="shared" si="2603"/>
        <v>352366</v>
      </c>
      <c r="EB92" s="84">
        <f t="shared" si="2603"/>
        <v>352366</v>
      </c>
      <c r="EC92" s="84">
        <f t="shared" si="2603"/>
        <v>349497</v>
      </c>
      <c r="ED92" s="84">
        <f t="shared" si="2603"/>
        <v>349497</v>
      </c>
      <c r="EE92" s="84">
        <f t="shared" si="2603"/>
        <v>349497</v>
      </c>
      <c r="EF92" s="84">
        <f t="shared" si="2603"/>
        <v>349497</v>
      </c>
      <c r="EG92" s="84">
        <f t="shared" si="2603"/>
        <v>346650</v>
      </c>
      <c r="EH92" s="84">
        <f t="shared" si="2603"/>
        <v>346650</v>
      </c>
      <c r="EI92" s="84">
        <f t="shared" si="2603"/>
        <v>346650</v>
      </c>
      <c r="EJ92" s="84">
        <f t="shared" si="2603"/>
        <v>346650</v>
      </c>
      <c r="EK92" s="84">
        <f>ROUND(EK86*$D$92/(1+5%),0)</f>
        <v>343827</v>
      </c>
      <c r="EL92" s="84">
        <f t="shared" ref="EL92:EN92" si="2604">ROUND(EL86*$D$92/(1+5%),0)</f>
        <v>343827</v>
      </c>
      <c r="EM92" s="84">
        <f t="shared" si="2604"/>
        <v>343827</v>
      </c>
      <c r="EN92" s="84">
        <f t="shared" si="2604"/>
        <v>343827</v>
      </c>
      <c r="EO92" s="85">
        <f t="shared" si="2519"/>
        <v>55481194</v>
      </c>
      <c r="EP92" s="72"/>
      <c r="EQ92" s="72"/>
      <c r="ER92" s="72"/>
      <c r="ES92" s="72"/>
      <c r="ET92" s="72"/>
      <c r="EU92" s="72"/>
      <c r="EV92" s="72"/>
      <c r="EW92" s="72"/>
      <c r="EX92" s="72"/>
      <c r="EY92" s="72"/>
      <c r="EZ92" s="72"/>
      <c r="FA92" s="72"/>
      <c r="FB92" s="72"/>
      <c r="FC92" s="72"/>
      <c r="FD92" s="72"/>
      <c r="FE92" s="72"/>
      <c r="FF92" s="72"/>
      <c r="FG92" s="72"/>
      <c r="FH92" s="72"/>
      <c r="FI92" s="72"/>
      <c r="FJ92" s="72"/>
      <c r="FK92" s="72"/>
      <c r="FL92" s="72"/>
      <c r="FM92" s="72"/>
      <c r="FN92" s="72"/>
      <c r="FO92" s="72"/>
      <c r="FP92" s="72"/>
      <c r="FQ92" s="72"/>
      <c r="FR92" s="72"/>
      <c r="FS92" s="72"/>
      <c r="FT92" s="72"/>
      <c r="FU92" s="72"/>
      <c r="FV92" s="72"/>
      <c r="FW92" s="72"/>
      <c r="FX92" s="72"/>
      <c r="FY92" s="72"/>
      <c r="FZ92" s="72"/>
      <c r="GA92" s="72"/>
      <c r="GB92" s="72"/>
      <c r="GC92" s="72"/>
      <c r="GD92" s="72"/>
      <c r="GE92" s="72"/>
      <c r="GF92" s="72"/>
      <c r="GG92" s="72"/>
      <c r="GH92" s="72"/>
      <c r="GI92" s="72"/>
      <c r="GJ92" s="72"/>
      <c r="GK92" s="72"/>
      <c r="GL92" s="72"/>
      <c r="GM92" s="72"/>
      <c r="GN92" s="72"/>
      <c r="GO92" s="72"/>
      <c r="GP92" s="72"/>
      <c r="GQ92" s="72"/>
      <c r="GR92" s="72"/>
      <c r="GS92" s="72"/>
      <c r="GT92" s="72"/>
      <c r="GU92" s="72"/>
      <c r="GV92" s="72"/>
      <c r="GW92" s="72"/>
      <c r="GX92" s="73"/>
    </row>
    <row r="93" spans="1:268" s="74" customFormat="1" ht="14.25">
      <c r="A93" s="68"/>
      <c r="B93" s="18" t="s">
        <v>796</v>
      </c>
      <c r="C93" s="18"/>
      <c r="D93" s="94">
        <f>仓储现金流!D85</f>
        <v>0.04</v>
      </c>
      <c r="E93" s="84">
        <f>ROUND(E86*$D$93,0)</f>
        <v>335277</v>
      </c>
      <c r="F93" s="84">
        <f t="shared" ref="F93:BQ93" si="2605">ROUND(F86*$D$93,0)</f>
        <v>335277</v>
      </c>
      <c r="G93" s="84">
        <f t="shared" si="2605"/>
        <v>336642</v>
      </c>
      <c r="H93" s="358">
        <f t="shared" si="2605"/>
        <v>337439</v>
      </c>
      <c r="I93" s="84">
        <f t="shared" si="2605"/>
        <v>335688</v>
      </c>
      <c r="J93" s="84">
        <f>ROUND(J86*$D$93,0)</f>
        <v>335688</v>
      </c>
      <c r="K93" s="84">
        <f t="shared" si="2605"/>
        <v>337389</v>
      </c>
      <c r="L93" s="84">
        <f t="shared" si="2605"/>
        <v>337389</v>
      </c>
      <c r="M93" s="84">
        <f t="shared" si="2605"/>
        <v>334930</v>
      </c>
      <c r="N93" s="84">
        <f t="shared" si="2605"/>
        <v>334930</v>
      </c>
      <c r="O93" s="84">
        <f t="shared" si="2605"/>
        <v>334930</v>
      </c>
      <c r="P93" s="84">
        <f t="shared" si="2605"/>
        <v>334930</v>
      </c>
      <c r="Q93" s="84">
        <f t="shared" si="2605"/>
        <v>332432</v>
      </c>
      <c r="R93" s="84">
        <f t="shared" si="2605"/>
        <v>332432</v>
      </c>
      <c r="S93" s="84">
        <f t="shared" si="2605"/>
        <v>332432</v>
      </c>
      <c r="T93" s="84">
        <f t="shared" si="2605"/>
        <v>332432</v>
      </c>
      <c r="U93" s="84">
        <f t="shared" si="2605"/>
        <v>329715</v>
      </c>
      <c r="V93" s="84">
        <f t="shared" si="2605"/>
        <v>329715</v>
      </c>
      <c r="W93" s="84">
        <f t="shared" si="2605"/>
        <v>329715</v>
      </c>
      <c r="X93" s="84">
        <f t="shared" si="2605"/>
        <v>329715</v>
      </c>
      <c r="Y93" s="84">
        <f t="shared" si="2605"/>
        <v>327021</v>
      </c>
      <c r="Z93" s="84">
        <f t="shared" si="2605"/>
        <v>327021</v>
      </c>
      <c r="AA93" s="84">
        <f t="shared" si="2605"/>
        <v>327021</v>
      </c>
      <c r="AB93" s="84">
        <f t="shared" si="2605"/>
        <v>327021</v>
      </c>
      <c r="AC93" s="84">
        <f t="shared" si="2605"/>
        <v>324349</v>
      </c>
      <c r="AD93" s="84">
        <f t="shared" si="2605"/>
        <v>324349</v>
      </c>
      <c r="AE93" s="84">
        <f t="shared" si="2605"/>
        <v>324349</v>
      </c>
      <c r="AF93" s="84">
        <f t="shared" si="2605"/>
        <v>324349</v>
      </c>
      <c r="AG93" s="84">
        <f t="shared" si="2605"/>
        <v>321699</v>
      </c>
      <c r="AH93" s="84">
        <f t="shared" si="2605"/>
        <v>321699</v>
      </c>
      <c r="AI93" s="84">
        <f t="shared" si="2605"/>
        <v>321699</v>
      </c>
      <c r="AJ93" s="84">
        <f t="shared" si="2605"/>
        <v>321699</v>
      </c>
      <c r="AK93" s="84">
        <f t="shared" si="2605"/>
        <v>319070</v>
      </c>
      <c r="AL93" s="84">
        <f t="shared" si="2605"/>
        <v>319070</v>
      </c>
      <c r="AM93" s="84">
        <f t="shared" si="2605"/>
        <v>319070</v>
      </c>
      <c r="AN93" s="84">
        <f t="shared" si="2605"/>
        <v>319070</v>
      </c>
      <c r="AO93" s="84">
        <f t="shared" si="2605"/>
        <v>316463</v>
      </c>
      <c r="AP93" s="84">
        <f t="shared" si="2605"/>
        <v>316463</v>
      </c>
      <c r="AQ93" s="84">
        <f t="shared" si="2605"/>
        <v>316463</v>
      </c>
      <c r="AR93" s="84">
        <f t="shared" si="2605"/>
        <v>316463</v>
      </c>
      <c r="AS93" s="84">
        <f t="shared" si="2605"/>
        <v>313877</v>
      </c>
      <c r="AT93" s="84">
        <f t="shared" si="2605"/>
        <v>313877</v>
      </c>
      <c r="AU93" s="84">
        <f t="shared" si="2605"/>
        <v>313877</v>
      </c>
      <c r="AV93" s="84">
        <f t="shared" si="2605"/>
        <v>313877</v>
      </c>
      <c r="AW93" s="84">
        <f t="shared" si="2605"/>
        <v>311313</v>
      </c>
      <c r="AX93" s="84">
        <f t="shared" si="2605"/>
        <v>311313</v>
      </c>
      <c r="AY93" s="84">
        <f t="shared" si="2605"/>
        <v>311313</v>
      </c>
      <c r="AZ93" s="84">
        <f t="shared" si="2605"/>
        <v>311313</v>
      </c>
      <c r="BA93" s="84">
        <f t="shared" si="2605"/>
        <v>308769</v>
      </c>
      <c r="BB93" s="84">
        <f t="shared" si="2605"/>
        <v>308769</v>
      </c>
      <c r="BC93" s="84">
        <f t="shared" si="2605"/>
        <v>308769</v>
      </c>
      <c r="BD93" s="84">
        <f t="shared" si="2605"/>
        <v>308769</v>
      </c>
      <c r="BE93" s="84">
        <f t="shared" si="2605"/>
        <v>306246</v>
      </c>
      <c r="BF93" s="84">
        <f t="shared" si="2605"/>
        <v>306246</v>
      </c>
      <c r="BG93" s="84">
        <f t="shared" si="2605"/>
        <v>306246</v>
      </c>
      <c r="BH93" s="84">
        <f t="shared" si="2605"/>
        <v>306246</v>
      </c>
      <c r="BI93" s="84">
        <f t="shared" si="2605"/>
        <v>303744</v>
      </c>
      <c r="BJ93" s="84">
        <f t="shared" si="2605"/>
        <v>303744</v>
      </c>
      <c r="BK93" s="84">
        <f t="shared" si="2605"/>
        <v>303744</v>
      </c>
      <c r="BL93" s="84">
        <f t="shared" si="2605"/>
        <v>303744</v>
      </c>
      <c r="BM93" s="84">
        <f t="shared" si="2605"/>
        <v>301262</v>
      </c>
      <c r="BN93" s="84">
        <f t="shared" si="2605"/>
        <v>301262</v>
      </c>
      <c r="BO93" s="84">
        <f t="shared" si="2605"/>
        <v>301262</v>
      </c>
      <c r="BP93" s="84">
        <f t="shared" si="2605"/>
        <v>301262</v>
      </c>
      <c r="BQ93" s="84">
        <f t="shared" si="2605"/>
        <v>298800</v>
      </c>
      <c r="BR93" s="84">
        <f t="shared" ref="BR93:CJ93" si="2606">ROUND(BR86*$D$93,0)</f>
        <v>298800</v>
      </c>
      <c r="BS93" s="84">
        <f t="shared" si="2606"/>
        <v>298800</v>
      </c>
      <c r="BT93" s="84">
        <f t="shared" si="2606"/>
        <v>298800</v>
      </c>
      <c r="BU93" s="84">
        <f t="shared" si="2606"/>
        <v>296358</v>
      </c>
      <c r="BV93" s="84">
        <f t="shared" si="2606"/>
        <v>296358</v>
      </c>
      <c r="BW93" s="84">
        <f t="shared" si="2606"/>
        <v>296358</v>
      </c>
      <c r="BX93" s="84">
        <f t="shared" si="2606"/>
        <v>296358</v>
      </c>
      <c r="BY93" s="84">
        <f t="shared" si="2606"/>
        <v>293937</v>
      </c>
      <c r="BZ93" s="84">
        <f t="shared" si="2606"/>
        <v>293937</v>
      </c>
      <c r="CA93" s="84">
        <f t="shared" si="2606"/>
        <v>293937</v>
      </c>
      <c r="CB93" s="84">
        <f t="shared" si="2606"/>
        <v>293937</v>
      </c>
      <c r="CC93" s="84">
        <f t="shared" si="2606"/>
        <v>291535</v>
      </c>
      <c r="CD93" s="84">
        <f t="shared" si="2606"/>
        <v>291535</v>
      </c>
      <c r="CE93" s="84">
        <f t="shared" si="2606"/>
        <v>291535</v>
      </c>
      <c r="CF93" s="84">
        <f t="shared" si="2606"/>
        <v>291535</v>
      </c>
      <c r="CG93" s="84">
        <f t="shared" si="2606"/>
        <v>289153</v>
      </c>
      <c r="CH93" s="84">
        <f t="shared" si="2606"/>
        <v>289153</v>
      </c>
      <c r="CI93" s="84">
        <f t="shared" si="2606"/>
        <v>289153</v>
      </c>
      <c r="CJ93" s="84">
        <f t="shared" si="2606"/>
        <v>289153</v>
      </c>
      <c r="CK93" s="84">
        <f t="shared" ref="CK93:CU93" si="2607">ROUND(CK86*$D$93,0)</f>
        <v>286798</v>
      </c>
      <c r="CL93" s="84">
        <f t="shared" si="2607"/>
        <v>286798</v>
      </c>
      <c r="CM93" s="84">
        <f t="shared" si="2607"/>
        <v>286798</v>
      </c>
      <c r="CN93" s="84">
        <f t="shared" si="2607"/>
        <v>286798</v>
      </c>
      <c r="CO93" s="84">
        <f t="shared" si="2607"/>
        <v>284461</v>
      </c>
      <c r="CP93" s="84">
        <f t="shared" si="2607"/>
        <v>284461</v>
      </c>
      <c r="CQ93" s="84">
        <f t="shared" si="2607"/>
        <v>284461</v>
      </c>
      <c r="CR93" s="84">
        <f t="shared" si="2607"/>
        <v>284461</v>
      </c>
      <c r="CS93" s="84">
        <f t="shared" si="2607"/>
        <v>282144</v>
      </c>
      <c r="CT93" s="84">
        <f t="shared" si="2607"/>
        <v>282144</v>
      </c>
      <c r="CU93" s="84">
        <f t="shared" si="2607"/>
        <v>282144</v>
      </c>
      <c r="CV93" s="84">
        <f>ROUND(CV86*$D$93,0)</f>
        <v>282144</v>
      </c>
      <c r="CW93" s="84">
        <f t="shared" ref="CW93:EI93" si="2608">ROUND(CW86*$D$93,0)</f>
        <v>279846</v>
      </c>
      <c r="CX93" s="84">
        <f t="shared" si="2608"/>
        <v>279846</v>
      </c>
      <c r="CY93" s="84">
        <f t="shared" si="2608"/>
        <v>279846</v>
      </c>
      <c r="CZ93" s="84">
        <f t="shared" si="2608"/>
        <v>279846</v>
      </c>
      <c r="DA93" s="84">
        <f t="shared" si="2608"/>
        <v>277566</v>
      </c>
      <c r="DB93" s="84">
        <f t="shared" si="2608"/>
        <v>277566</v>
      </c>
      <c r="DC93" s="84">
        <f t="shared" si="2608"/>
        <v>277566</v>
      </c>
      <c r="DD93" s="84">
        <f t="shared" si="2608"/>
        <v>277566</v>
      </c>
      <c r="DE93" s="84">
        <f t="shared" si="2608"/>
        <v>275305</v>
      </c>
      <c r="DF93" s="84">
        <f t="shared" si="2608"/>
        <v>275305</v>
      </c>
      <c r="DG93" s="84">
        <f t="shared" si="2608"/>
        <v>275305</v>
      </c>
      <c r="DH93" s="84">
        <f t="shared" si="2608"/>
        <v>275305</v>
      </c>
      <c r="DI93" s="84">
        <f t="shared" si="2608"/>
        <v>273063</v>
      </c>
      <c r="DJ93" s="84">
        <f t="shared" si="2608"/>
        <v>273063</v>
      </c>
      <c r="DK93" s="84">
        <f t="shared" si="2608"/>
        <v>273063</v>
      </c>
      <c r="DL93" s="84">
        <f t="shared" si="2608"/>
        <v>273063</v>
      </c>
      <c r="DM93" s="84">
        <f t="shared" si="2608"/>
        <v>270839</v>
      </c>
      <c r="DN93" s="84">
        <f t="shared" si="2608"/>
        <v>270839</v>
      </c>
      <c r="DO93" s="84">
        <f t="shared" si="2608"/>
        <v>270839</v>
      </c>
      <c r="DP93" s="84">
        <f t="shared" si="2608"/>
        <v>270839</v>
      </c>
      <c r="DQ93" s="84">
        <f t="shared" si="2608"/>
        <v>268633</v>
      </c>
      <c r="DR93" s="84">
        <f t="shared" si="2608"/>
        <v>268633</v>
      </c>
      <c r="DS93" s="84">
        <f t="shared" si="2608"/>
        <v>268633</v>
      </c>
      <c r="DT93" s="84">
        <f t="shared" si="2608"/>
        <v>268633</v>
      </c>
      <c r="DU93" s="84">
        <f t="shared" si="2608"/>
        <v>266445</v>
      </c>
      <c r="DV93" s="84">
        <f t="shared" si="2608"/>
        <v>266445</v>
      </c>
      <c r="DW93" s="84">
        <f t="shared" si="2608"/>
        <v>266445</v>
      </c>
      <c r="DX93" s="84">
        <f t="shared" si="2608"/>
        <v>266445</v>
      </c>
      <c r="DY93" s="84">
        <f t="shared" si="2608"/>
        <v>264275</v>
      </c>
      <c r="DZ93" s="84">
        <f t="shared" si="2608"/>
        <v>264275</v>
      </c>
      <c r="EA93" s="84">
        <f t="shared" si="2608"/>
        <v>264275</v>
      </c>
      <c r="EB93" s="84">
        <f t="shared" si="2608"/>
        <v>264275</v>
      </c>
      <c r="EC93" s="84">
        <f t="shared" si="2608"/>
        <v>262122</v>
      </c>
      <c r="ED93" s="84">
        <f t="shared" si="2608"/>
        <v>262122</v>
      </c>
      <c r="EE93" s="84">
        <f t="shared" si="2608"/>
        <v>262122</v>
      </c>
      <c r="EF93" s="84">
        <f t="shared" si="2608"/>
        <v>262122</v>
      </c>
      <c r="EG93" s="84">
        <f t="shared" si="2608"/>
        <v>259988</v>
      </c>
      <c r="EH93" s="84">
        <f t="shared" si="2608"/>
        <v>259988</v>
      </c>
      <c r="EI93" s="84">
        <f t="shared" si="2608"/>
        <v>259988</v>
      </c>
      <c r="EJ93" s="84">
        <f>ROUND(EJ86*$D$93,0)</f>
        <v>259988</v>
      </c>
      <c r="EK93" s="84">
        <f>ROUND(EK86*$D$93,0)</f>
        <v>257870</v>
      </c>
      <c r="EL93" s="84">
        <f t="shared" ref="EL93:EN93" si="2609">ROUND(EL86*$D$93,0)</f>
        <v>257870</v>
      </c>
      <c r="EM93" s="84">
        <f t="shared" si="2609"/>
        <v>257870</v>
      </c>
      <c r="EN93" s="84">
        <f t="shared" si="2609"/>
        <v>257870</v>
      </c>
      <c r="EO93" s="85">
        <f t="shared" si="2519"/>
        <v>41610901</v>
      </c>
      <c r="EP93" s="72"/>
      <c r="EQ93" s="72"/>
      <c r="ER93" s="72"/>
      <c r="ES93" s="72"/>
      <c r="ET93" s="72"/>
      <c r="EU93" s="72"/>
      <c r="EV93" s="72"/>
      <c r="EW93" s="72"/>
      <c r="EX93" s="72"/>
      <c r="EY93" s="72"/>
      <c r="EZ93" s="72"/>
      <c r="FA93" s="72"/>
      <c r="FB93" s="72"/>
      <c r="FC93" s="72"/>
      <c r="FD93" s="72"/>
      <c r="FE93" s="72"/>
      <c r="FF93" s="72"/>
      <c r="FG93" s="72"/>
      <c r="FH93" s="72"/>
      <c r="FI93" s="72"/>
      <c r="FJ93" s="72"/>
      <c r="FK93" s="72"/>
      <c r="FL93" s="72"/>
      <c r="FM93" s="72"/>
      <c r="FN93" s="72"/>
      <c r="FO93" s="72"/>
      <c r="FP93" s="72"/>
      <c r="FQ93" s="72"/>
      <c r="FR93" s="72"/>
      <c r="FS93" s="72"/>
      <c r="FT93" s="72"/>
      <c r="FU93" s="72"/>
      <c r="FV93" s="72"/>
      <c r="FW93" s="72"/>
      <c r="FX93" s="72"/>
      <c r="FY93" s="72"/>
      <c r="FZ93" s="72"/>
      <c r="GA93" s="72"/>
      <c r="GB93" s="72"/>
      <c r="GC93" s="72"/>
      <c r="GD93" s="72"/>
      <c r="GE93" s="72"/>
      <c r="GF93" s="72"/>
      <c r="GG93" s="72"/>
      <c r="GH93" s="72"/>
      <c r="GI93" s="72"/>
      <c r="GJ93" s="72"/>
      <c r="GK93" s="72"/>
      <c r="GL93" s="72"/>
      <c r="GM93" s="72"/>
      <c r="GN93" s="72"/>
      <c r="GO93" s="72"/>
      <c r="GP93" s="72"/>
      <c r="GQ93" s="72"/>
      <c r="GR93" s="72"/>
      <c r="GS93" s="72"/>
      <c r="GT93" s="72"/>
      <c r="GU93" s="72"/>
      <c r="GV93" s="72"/>
      <c r="GW93" s="72"/>
      <c r="GX93" s="73"/>
    </row>
    <row r="94" spans="1:268" s="88" customFormat="1" ht="21">
      <c r="A94" s="82"/>
      <c r="B94" s="18" t="s">
        <v>967</v>
      </c>
      <c r="C94" s="19"/>
      <c r="D94" s="83"/>
      <c r="E94" s="95">
        <f>E86-E90</f>
        <v>6593781</v>
      </c>
      <c r="F94" s="95">
        <f t="shared" ref="F94:BQ94" si="2610">F86-F90</f>
        <v>6593781</v>
      </c>
      <c r="G94" s="95">
        <f t="shared" si="2610"/>
        <v>6620634</v>
      </c>
      <c r="H94" s="361">
        <f t="shared" si="2610"/>
        <v>6636308</v>
      </c>
      <c r="I94" s="95">
        <f t="shared" si="2610"/>
        <v>6601862</v>
      </c>
      <c r="J94" s="95">
        <f t="shared" si="2610"/>
        <v>6601862</v>
      </c>
      <c r="K94" s="95">
        <f t="shared" si="2610"/>
        <v>6635326</v>
      </c>
      <c r="L94" s="95">
        <f t="shared" si="2610"/>
        <v>6635326</v>
      </c>
      <c r="M94" s="95">
        <f t="shared" si="2610"/>
        <v>6586961</v>
      </c>
      <c r="N94" s="95">
        <f t="shared" si="2610"/>
        <v>6586961</v>
      </c>
      <c r="O94" s="95">
        <f t="shared" si="2610"/>
        <v>6586961</v>
      </c>
      <c r="P94" s="95">
        <f t="shared" si="2610"/>
        <v>6586961</v>
      </c>
      <c r="Q94" s="95">
        <f t="shared" si="2610"/>
        <v>6537820</v>
      </c>
      <c r="R94" s="95">
        <f t="shared" si="2610"/>
        <v>6537820</v>
      </c>
      <c r="S94" s="95">
        <f t="shared" si="2610"/>
        <v>6537820</v>
      </c>
      <c r="T94" s="95">
        <f t="shared" si="2610"/>
        <v>6537820</v>
      </c>
      <c r="U94" s="95">
        <f t="shared" si="2610"/>
        <v>6484400</v>
      </c>
      <c r="V94" s="95">
        <f t="shared" si="2610"/>
        <v>6484400</v>
      </c>
      <c r="W94" s="95">
        <f t="shared" si="2610"/>
        <v>6484400</v>
      </c>
      <c r="X94" s="95">
        <f t="shared" si="2610"/>
        <v>6484400</v>
      </c>
      <c r="Y94" s="95">
        <f t="shared" si="2610"/>
        <v>6431415</v>
      </c>
      <c r="Z94" s="95">
        <f t="shared" si="2610"/>
        <v>6431415</v>
      </c>
      <c r="AA94" s="95">
        <f t="shared" si="2610"/>
        <v>6431415</v>
      </c>
      <c r="AB94" s="95">
        <f t="shared" si="2610"/>
        <v>6431415</v>
      </c>
      <c r="AC94" s="95">
        <f t="shared" si="2610"/>
        <v>6378863</v>
      </c>
      <c r="AD94" s="95">
        <f t="shared" si="2610"/>
        <v>6378863</v>
      </c>
      <c r="AE94" s="95">
        <f t="shared" si="2610"/>
        <v>6378863</v>
      </c>
      <c r="AF94" s="95">
        <f t="shared" si="2610"/>
        <v>6378863</v>
      </c>
      <c r="AG94" s="95">
        <f t="shared" si="2610"/>
        <v>6326743</v>
      </c>
      <c r="AH94" s="95">
        <f t="shared" si="2610"/>
        <v>6326743</v>
      </c>
      <c r="AI94" s="95">
        <f t="shared" si="2610"/>
        <v>6326743</v>
      </c>
      <c r="AJ94" s="95">
        <f t="shared" si="2610"/>
        <v>6326743</v>
      </c>
      <c r="AK94" s="95">
        <f t="shared" si="2610"/>
        <v>6275047</v>
      </c>
      <c r="AL94" s="95">
        <f t="shared" si="2610"/>
        <v>6275047</v>
      </c>
      <c r="AM94" s="95">
        <f t="shared" si="2610"/>
        <v>6275047</v>
      </c>
      <c r="AN94" s="95">
        <f t="shared" si="2610"/>
        <v>6275047</v>
      </c>
      <c r="AO94" s="95">
        <f t="shared" si="2610"/>
        <v>6223773</v>
      </c>
      <c r="AP94" s="95">
        <f t="shared" si="2610"/>
        <v>6223773</v>
      </c>
      <c r="AQ94" s="95">
        <f t="shared" si="2610"/>
        <v>6223773</v>
      </c>
      <c r="AR94" s="95">
        <f t="shared" si="2610"/>
        <v>6223773</v>
      </c>
      <c r="AS94" s="95">
        <f t="shared" si="2610"/>
        <v>6172918</v>
      </c>
      <c r="AT94" s="95">
        <f t="shared" si="2610"/>
        <v>6172918</v>
      </c>
      <c r="AU94" s="95">
        <f t="shared" si="2610"/>
        <v>6172918</v>
      </c>
      <c r="AV94" s="95">
        <f t="shared" si="2610"/>
        <v>6172918</v>
      </c>
      <c r="AW94" s="95">
        <f t="shared" si="2610"/>
        <v>6122479</v>
      </c>
      <c r="AX94" s="95">
        <f t="shared" si="2610"/>
        <v>6122479</v>
      </c>
      <c r="AY94" s="95">
        <f t="shared" si="2610"/>
        <v>6122479</v>
      </c>
      <c r="AZ94" s="95">
        <f t="shared" si="2610"/>
        <v>6122479</v>
      </c>
      <c r="BA94" s="95">
        <f t="shared" si="2610"/>
        <v>6072453</v>
      </c>
      <c r="BB94" s="95">
        <f t="shared" si="2610"/>
        <v>6072453</v>
      </c>
      <c r="BC94" s="95">
        <f t="shared" si="2610"/>
        <v>6072453</v>
      </c>
      <c r="BD94" s="95">
        <f t="shared" si="2610"/>
        <v>6072453</v>
      </c>
      <c r="BE94" s="95">
        <f t="shared" si="2610"/>
        <v>6022839</v>
      </c>
      <c r="BF94" s="95">
        <f t="shared" si="2610"/>
        <v>6022839</v>
      </c>
      <c r="BG94" s="95">
        <f t="shared" si="2610"/>
        <v>6022839</v>
      </c>
      <c r="BH94" s="95">
        <f t="shared" si="2610"/>
        <v>6022839</v>
      </c>
      <c r="BI94" s="95">
        <f t="shared" si="2610"/>
        <v>5973626</v>
      </c>
      <c r="BJ94" s="95">
        <f t="shared" si="2610"/>
        <v>5973626</v>
      </c>
      <c r="BK94" s="95">
        <f t="shared" si="2610"/>
        <v>5973626</v>
      </c>
      <c r="BL94" s="95">
        <f t="shared" si="2610"/>
        <v>5973626</v>
      </c>
      <c r="BM94" s="95">
        <f t="shared" si="2610"/>
        <v>5924815</v>
      </c>
      <c r="BN94" s="95">
        <f t="shared" si="2610"/>
        <v>5924815</v>
      </c>
      <c r="BO94" s="95">
        <f t="shared" si="2610"/>
        <v>5924815</v>
      </c>
      <c r="BP94" s="95">
        <f t="shared" si="2610"/>
        <v>5924815</v>
      </c>
      <c r="BQ94" s="95">
        <f t="shared" si="2610"/>
        <v>5876400</v>
      </c>
      <c r="BR94" s="95">
        <f t="shared" ref="BR94:CJ94" si="2611">BR86-BR90</f>
        <v>5876400</v>
      </c>
      <c r="BS94" s="95">
        <f t="shared" si="2611"/>
        <v>5876400</v>
      </c>
      <c r="BT94" s="95">
        <f t="shared" si="2611"/>
        <v>5876400</v>
      </c>
      <c r="BU94" s="95">
        <f t="shared" si="2611"/>
        <v>5828384</v>
      </c>
      <c r="BV94" s="95">
        <f t="shared" si="2611"/>
        <v>5828384</v>
      </c>
      <c r="BW94" s="95">
        <f t="shared" si="2611"/>
        <v>5828384</v>
      </c>
      <c r="BX94" s="95">
        <f t="shared" si="2611"/>
        <v>5828384</v>
      </c>
      <c r="BY94" s="95">
        <f t="shared" si="2611"/>
        <v>5780760</v>
      </c>
      <c r="BZ94" s="95">
        <f t="shared" si="2611"/>
        <v>5780760</v>
      </c>
      <c r="CA94" s="95">
        <f t="shared" si="2611"/>
        <v>5780760</v>
      </c>
      <c r="CB94" s="95">
        <f t="shared" si="2611"/>
        <v>5780760</v>
      </c>
      <c r="CC94" s="95">
        <f t="shared" si="2611"/>
        <v>5733525</v>
      </c>
      <c r="CD94" s="95">
        <f t="shared" si="2611"/>
        <v>5733525</v>
      </c>
      <c r="CE94" s="95">
        <f t="shared" si="2611"/>
        <v>5733525</v>
      </c>
      <c r="CF94" s="95">
        <f t="shared" si="2611"/>
        <v>5733525</v>
      </c>
      <c r="CG94" s="95">
        <f t="shared" si="2611"/>
        <v>5686677</v>
      </c>
      <c r="CH94" s="95">
        <f t="shared" si="2611"/>
        <v>5686677</v>
      </c>
      <c r="CI94" s="95">
        <f t="shared" si="2611"/>
        <v>5686677</v>
      </c>
      <c r="CJ94" s="95">
        <f t="shared" si="2611"/>
        <v>5686677</v>
      </c>
      <c r="CK94" s="95">
        <f t="shared" ref="CK94:CU94" si="2612">CK86-CK90</f>
        <v>5640350</v>
      </c>
      <c r="CL94" s="95">
        <f t="shared" si="2612"/>
        <v>5640350</v>
      </c>
      <c r="CM94" s="95">
        <f t="shared" si="2612"/>
        <v>5640350</v>
      </c>
      <c r="CN94" s="95">
        <f t="shared" si="2612"/>
        <v>5640350</v>
      </c>
      <c r="CO94" s="95">
        <f t="shared" si="2612"/>
        <v>5594404</v>
      </c>
      <c r="CP94" s="95">
        <f t="shared" si="2612"/>
        <v>5594404</v>
      </c>
      <c r="CQ94" s="95">
        <f t="shared" si="2612"/>
        <v>5594404</v>
      </c>
      <c r="CR94" s="95">
        <f t="shared" si="2612"/>
        <v>5594404</v>
      </c>
      <c r="CS94" s="95">
        <f t="shared" si="2612"/>
        <v>5548828</v>
      </c>
      <c r="CT94" s="95">
        <f t="shared" si="2612"/>
        <v>5548828</v>
      </c>
      <c r="CU94" s="95">
        <f t="shared" si="2612"/>
        <v>5548828</v>
      </c>
      <c r="CV94" s="95">
        <f>CV86-CV90</f>
        <v>5548828</v>
      </c>
      <c r="CW94" s="95">
        <f t="shared" ref="CW94:EI94" si="2613">CW86-CW90</f>
        <v>5503628</v>
      </c>
      <c r="CX94" s="95">
        <f t="shared" si="2613"/>
        <v>5503628</v>
      </c>
      <c r="CY94" s="95">
        <f t="shared" si="2613"/>
        <v>5503628</v>
      </c>
      <c r="CZ94" s="95">
        <f t="shared" si="2613"/>
        <v>5503628</v>
      </c>
      <c r="DA94" s="95">
        <f t="shared" si="2613"/>
        <v>5458800</v>
      </c>
      <c r="DB94" s="95">
        <f t="shared" si="2613"/>
        <v>5458800</v>
      </c>
      <c r="DC94" s="95">
        <f t="shared" si="2613"/>
        <v>5458800</v>
      </c>
      <c r="DD94" s="95">
        <f t="shared" si="2613"/>
        <v>5458800</v>
      </c>
      <c r="DE94" s="95">
        <f t="shared" si="2613"/>
        <v>5414331</v>
      </c>
      <c r="DF94" s="95">
        <f t="shared" si="2613"/>
        <v>5414331</v>
      </c>
      <c r="DG94" s="95">
        <f t="shared" si="2613"/>
        <v>5414331</v>
      </c>
      <c r="DH94" s="95">
        <f t="shared" si="2613"/>
        <v>5414331</v>
      </c>
      <c r="DI94" s="95">
        <f t="shared" si="2613"/>
        <v>5370231</v>
      </c>
      <c r="DJ94" s="95">
        <f t="shared" si="2613"/>
        <v>5370231</v>
      </c>
      <c r="DK94" s="95">
        <f t="shared" si="2613"/>
        <v>5370231</v>
      </c>
      <c r="DL94" s="95">
        <f t="shared" si="2613"/>
        <v>5370231</v>
      </c>
      <c r="DM94" s="95">
        <f t="shared" si="2613"/>
        <v>5326491</v>
      </c>
      <c r="DN94" s="95">
        <f t="shared" si="2613"/>
        <v>5326491</v>
      </c>
      <c r="DO94" s="95">
        <f t="shared" si="2613"/>
        <v>5326491</v>
      </c>
      <c r="DP94" s="95">
        <f t="shared" si="2613"/>
        <v>5326491</v>
      </c>
      <c r="DQ94" s="95">
        <f t="shared" si="2613"/>
        <v>5283110</v>
      </c>
      <c r="DR94" s="95">
        <f t="shared" si="2613"/>
        <v>5283110</v>
      </c>
      <c r="DS94" s="95">
        <f t="shared" si="2613"/>
        <v>5283110</v>
      </c>
      <c r="DT94" s="95">
        <f t="shared" si="2613"/>
        <v>5283110</v>
      </c>
      <c r="DU94" s="95">
        <f t="shared" si="2613"/>
        <v>5240080</v>
      </c>
      <c r="DV94" s="95">
        <f t="shared" si="2613"/>
        <v>5240080</v>
      </c>
      <c r="DW94" s="95">
        <f t="shared" si="2613"/>
        <v>5240080</v>
      </c>
      <c r="DX94" s="95">
        <f t="shared" si="2613"/>
        <v>5240080</v>
      </c>
      <c r="DY94" s="95">
        <f t="shared" si="2613"/>
        <v>5197402</v>
      </c>
      <c r="DZ94" s="95">
        <f t="shared" si="2613"/>
        <v>5197402</v>
      </c>
      <c r="EA94" s="95">
        <f t="shared" si="2613"/>
        <v>5197402</v>
      </c>
      <c r="EB94" s="95">
        <f t="shared" si="2613"/>
        <v>5197402</v>
      </c>
      <c r="EC94" s="95">
        <f t="shared" si="2613"/>
        <v>5155076</v>
      </c>
      <c r="ED94" s="95">
        <f t="shared" si="2613"/>
        <v>5155076</v>
      </c>
      <c r="EE94" s="95">
        <f t="shared" si="2613"/>
        <v>5155076</v>
      </c>
      <c r="EF94" s="95">
        <f t="shared" si="2613"/>
        <v>5155076</v>
      </c>
      <c r="EG94" s="95">
        <f t="shared" si="2613"/>
        <v>5113090</v>
      </c>
      <c r="EH94" s="95">
        <f t="shared" si="2613"/>
        <v>5113090</v>
      </c>
      <c r="EI94" s="95">
        <f t="shared" si="2613"/>
        <v>5113090</v>
      </c>
      <c r="EJ94" s="95">
        <f>EJ86-EJ90</f>
        <v>5113090</v>
      </c>
      <c r="EK94" s="95">
        <f>EK86-EK90</f>
        <v>5071449</v>
      </c>
      <c r="EL94" s="95">
        <f t="shared" ref="EL94:EN94" si="2614">EL86-EL90</f>
        <v>5071449</v>
      </c>
      <c r="EM94" s="95">
        <f t="shared" si="2614"/>
        <v>5071449</v>
      </c>
      <c r="EN94" s="95">
        <f t="shared" si="2614"/>
        <v>5071449</v>
      </c>
      <c r="EO94" s="85">
        <f t="shared" si="2519"/>
        <v>818347552</v>
      </c>
      <c r="EP94" s="86"/>
      <c r="EQ94" s="86"/>
      <c r="ER94" s="86"/>
      <c r="ES94" s="86"/>
      <c r="ET94" s="86"/>
      <c r="EU94" s="86"/>
      <c r="EV94" s="86"/>
      <c r="EW94" s="86"/>
      <c r="EX94" s="86"/>
      <c r="EY94" s="86"/>
      <c r="EZ94" s="86"/>
      <c r="FA94" s="86"/>
      <c r="FB94" s="86"/>
      <c r="FC94" s="86"/>
      <c r="FD94" s="86"/>
      <c r="FE94" s="86"/>
      <c r="FF94" s="86"/>
      <c r="FG94" s="86"/>
      <c r="FH94" s="86"/>
      <c r="FI94" s="86"/>
      <c r="FJ94" s="86"/>
      <c r="FK94" s="86"/>
      <c r="FL94" s="86"/>
      <c r="FM94" s="86"/>
      <c r="FN94" s="86"/>
      <c r="FO94" s="86"/>
      <c r="FP94" s="86"/>
      <c r="FQ94" s="86"/>
      <c r="FR94" s="86"/>
      <c r="FS94" s="86"/>
      <c r="FT94" s="86"/>
      <c r="FU94" s="86"/>
      <c r="FV94" s="86"/>
      <c r="FW94" s="86"/>
      <c r="FX94" s="86"/>
      <c r="FY94" s="86"/>
      <c r="FZ94" s="86"/>
      <c r="GA94" s="86"/>
      <c r="GB94" s="86"/>
      <c r="GC94" s="86"/>
      <c r="GD94" s="86"/>
      <c r="GE94" s="86"/>
      <c r="GF94" s="86"/>
      <c r="GG94" s="86"/>
      <c r="GH94" s="86"/>
      <c r="GI94" s="86"/>
      <c r="GJ94" s="86"/>
      <c r="GK94" s="86"/>
      <c r="GL94" s="86"/>
      <c r="GM94" s="86"/>
      <c r="GN94" s="86"/>
      <c r="GO94" s="86"/>
      <c r="GP94" s="86"/>
      <c r="GQ94" s="86"/>
      <c r="GR94" s="86"/>
      <c r="GS94" s="86"/>
      <c r="GT94" s="86"/>
      <c r="GU94" s="86"/>
      <c r="GV94" s="86"/>
      <c r="GW94" s="86"/>
      <c r="GX94" s="87"/>
    </row>
    <row r="95" spans="1:268" s="88" customFormat="1" ht="14.25">
      <c r="A95" s="82"/>
      <c r="B95" s="18" t="s">
        <v>968</v>
      </c>
      <c r="C95" s="19"/>
      <c r="D95" s="96"/>
      <c r="E95" s="393">
        <f>E94+F94+G94+H94</f>
        <v>26444504</v>
      </c>
      <c r="F95" s="394"/>
      <c r="G95" s="394"/>
      <c r="H95" s="395"/>
      <c r="I95" s="393">
        <f>I94+J94+K94+L94</f>
        <v>26474376</v>
      </c>
      <c r="J95" s="394"/>
      <c r="K95" s="394"/>
      <c r="L95" s="395"/>
      <c r="M95" s="393">
        <f>M94+N94+O94+P94</f>
        <v>26347844</v>
      </c>
      <c r="N95" s="394"/>
      <c r="O95" s="394"/>
      <c r="P95" s="395"/>
      <c r="Q95" s="393">
        <f>Q94+R94+S94+T94</f>
        <v>26151280</v>
      </c>
      <c r="R95" s="394"/>
      <c r="S95" s="394"/>
      <c r="T95" s="395"/>
      <c r="U95" s="393">
        <f>U94+V94+W94+X94</f>
        <v>25937600</v>
      </c>
      <c r="V95" s="394"/>
      <c r="W95" s="394"/>
      <c r="X95" s="395"/>
      <c r="Y95" s="393">
        <f>Y94+Z94+AA94+AB94</f>
        <v>25725660</v>
      </c>
      <c r="Z95" s="394"/>
      <c r="AA95" s="394"/>
      <c r="AB95" s="395"/>
      <c r="AC95" s="393">
        <f>AC94+AD94+AE94+AF94</f>
        <v>25515452</v>
      </c>
      <c r="AD95" s="394"/>
      <c r="AE95" s="394"/>
      <c r="AF95" s="395"/>
      <c r="AG95" s="393">
        <f>AG94+AH94+AI94+AJ94</f>
        <v>25306972</v>
      </c>
      <c r="AH95" s="394"/>
      <c r="AI95" s="394"/>
      <c r="AJ95" s="395"/>
      <c r="AK95" s="393">
        <f>AK94+AL94+AM94+AN94</f>
        <v>25100188</v>
      </c>
      <c r="AL95" s="394"/>
      <c r="AM95" s="394"/>
      <c r="AN95" s="395"/>
      <c r="AO95" s="393">
        <f>AO94+AP94+AQ94+AR94</f>
        <v>24895092</v>
      </c>
      <c r="AP95" s="394"/>
      <c r="AQ95" s="394"/>
      <c r="AR95" s="395"/>
      <c r="AS95" s="393">
        <f>AS94+AT94+AU94+AV94</f>
        <v>24691672</v>
      </c>
      <c r="AT95" s="394"/>
      <c r="AU95" s="394"/>
      <c r="AV95" s="395"/>
      <c r="AW95" s="393">
        <f>AW94+AX94+AY94+AZ94</f>
        <v>24489916</v>
      </c>
      <c r="AX95" s="394"/>
      <c r="AY95" s="394"/>
      <c r="AZ95" s="395"/>
      <c r="BA95" s="393">
        <f>BA94+BB94+BC94+BD94</f>
        <v>24289812</v>
      </c>
      <c r="BB95" s="394"/>
      <c r="BC95" s="394"/>
      <c r="BD95" s="395"/>
      <c r="BE95" s="393">
        <f>BE94+BF94+BG94+BH94</f>
        <v>24091356</v>
      </c>
      <c r="BF95" s="394"/>
      <c r="BG95" s="394"/>
      <c r="BH95" s="395"/>
      <c r="BI95" s="393">
        <f t="shared" ref="BI95" si="2615">BI94+BJ94+BK94+BL94</f>
        <v>23894504</v>
      </c>
      <c r="BJ95" s="394"/>
      <c r="BK95" s="394"/>
      <c r="BL95" s="395"/>
      <c r="BM95" s="393">
        <f>BM94+BN94+BO94+BP94</f>
        <v>23699260</v>
      </c>
      <c r="BN95" s="394"/>
      <c r="BO95" s="394"/>
      <c r="BP95" s="395"/>
      <c r="BQ95" s="393">
        <f t="shared" ref="BQ95" si="2616">BQ94+BR94+BS94+BT94</f>
        <v>23505600</v>
      </c>
      <c r="BR95" s="394"/>
      <c r="BS95" s="394"/>
      <c r="BT95" s="395"/>
      <c r="BU95" s="393">
        <f t="shared" ref="BU95" si="2617">BU94+BV94+BW94+BX94</f>
        <v>23313536</v>
      </c>
      <c r="BV95" s="394"/>
      <c r="BW95" s="394"/>
      <c r="BX95" s="395"/>
      <c r="BY95" s="393">
        <f t="shared" ref="BY95" si="2618">BY94+BZ94+CA94+CB94</f>
        <v>23123040</v>
      </c>
      <c r="BZ95" s="394"/>
      <c r="CA95" s="394"/>
      <c r="CB95" s="395"/>
      <c r="CC95" s="393">
        <f t="shared" ref="CC95" si="2619">CC94+CD94+CE94+CF94</f>
        <v>22934100</v>
      </c>
      <c r="CD95" s="394"/>
      <c r="CE95" s="394"/>
      <c r="CF95" s="395"/>
      <c r="CG95" s="393">
        <f>CG94+CH94+CI94+CJ94</f>
        <v>22746708</v>
      </c>
      <c r="CH95" s="394"/>
      <c r="CI95" s="394"/>
      <c r="CJ95" s="395"/>
      <c r="CK95" s="393">
        <f>CK94+CL94+CM94+CN94</f>
        <v>22561400</v>
      </c>
      <c r="CL95" s="394"/>
      <c r="CM95" s="394"/>
      <c r="CN95" s="395"/>
      <c r="CO95" s="393">
        <f>CO94+CP94+CQ94+CR94</f>
        <v>22377616</v>
      </c>
      <c r="CP95" s="394"/>
      <c r="CQ95" s="394"/>
      <c r="CR95" s="395"/>
      <c r="CS95" s="393">
        <f>CS94+CT94+CU94+CV94</f>
        <v>22195312</v>
      </c>
      <c r="CT95" s="394"/>
      <c r="CU95" s="394"/>
      <c r="CV95" s="395"/>
      <c r="CW95" s="393">
        <f t="shared" ref="CW95" si="2620">CW94+CX94+CY94+CZ94</f>
        <v>22014512</v>
      </c>
      <c r="CX95" s="394"/>
      <c r="CY95" s="394"/>
      <c r="CZ95" s="395"/>
      <c r="DA95" s="393">
        <f t="shared" ref="DA95" si="2621">DA94+DB94+DC94+DD94</f>
        <v>21835200</v>
      </c>
      <c r="DB95" s="394"/>
      <c r="DC95" s="394"/>
      <c r="DD95" s="395"/>
      <c r="DE95" s="393">
        <f t="shared" ref="DE95" si="2622">DE94+DF94+DG94+DH94</f>
        <v>21657324</v>
      </c>
      <c r="DF95" s="394"/>
      <c r="DG95" s="394"/>
      <c r="DH95" s="395"/>
      <c r="DI95" s="393">
        <f t="shared" ref="DI95" si="2623">DI94+DJ94+DK94+DL94</f>
        <v>21480924</v>
      </c>
      <c r="DJ95" s="394"/>
      <c r="DK95" s="394"/>
      <c r="DL95" s="395"/>
      <c r="DM95" s="393">
        <f t="shared" ref="DM95" si="2624">DM94+DN94+DO94+DP94</f>
        <v>21305964</v>
      </c>
      <c r="DN95" s="394"/>
      <c r="DO95" s="394"/>
      <c r="DP95" s="395"/>
      <c r="DQ95" s="393">
        <f>DQ94+DR94+DS94+DT94</f>
        <v>21132440</v>
      </c>
      <c r="DR95" s="394"/>
      <c r="DS95" s="394"/>
      <c r="DT95" s="395"/>
      <c r="DU95" s="393">
        <f t="shared" ref="DU95" si="2625">DU94+DV94+DW94+DX94</f>
        <v>20960320</v>
      </c>
      <c r="DV95" s="394"/>
      <c r="DW95" s="394"/>
      <c r="DX95" s="395"/>
      <c r="DY95" s="393">
        <f t="shared" ref="DY95" si="2626">DY94+DZ94+EA94+EB94</f>
        <v>20789608</v>
      </c>
      <c r="DZ95" s="394"/>
      <c r="EA95" s="394"/>
      <c r="EB95" s="395"/>
      <c r="EC95" s="393">
        <f t="shared" ref="EC95" si="2627">EC94+ED94+EE94+EF94</f>
        <v>20620304</v>
      </c>
      <c r="ED95" s="394"/>
      <c r="EE95" s="394"/>
      <c r="EF95" s="395"/>
      <c r="EG95" s="393">
        <f>EG94+EH94+EI94+EJ94</f>
        <v>20452360</v>
      </c>
      <c r="EH95" s="394"/>
      <c r="EI95" s="394"/>
      <c r="EJ95" s="395"/>
      <c r="EK95" s="393">
        <f>EK94+EL94+EM94+EN94</f>
        <v>20285796</v>
      </c>
      <c r="EL95" s="394"/>
      <c r="EM95" s="394"/>
      <c r="EN95" s="395"/>
      <c r="EO95" s="85">
        <f>SUM(E95:EN95)</f>
        <v>818347552</v>
      </c>
      <c r="EP95" s="86"/>
      <c r="EQ95" s="86"/>
      <c r="ER95" s="86"/>
      <c r="ES95" s="86"/>
      <c r="ET95" s="86"/>
      <c r="EU95" s="86"/>
      <c r="EV95" s="86"/>
      <c r="EW95" s="86"/>
      <c r="EX95" s="86"/>
      <c r="EY95" s="86"/>
      <c r="EZ95" s="86"/>
      <c r="FA95" s="86"/>
      <c r="FB95" s="86"/>
      <c r="FC95" s="86"/>
      <c r="FD95" s="86"/>
      <c r="FE95" s="86"/>
      <c r="FF95" s="86"/>
      <c r="FG95" s="86"/>
      <c r="FH95" s="86"/>
      <c r="FI95" s="86"/>
      <c r="FJ95" s="86"/>
      <c r="FK95" s="86"/>
      <c r="FL95" s="86"/>
      <c r="FM95" s="86"/>
      <c r="FN95" s="86"/>
      <c r="FO95" s="86"/>
      <c r="FP95" s="86"/>
      <c r="FQ95" s="86"/>
      <c r="FR95" s="86"/>
      <c r="FS95" s="86"/>
      <c r="FT95" s="86"/>
      <c r="FU95" s="86"/>
      <c r="FV95" s="86"/>
      <c r="FW95" s="86"/>
      <c r="FX95" s="86"/>
      <c r="FY95" s="86"/>
      <c r="FZ95" s="86"/>
      <c r="GA95" s="86"/>
      <c r="GB95" s="86"/>
      <c r="GC95" s="86"/>
      <c r="GD95" s="86"/>
      <c r="GE95" s="86"/>
      <c r="GF95" s="86"/>
      <c r="GG95" s="86"/>
      <c r="GH95" s="86"/>
      <c r="GI95" s="86"/>
      <c r="GJ95" s="86"/>
      <c r="GK95" s="86"/>
      <c r="GL95" s="86"/>
      <c r="GM95" s="86"/>
      <c r="GN95" s="86"/>
      <c r="GO95" s="86"/>
      <c r="GP95" s="86"/>
      <c r="GQ95" s="86"/>
      <c r="GR95" s="86"/>
      <c r="GS95" s="86"/>
      <c r="GT95" s="86"/>
      <c r="GU95" s="86"/>
      <c r="GV95" s="86"/>
      <c r="GW95" s="86"/>
      <c r="GX95" s="87"/>
    </row>
    <row r="96" spans="1:268" s="74" customFormat="1" ht="15">
      <c r="A96" s="68"/>
      <c r="B96" s="20" t="s">
        <v>969</v>
      </c>
      <c r="C96" s="20"/>
      <c r="D96" s="97">
        <v>0.06</v>
      </c>
      <c r="E96" s="389"/>
      <c r="F96" s="390"/>
      <c r="G96" s="390"/>
      <c r="H96" s="391"/>
      <c r="I96" s="389"/>
      <c r="J96" s="390"/>
      <c r="K96" s="390"/>
      <c r="L96" s="391"/>
      <c r="M96" s="389"/>
      <c r="N96" s="390"/>
      <c r="O96" s="390"/>
      <c r="P96" s="391"/>
      <c r="Q96" s="389"/>
      <c r="R96" s="390"/>
      <c r="S96" s="390"/>
      <c r="T96" s="391"/>
      <c r="U96" s="389"/>
      <c r="V96" s="390"/>
      <c r="W96" s="390"/>
      <c r="X96" s="391"/>
      <c r="Y96" s="389"/>
      <c r="Z96" s="390"/>
      <c r="AA96" s="390"/>
      <c r="AB96" s="391"/>
      <c r="AC96" s="389"/>
      <c r="AD96" s="390"/>
      <c r="AE96" s="390"/>
      <c r="AF96" s="391"/>
      <c r="AG96" s="389"/>
      <c r="AH96" s="390"/>
      <c r="AI96" s="390"/>
      <c r="AJ96" s="391"/>
      <c r="AK96" s="389"/>
      <c r="AL96" s="390"/>
      <c r="AM96" s="390"/>
      <c r="AN96" s="391"/>
      <c r="AO96" s="389"/>
      <c r="AP96" s="390"/>
      <c r="AQ96" s="390"/>
      <c r="AR96" s="391"/>
      <c r="AS96" s="389"/>
      <c r="AT96" s="390"/>
      <c r="AU96" s="390"/>
      <c r="AV96" s="391"/>
      <c r="AW96" s="389"/>
      <c r="AX96" s="390"/>
      <c r="AY96" s="390"/>
      <c r="AZ96" s="391"/>
      <c r="BA96" s="389"/>
      <c r="BB96" s="390"/>
      <c r="BC96" s="390"/>
      <c r="BD96" s="391"/>
      <c r="BE96" s="389"/>
      <c r="BF96" s="390"/>
      <c r="BG96" s="390"/>
      <c r="BH96" s="391"/>
      <c r="BI96" s="389"/>
      <c r="BJ96" s="390"/>
      <c r="BK96" s="390"/>
      <c r="BL96" s="391"/>
      <c r="BM96" s="389"/>
      <c r="BN96" s="390"/>
      <c r="BO96" s="390"/>
      <c r="BP96" s="391"/>
      <c r="BQ96" s="389"/>
      <c r="BR96" s="390"/>
      <c r="BS96" s="390"/>
      <c r="BT96" s="391"/>
      <c r="BU96" s="389"/>
      <c r="BV96" s="390"/>
      <c r="BW96" s="390"/>
      <c r="BX96" s="391"/>
      <c r="BY96" s="389"/>
      <c r="BZ96" s="390"/>
      <c r="CA96" s="390"/>
      <c r="CB96" s="391"/>
      <c r="CC96" s="389"/>
      <c r="CD96" s="390"/>
      <c r="CE96" s="390"/>
      <c r="CF96" s="391"/>
      <c r="CG96" s="389"/>
      <c r="CH96" s="390"/>
      <c r="CI96" s="390"/>
      <c r="CJ96" s="391"/>
      <c r="CK96" s="473"/>
      <c r="CL96" s="474"/>
      <c r="CM96" s="474"/>
      <c r="CN96" s="475"/>
      <c r="CO96" s="473"/>
      <c r="CP96" s="474"/>
      <c r="CQ96" s="474"/>
      <c r="CR96" s="475"/>
      <c r="CS96" s="473"/>
      <c r="CT96" s="474"/>
      <c r="CU96" s="474"/>
      <c r="CV96" s="475"/>
      <c r="CW96" s="473"/>
      <c r="CX96" s="474"/>
      <c r="CY96" s="474"/>
      <c r="CZ96" s="475"/>
      <c r="DA96" s="473"/>
      <c r="DB96" s="474"/>
      <c r="DC96" s="474"/>
      <c r="DD96" s="475"/>
      <c r="DE96" s="473"/>
      <c r="DF96" s="474"/>
      <c r="DG96" s="474"/>
      <c r="DH96" s="475"/>
      <c r="DI96" s="473"/>
      <c r="DJ96" s="474"/>
      <c r="DK96" s="474"/>
      <c r="DL96" s="475"/>
      <c r="DM96" s="473"/>
      <c r="DN96" s="474"/>
      <c r="DO96" s="474"/>
      <c r="DP96" s="475"/>
      <c r="DQ96" s="473"/>
      <c r="DR96" s="474"/>
      <c r="DS96" s="474"/>
      <c r="DT96" s="475"/>
      <c r="DU96" s="473"/>
      <c r="DV96" s="474"/>
      <c r="DW96" s="474"/>
      <c r="DX96" s="475"/>
      <c r="DY96" s="473"/>
      <c r="DZ96" s="474"/>
      <c r="EA96" s="474"/>
      <c r="EB96" s="475"/>
      <c r="EC96" s="473"/>
      <c r="ED96" s="474"/>
      <c r="EE96" s="474"/>
      <c r="EF96" s="475"/>
      <c r="EG96" s="473"/>
      <c r="EH96" s="474"/>
      <c r="EI96" s="474"/>
      <c r="EJ96" s="475"/>
      <c r="EK96" s="473"/>
      <c r="EL96" s="474"/>
      <c r="EM96" s="474"/>
      <c r="EN96" s="475"/>
      <c r="EO96" s="71"/>
      <c r="EP96" s="72"/>
      <c r="EQ96" s="72"/>
      <c r="ER96" s="72"/>
      <c r="ES96" s="72"/>
      <c r="ET96" s="72"/>
      <c r="EU96" s="72"/>
      <c r="EV96" s="72"/>
      <c r="EW96" s="72"/>
      <c r="EX96" s="72"/>
      <c r="EY96" s="72"/>
      <c r="EZ96" s="72"/>
      <c r="FA96" s="72"/>
      <c r="FB96" s="72"/>
      <c r="FC96" s="72"/>
      <c r="FD96" s="72"/>
      <c r="FE96" s="72"/>
      <c r="FF96" s="72"/>
      <c r="FG96" s="72"/>
      <c r="FH96" s="72"/>
      <c r="FI96" s="72"/>
      <c r="FJ96" s="72"/>
      <c r="FK96" s="72"/>
      <c r="FL96" s="72"/>
      <c r="FM96" s="72"/>
      <c r="FN96" s="72"/>
      <c r="FO96" s="72"/>
      <c r="FP96" s="72"/>
      <c r="FQ96" s="72"/>
      <c r="FR96" s="72"/>
      <c r="FS96" s="72"/>
      <c r="FT96" s="72"/>
      <c r="FU96" s="72"/>
      <c r="FV96" s="72"/>
      <c r="FW96" s="72"/>
      <c r="FX96" s="72"/>
      <c r="FY96" s="72"/>
      <c r="FZ96" s="72"/>
      <c r="GA96" s="72"/>
      <c r="GB96" s="72"/>
      <c r="GC96" s="72"/>
      <c r="GD96" s="72"/>
      <c r="GE96" s="72"/>
      <c r="GF96" s="72"/>
      <c r="GG96" s="72"/>
      <c r="GH96" s="72"/>
      <c r="GI96" s="72"/>
      <c r="GJ96" s="72"/>
      <c r="GK96" s="72"/>
      <c r="GL96" s="72"/>
      <c r="GM96" s="72"/>
      <c r="GN96" s="72"/>
      <c r="GO96" s="72"/>
      <c r="GP96" s="72"/>
      <c r="GQ96" s="72"/>
      <c r="GR96" s="72"/>
      <c r="GS96" s="72"/>
      <c r="GT96" s="72"/>
      <c r="GU96" s="72"/>
      <c r="GV96" s="72"/>
      <c r="GW96" s="72"/>
      <c r="GX96" s="73"/>
    </row>
    <row r="97" spans="1:150" s="74" customFormat="1" ht="14.25" hidden="1">
      <c r="A97" s="68"/>
      <c r="B97" s="20" t="s">
        <v>1135</v>
      </c>
      <c r="C97" s="368"/>
      <c r="D97" s="369"/>
      <c r="E97" s="370"/>
      <c r="F97" s="368"/>
      <c r="G97" s="368"/>
      <c r="H97" s="371"/>
      <c r="I97" s="368"/>
      <c r="J97" s="368"/>
      <c r="K97" s="368"/>
      <c r="L97" s="368"/>
      <c r="M97" s="368"/>
      <c r="N97" s="368"/>
      <c r="O97" s="368"/>
      <c r="P97" s="368"/>
      <c r="Q97" s="368"/>
      <c r="R97" s="368"/>
      <c r="S97" s="368"/>
      <c r="T97" s="368"/>
      <c r="U97" s="368"/>
      <c r="V97" s="368"/>
      <c r="W97" s="368"/>
      <c r="X97" s="368"/>
      <c r="Y97" s="368"/>
      <c r="Z97" s="368"/>
      <c r="AA97" s="368"/>
      <c r="AB97" s="368"/>
      <c r="AC97" s="368"/>
      <c r="AD97" s="368"/>
      <c r="AE97" s="370"/>
      <c r="AF97" s="368"/>
      <c r="AG97" s="368"/>
      <c r="AH97" s="368"/>
      <c r="AI97" s="368"/>
      <c r="AJ97" s="368"/>
      <c r="AK97" s="368"/>
      <c r="AL97" s="368"/>
      <c r="AM97" s="368"/>
      <c r="AN97" s="368"/>
      <c r="AO97" s="368"/>
      <c r="AP97" s="368"/>
      <c r="AQ97" s="368"/>
      <c r="AR97" s="368"/>
      <c r="AS97" s="368"/>
      <c r="AT97" s="368"/>
      <c r="AU97" s="368"/>
      <c r="AV97" s="368"/>
      <c r="AW97" s="368"/>
      <c r="AX97" s="370"/>
      <c r="AY97" s="372"/>
      <c r="AZ97" s="372"/>
      <c r="BA97" s="372"/>
      <c r="BB97" s="372"/>
      <c r="BC97" s="372"/>
      <c r="BD97" s="372"/>
      <c r="BE97" s="372"/>
      <c r="BF97" s="372"/>
      <c r="BG97" s="372"/>
      <c r="BH97" s="372"/>
      <c r="BI97" s="372"/>
      <c r="BJ97" s="372"/>
      <c r="BK97" s="372"/>
      <c r="BL97" s="372"/>
      <c r="BM97" s="372"/>
      <c r="BN97" s="372"/>
      <c r="BO97" s="372"/>
      <c r="BP97" s="372"/>
      <c r="BQ97" s="372"/>
      <c r="BR97" s="372"/>
      <c r="BS97" s="372"/>
      <c r="BT97" s="372"/>
      <c r="BU97" s="372"/>
      <c r="BV97" s="372"/>
      <c r="BW97" s="372"/>
      <c r="BX97" s="372"/>
      <c r="BY97" s="372"/>
      <c r="BZ97" s="372"/>
      <c r="CA97" s="372"/>
      <c r="CB97" s="372"/>
      <c r="CC97" s="372"/>
      <c r="CD97" s="372"/>
      <c r="CE97" s="372"/>
      <c r="CF97" s="372"/>
      <c r="CG97" s="372"/>
      <c r="CH97" s="372"/>
      <c r="CI97" s="372"/>
      <c r="CJ97" s="372"/>
      <c r="CK97" s="3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/>
      <c r="CX97" s="72"/>
      <c r="CY97" s="72"/>
      <c r="CZ97" s="72"/>
      <c r="DA97" s="72"/>
      <c r="DB97" s="72"/>
      <c r="DC97" s="72"/>
      <c r="DD97" s="72"/>
      <c r="DE97" s="72"/>
      <c r="DF97" s="72"/>
      <c r="DG97" s="72"/>
      <c r="DH97" s="72"/>
      <c r="DI97" s="72"/>
      <c r="DJ97" s="72"/>
      <c r="DK97" s="72"/>
      <c r="DL97" s="72"/>
      <c r="DM97" s="72"/>
      <c r="DN97" s="72"/>
      <c r="DO97" s="72"/>
      <c r="DP97" s="72"/>
      <c r="DQ97" s="72"/>
      <c r="DR97" s="72"/>
      <c r="DS97" s="72"/>
      <c r="DT97" s="72"/>
      <c r="DU97" s="72"/>
      <c r="DV97" s="72"/>
      <c r="DW97" s="72"/>
      <c r="DX97" s="72"/>
      <c r="DY97" s="72"/>
      <c r="DZ97" s="72"/>
      <c r="EA97" s="72"/>
      <c r="EB97" s="72"/>
      <c r="EC97" s="72"/>
      <c r="ED97" s="72"/>
      <c r="EE97" s="72"/>
      <c r="EF97" s="72"/>
      <c r="EG97" s="72"/>
      <c r="EH97" s="72"/>
      <c r="EI97" s="72"/>
      <c r="EJ97" s="72"/>
      <c r="EK97" s="72"/>
      <c r="EL97" s="72"/>
      <c r="EM97" s="72"/>
      <c r="EN97" s="72"/>
      <c r="EO97" s="72"/>
      <c r="EP97" s="72"/>
      <c r="EQ97" s="72"/>
      <c r="ER97" s="72"/>
      <c r="ES97" s="72"/>
      <c r="ET97" s="73"/>
    </row>
    <row r="98" spans="1:150" s="74" customFormat="1" ht="14.25">
      <c r="A98" s="68"/>
      <c r="B98" s="20" t="s">
        <v>1136</v>
      </c>
      <c r="C98" s="20"/>
      <c r="D98" s="374">
        <f>EO98</f>
        <v>375605765</v>
      </c>
      <c r="E98" s="469">
        <f>ROUND(E95/(1+$D$96)^(E84-1),0)</f>
        <v>26444504</v>
      </c>
      <c r="F98" s="469"/>
      <c r="G98" s="469"/>
      <c r="H98" s="469"/>
      <c r="I98" s="469">
        <f t="shared" ref="I98" si="2628">ROUND(I95/(1+$D$96)^(I84-1),0)</f>
        <v>24975826</v>
      </c>
      <c r="J98" s="469"/>
      <c r="K98" s="469"/>
      <c r="L98" s="469"/>
      <c r="M98" s="469">
        <f t="shared" ref="M98" si="2629">ROUND(M95/(1+$D$96)^(M84-1),0)</f>
        <v>23449487</v>
      </c>
      <c r="N98" s="469"/>
      <c r="O98" s="469"/>
      <c r="P98" s="469"/>
      <c r="Q98" s="469">
        <f t="shared" ref="Q98" si="2630">ROUND(Q95/(1+$D$96)^(Q84-1),0)</f>
        <v>21957119</v>
      </c>
      <c r="R98" s="469"/>
      <c r="S98" s="469"/>
      <c r="T98" s="469"/>
      <c r="U98" s="469">
        <f t="shared" ref="U98" si="2631">ROUND(U95/(1+$D$96)^(U84-1),0)</f>
        <v>20545009</v>
      </c>
      <c r="V98" s="469"/>
      <c r="W98" s="469"/>
      <c r="X98" s="469"/>
      <c r="Y98" s="469">
        <f t="shared" ref="Y98" si="2632">ROUND(Y95/(1+$D$96)^(Y84-1),0)</f>
        <v>19223710</v>
      </c>
      <c r="Z98" s="469"/>
      <c r="AA98" s="469"/>
      <c r="AB98" s="469"/>
      <c r="AC98" s="469">
        <f t="shared" ref="AC98" si="2633">ROUND(AC95/(1+$D$96)^(AC84-1),0)</f>
        <v>17987387</v>
      </c>
      <c r="AD98" s="469"/>
      <c r="AE98" s="469"/>
      <c r="AF98" s="469"/>
      <c r="AG98" s="469">
        <f t="shared" ref="AG98" si="2634">ROUND(AG95/(1+$D$96)^(AG84-1),0)</f>
        <v>16830582</v>
      </c>
      <c r="AH98" s="469"/>
      <c r="AI98" s="469"/>
      <c r="AJ98" s="469"/>
      <c r="AK98" s="469">
        <f t="shared" ref="AK98" si="2635">ROUND(AK95/(1+$D$96)^(AK84-1),0)</f>
        <v>15748168</v>
      </c>
      <c r="AL98" s="469"/>
      <c r="AM98" s="469"/>
      <c r="AN98" s="469"/>
      <c r="AO98" s="469">
        <f t="shared" ref="AO98" si="2636">ROUND(AO95/(1+$D$96)^(AO84-1),0)</f>
        <v>14735367</v>
      </c>
      <c r="AP98" s="469"/>
      <c r="AQ98" s="469"/>
      <c r="AR98" s="469"/>
      <c r="AS98" s="469">
        <f t="shared" ref="AS98" si="2637">ROUND(AS95/(1+$D$96)^(AS84-1),0)</f>
        <v>13787701</v>
      </c>
      <c r="AT98" s="469"/>
      <c r="AU98" s="469"/>
      <c r="AV98" s="469"/>
      <c r="AW98" s="469">
        <f t="shared" ref="AW98" si="2638">ROUND(AW95/(1+$D$96)^(AW84-1),0)</f>
        <v>12900982</v>
      </c>
      <c r="AX98" s="469"/>
      <c r="AY98" s="469"/>
      <c r="AZ98" s="469"/>
      <c r="BA98" s="469">
        <f t="shared" ref="BA98" si="2639">ROUND(BA95/(1+$D$96)^(BA84-1),0)</f>
        <v>12071292</v>
      </c>
      <c r="BB98" s="469"/>
      <c r="BC98" s="469"/>
      <c r="BD98" s="469"/>
      <c r="BE98" s="469">
        <f t="shared" ref="BE98" si="2640">ROUND(BE95/(1+$D$96)^(BE84-1),0)</f>
        <v>11294968</v>
      </c>
      <c r="BF98" s="469"/>
      <c r="BG98" s="469"/>
      <c r="BH98" s="469"/>
      <c r="BI98" s="469">
        <f t="shared" ref="BI98" si="2641">ROUND(BI95/(1+$D$96)^(BI84-1),0)</f>
        <v>10568562</v>
      </c>
      <c r="BJ98" s="469"/>
      <c r="BK98" s="469"/>
      <c r="BL98" s="469"/>
      <c r="BM98" s="469">
        <f t="shared" ref="BM98" si="2642">ROUND(BM95/(1+$D$96)^(BM84-1),0)</f>
        <v>9888873</v>
      </c>
      <c r="BN98" s="469"/>
      <c r="BO98" s="469"/>
      <c r="BP98" s="469"/>
      <c r="BQ98" s="469">
        <f t="shared" ref="BQ98" si="2643">ROUND(BQ95/(1+$D$96)^(BQ84-1),0)</f>
        <v>9252892</v>
      </c>
      <c r="BR98" s="469"/>
      <c r="BS98" s="469"/>
      <c r="BT98" s="469"/>
      <c r="BU98" s="469">
        <f t="shared" ref="BU98" si="2644">ROUND(BU95/(1+$D$96)^(BU84-1),0)</f>
        <v>8657818</v>
      </c>
      <c r="BV98" s="469"/>
      <c r="BW98" s="469"/>
      <c r="BX98" s="469"/>
      <c r="BY98" s="469">
        <f t="shared" ref="BY98" si="2645">ROUND(BY95/(1+$D$96)^(BY84-1),0)</f>
        <v>8101013</v>
      </c>
      <c r="BZ98" s="469"/>
      <c r="CA98" s="469"/>
      <c r="CB98" s="469"/>
      <c r="CC98" s="469">
        <f t="shared" ref="CC98" si="2646">ROUND(CC95/(1+$D$96)^(CC84-1),0)</f>
        <v>7580018</v>
      </c>
      <c r="CD98" s="469"/>
      <c r="CE98" s="469"/>
      <c r="CF98" s="469"/>
      <c r="CG98" s="469">
        <f t="shared" ref="CG98" si="2647">ROUND(CG95/(1+$D$96)^(CG84-1),0)</f>
        <v>7092531</v>
      </c>
      <c r="CH98" s="469"/>
      <c r="CI98" s="469"/>
      <c r="CJ98" s="469"/>
      <c r="CK98" s="469">
        <f t="shared" ref="CK98" si="2648">ROUND(CK95/(1+$D$96)^(CK84-1),0)</f>
        <v>6636558</v>
      </c>
      <c r="CL98" s="469"/>
      <c r="CM98" s="469"/>
      <c r="CN98" s="469"/>
      <c r="CO98" s="469">
        <f t="shared" ref="CO98" si="2649">ROUND(CO95/(1+$D$96)^(CO84-1),0)</f>
        <v>6209902</v>
      </c>
      <c r="CP98" s="469"/>
      <c r="CQ98" s="469"/>
      <c r="CR98" s="469"/>
      <c r="CS98" s="469">
        <f t="shared" ref="CS98" si="2650">ROUND(CS95/(1+$D$96)^(CS84-1),0)</f>
        <v>5810672</v>
      </c>
      <c r="CT98" s="469"/>
      <c r="CU98" s="469"/>
      <c r="CV98" s="469"/>
      <c r="CW98" s="469">
        <f t="shared" ref="CW98" si="2651">ROUND(CW95/(1+$D$96)^(CW84-1),0)</f>
        <v>5437112</v>
      </c>
      <c r="CX98" s="469"/>
      <c r="CY98" s="469"/>
      <c r="CZ98" s="469"/>
      <c r="DA98" s="469">
        <f t="shared" ref="DA98" si="2652">ROUND(DA95/(1+$D$96)^(DA84-1),0)</f>
        <v>5087572</v>
      </c>
      <c r="DB98" s="469"/>
      <c r="DC98" s="469"/>
      <c r="DD98" s="469"/>
      <c r="DE98" s="469">
        <f t="shared" ref="DE98" si="2653">ROUND(DE95/(1+$D$96)^(DE84-1),0)</f>
        <v>4760497</v>
      </c>
      <c r="DF98" s="469"/>
      <c r="DG98" s="469"/>
      <c r="DH98" s="469"/>
      <c r="DI98" s="469">
        <f t="shared" ref="DI98" si="2654">ROUND(DI95/(1+$D$96)^(DI84-1),0)</f>
        <v>4454455</v>
      </c>
      <c r="DJ98" s="469"/>
      <c r="DK98" s="469"/>
      <c r="DL98" s="469"/>
      <c r="DM98" s="469">
        <f t="shared" ref="DM98" si="2655">ROUND(DM95/(1+$D$96)^(DM84-1),0)</f>
        <v>4168089</v>
      </c>
      <c r="DN98" s="469"/>
      <c r="DO98" s="469"/>
      <c r="DP98" s="469"/>
      <c r="DQ98" s="469">
        <f t="shared" ref="DQ98" si="2656">ROUND(DQ95/(1+$D$96)^(DQ84-1),0)</f>
        <v>3900134</v>
      </c>
      <c r="DR98" s="469"/>
      <c r="DS98" s="469"/>
      <c r="DT98" s="469"/>
      <c r="DU98" s="469">
        <f t="shared" ref="DU98" si="2657">ROUND(DU95/(1+$D$96)^(DU84-1),0)</f>
        <v>3649404</v>
      </c>
      <c r="DV98" s="469"/>
      <c r="DW98" s="469"/>
      <c r="DX98" s="469"/>
      <c r="DY98" s="469">
        <f t="shared" ref="DY98" si="2658">ROUND(DY95/(1+$D$96)^(DY84-1),0)</f>
        <v>3414794</v>
      </c>
      <c r="DZ98" s="469"/>
      <c r="EA98" s="469"/>
      <c r="EB98" s="469"/>
      <c r="EC98" s="469">
        <f t="shared" ref="EC98" si="2659">ROUND(EC95/(1+$D$96)^(EC84-1),0)</f>
        <v>3195269</v>
      </c>
      <c r="ED98" s="469"/>
      <c r="EE98" s="469"/>
      <c r="EF98" s="469"/>
      <c r="EG98" s="469">
        <f t="shared" ref="EG98" si="2660">ROUND(EG95/(1+$D$96)^(EG84-1),0)</f>
        <v>2989853</v>
      </c>
      <c r="EH98" s="469"/>
      <c r="EI98" s="469"/>
      <c r="EJ98" s="469"/>
      <c r="EK98" s="469">
        <f t="shared" ref="EK98" si="2661">ROUND(EK95/(1+$D$96)^(EK84-1),0)</f>
        <v>2797645</v>
      </c>
      <c r="EL98" s="469"/>
      <c r="EM98" s="469"/>
      <c r="EN98" s="469"/>
      <c r="EO98" s="373">
        <f>SUM(E98:EN98)</f>
        <v>375605765</v>
      </c>
      <c r="EP98" s="72"/>
      <c r="EQ98" s="72"/>
      <c r="ER98" s="72"/>
      <c r="ES98" s="72"/>
      <c r="ET98" s="73"/>
    </row>
    <row r="99" spans="1:150" ht="21" customHeight="1">
      <c r="A99" s="172"/>
      <c r="B99" s="162"/>
      <c r="C99" s="376" t="s">
        <v>1415</v>
      </c>
      <c r="D99" s="163">
        <f>基础资料!C10+基础资料!C11</f>
        <v>13672.09</v>
      </c>
      <c r="E99" s="165"/>
      <c r="F99" s="166"/>
      <c r="G99" s="167"/>
      <c r="H99" s="362"/>
      <c r="I99" s="166"/>
    </row>
    <row r="100" spans="1:150" ht="21" customHeight="1">
      <c r="A100" s="172"/>
      <c r="B100" s="162"/>
      <c r="C100" s="376" t="s">
        <v>1416</v>
      </c>
      <c r="D100" s="375">
        <f>ROUND(D98/D99,0)</f>
        <v>27472</v>
      </c>
      <c r="E100" s="165"/>
      <c r="F100" s="166"/>
      <c r="G100" s="167"/>
      <c r="H100" s="362"/>
      <c r="I100" s="166"/>
    </row>
    <row r="101" spans="1:150" ht="21" customHeight="1">
      <c r="A101" s="172"/>
      <c r="B101" s="162"/>
      <c r="C101" s="163"/>
      <c r="D101" s="164"/>
      <c r="E101" s="165"/>
      <c r="F101" s="166"/>
      <c r="G101" s="167"/>
      <c r="H101" s="362"/>
      <c r="I101" s="166"/>
    </row>
    <row r="102" spans="1:150" ht="21" customHeight="1">
      <c r="A102" s="172"/>
      <c r="B102" s="162"/>
      <c r="C102" s="163"/>
      <c r="D102" s="164"/>
      <c r="E102" s="165"/>
      <c r="F102" s="166"/>
      <c r="G102" s="167"/>
      <c r="H102" s="362"/>
      <c r="I102" s="166"/>
    </row>
    <row r="103" spans="1:150" ht="21" customHeight="1">
      <c r="A103" s="172"/>
      <c r="B103" s="162"/>
      <c r="C103" s="163"/>
      <c r="D103" s="164"/>
      <c r="E103" s="165"/>
      <c r="F103" s="166"/>
      <c r="G103" s="167"/>
      <c r="H103" s="362"/>
      <c r="I103" s="166"/>
    </row>
    <row r="104" spans="1:150" ht="21" customHeight="1">
      <c r="A104" s="172"/>
      <c r="B104" s="162"/>
      <c r="C104" s="163"/>
      <c r="D104" s="164"/>
      <c r="E104" s="165"/>
      <c r="F104" s="166"/>
      <c r="G104" s="167"/>
      <c r="H104" s="362"/>
      <c r="I104" s="166"/>
    </row>
    <row r="105" spans="1:150" ht="21" customHeight="1">
      <c r="A105" s="172"/>
      <c r="B105" s="162"/>
      <c r="C105" s="163"/>
      <c r="D105" s="164"/>
      <c r="E105" s="165"/>
      <c r="F105" s="166"/>
      <c r="G105" s="167"/>
      <c r="H105" s="362"/>
      <c r="I105" s="166"/>
    </row>
    <row r="106" spans="1:150" ht="21" customHeight="1">
      <c r="A106" s="172"/>
      <c r="B106" s="162"/>
      <c r="C106" s="163"/>
      <c r="D106" s="164"/>
      <c r="E106" s="165"/>
      <c r="F106" s="166"/>
      <c r="G106" s="167"/>
      <c r="H106" s="362"/>
      <c r="I106" s="166"/>
    </row>
    <row r="107" spans="1:150" ht="21" customHeight="1">
      <c r="A107" s="172"/>
      <c r="B107" s="162"/>
      <c r="C107" s="163"/>
      <c r="D107" s="164"/>
      <c r="E107" s="165"/>
      <c r="F107" s="166"/>
      <c r="G107" s="167"/>
      <c r="H107" s="362"/>
      <c r="I107" s="166"/>
    </row>
    <row r="108" spans="1:150" ht="21" customHeight="1">
      <c r="A108" s="172"/>
      <c r="B108" s="162"/>
      <c r="C108" s="163"/>
      <c r="D108" s="164"/>
      <c r="E108" s="165"/>
      <c r="F108" s="166"/>
      <c r="G108" s="167"/>
      <c r="H108" s="362"/>
      <c r="I108" s="166"/>
    </row>
    <row r="109" spans="1:150" ht="21" customHeight="1">
      <c r="A109" s="172"/>
      <c r="B109" s="162"/>
      <c r="C109" s="163"/>
      <c r="D109" s="164"/>
      <c r="E109" s="165"/>
      <c r="F109" s="166"/>
      <c r="G109" s="167"/>
      <c r="H109" s="362"/>
      <c r="I109" s="166"/>
    </row>
    <row r="110" spans="1:150" ht="21" customHeight="1">
      <c r="A110" s="172"/>
      <c r="B110" s="162"/>
      <c r="C110" s="163"/>
      <c r="D110" s="164"/>
      <c r="E110" s="165"/>
      <c r="F110" s="166"/>
      <c r="G110" s="167"/>
      <c r="H110" s="362"/>
      <c r="I110" s="166"/>
    </row>
    <row r="111" spans="1:150" ht="21" customHeight="1">
      <c r="A111" s="172"/>
      <c r="B111" s="162"/>
      <c r="C111" s="163"/>
      <c r="D111" s="164"/>
      <c r="E111" s="165"/>
      <c r="F111" s="166"/>
      <c r="G111" s="167"/>
      <c r="H111" s="362"/>
      <c r="I111" s="166"/>
    </row>
    <row r="112" spans="1:150" ht="21" customHeight="1">
      <c r="A112" s="172"/>
      <c r="B112" s="162"/>
      <c r="C112" s="163"/>
      <c r="D112" s="164"/>
      <c r="E112" s="165"/>
      <c r="F112" s="166"/>
      <c r="G112" s="167"/>
      <c r="H112" s="362"/>
      <c r="I112" s="166"/>
    </row>
    <row r="113" spans="1:9" ht="21" customHeight="1">
      <c r="A113" s="172"/>
      <c r="B113" s="162"/>
      <c r="C113" s="163"/>
      <c r="D113" s="164"/>
      <c r="E113" s="165"/>
      <c r="F113" s="166"/>
      <c r="G113" s="167"/>
      <c r="H113" s="362"/>
      <c r="I113" s="166"/>
    </row>
    <row r="114" spans="1:9" ht="21" customHeight="1">
      <c r="A114" s="172"/>
      <c r="B114" s="162"/>
      <c r="C114" s="163"/>
      <c r="D114" s="164"/>
      <c r="E114" s="165"/>
      <c r="F114" s="166"/>
      <c r="G114" s="167"/>
      <c r="H114" s="362"/>
      <c r="I114" s="166"/>
    </row>
    <row r="115" spans="1:9" ht="21" customHeight="1">
      <c r="A115" s="172"/>
      <c r="B115" s="198"/>
      <c r="C115" s="33"/>
      <c r="D115" s="171"/>
      <c r="E115" s="165"/>
      <c r="F115" s="166"/>
      <c r="G115" s="167"/>
      <c r="H115" s="362"/>
      <c r="I115" s="166"/>
    </row>
    <row r="116" spans="1:9" ht="21" customHeight="1">
      <c r="A116" s="172"/>
      <c r="B116" s="198"/>
      <c r="C116" s="33"/>
      <c r="D116" s="171"/>
      <c r="E116" s="165"/>
      <c r="F116" s="166"/>
      <c r="G116" s="167"/>
      <c r="H116" s="362"/>
      <c r="I116" s="166"/>
    </row>
    <row r="117" spans="1:9" ht="21" customHeight="1">
      <c r="A117" s="172"/>
      <c r="B117" s="198"/>
      <c r="C117" s="33"/>
      <c r="D117" s="171"/>
      <c r="E117" s="165"/>
      <c r="F117" s="166"/>
      <c r="G117" s="167"/>
      <c r="H117" s="362"/>
      <c r="I117" s="166"/>
    </row>
    <row r="118" spans="1:9" ht="21" customHeight="1">
      <c r="A118" s="172"/>
      <c r="B118" s="198"/>
      <c r="C118" s="33"/>
      <c r="D118" s="171"/>
      <c r="E118" s="165"/>
      <c r="F118" s="166"/>
      <c r="G118" s="167"/>
      <c r="H118" s="362"/>
      <c r="I118" s="166"/>
    </row>
    <row r="119" spans="1:9" ht="21" customHeight="1">
      <c r="A119" s="172"/>
      <c r="B119" s="198"/>
      <c r="C119" s="33"/>
      <c r="D119" s="171"/>
      <c r="E119" s="165"/>
      <c r="F119" s="166"/>
      <c r="G119" s="167"/>
      <c r="H119" s="362"/>
      <c r="I119" s="166"/>
    </row>
    <row r="120" spans="1:9" ht="21" customHeight="1">
      <c r="A120" s="172"/>
      <c r="B120" s="198"/>
      <c r="C120" s="33"/>
      <c r="D120" s="171"/>
      <c r="E120" s="165"/>
      <c r="F120" s="166"/>
      <c r="G120" s="167"/>
      <c r="H120" s="362"/>
      <c r="I120" s="166"/>
    </row>
    <row r="121" spans="1:9" ht="21" customHeight="1">
      <c r="A121" s="172"/>
      <c r="B121" s="198"/>
      <c r="C121" s="33"/>
      <c r="D121" s="171"/>
      <c r="E121" s="165"/>
      <c r="F121" s="166"/>
      <c r="G121" s="167"/>
      <c r="H121" s="362"/>
      <c r="I121" s="166"/>
    </row>
    <row r="122" spans="1:9" ht="21" customHeight="1">
      <c r="A122" s="172"/>
      <c r="B122" s="198"/>
      <c r="C122" s="33"/>
      <c r="D122" s="171"/>
      <c r="E122" s="165"/>
      <c r="F122" s="166"/>
      <c r="G122" s="167"/>
      <c r="H122" s="362"/>
      <c r="I122" s="166"/>
    </row>
    <row r="123" spans="1:9" ht="21" customHeight="1">
      <c r="A123" s="172"/>
      <c r="B123" s="198"/>
      <c r="C123" s="33"/>
      <c r="D123" s="171"/>
      <c r="E123" s="165"/>
      <c r="F123" s="166"/>
      <c r="G123" s="167"/>
      <c r="H123" s="362"/>
      <c r="I123" s="166"/>
    </row>
    <row r="124" spans="1:9" ht="21" customHeight="1">
      <c r="A124" s="172"/>
      <c r="B124" s="198"/>
      <c r="C124" s="33"/>
      <c r="D124" s="171"/>
      <c r="E124" s="165"/>
      <c r="F124" s="166"/>
      <c r="G124" s="167"/>
      <c r="H124" s="362"/>
      <c r="I124" s="166"/>
    </row>
    <row r="125" spans="1:9" ht="21" customHeight="1">
      <c r="A125" s="172"/>
      <c r="B125" s="198"/>
      <c r="C125" s="33"/>
      <c r="D125" s="171"/>
      <c r="E125" s="165"/>
      <c r="F125" s="166"/>
      <c r="G125" s="167"/>
      <c r="H125" s="362"/>
      <c r="I125" s="166"/>
    </row>
    <row r="126" spans="1:9" ht="21" customHeight="1">
      <c r="A126" s="172"/>
      <c r="B126" s="198"/>
      <c r="C126" s="33"/>
      <c r="D126" s="171"/>
      <c r="E126" s="165"/>
      <c r="F126" s="166"/>
      <c r="G126" s="167"/>
      <c r="H126" s="362"/>
      <c r="I126" s="166"/>
    </row>
    <row r="127" spans="1:9" ht="21" customHeight="1">
      <c r="A127" s="172"/>
      <c r="B127" s="198"/>
      <c r="C127" s="33"/>
      <c r="D127" s="171"/>
      <c r="E127" s="165"/>
      <c r="F127" s="166"/>
      <c r="G127" s="167"/>
      <c r="H127" s="362"/>
      <c r="I127" s="166"/>
    </row>
    <row r="128" spans="1:9" ht="21" customHeight="1">
      <c r="A128" s="172"/>
      <c r="B128" s="198"/>
      <c r="C128" s="33"/>
      <c r="D128" s="171"/>
      <c r="E128" s="165"/>
      <c r="F128" s="166"/>
      <c r="G128" s="167"/>
      <c r="H128" s="362"/>
      <c r="I128" s="166"/>
    </row>
    <row r="129" spans="1:9" ht="21" customHeight="1">
      <c r="A129" s="172"/>
      <c r="B129" s="198"/>
      <c r="C129" s="33"/>
      <c r="D129" s="171"/>
      <c r="E129" s="165"/>
      <c r="F129" s="166"/>
      <c r="G129" s="167"/>
      <c r="H129" s="362"/>
      <c r="I129" s="166"/>
    </row>
    <row r="130" spans="1:9" ht="21" customHeight="1">
      <c r="A130" s="172"/>
      <c r="B130" s="198"/>
      <c r="C130" s="33"/>
      <c r="D130" s="171"/>
      <c r="E130" s="165"/>
      <c r="F130" s="166"/>
      <c r="G130" s="167"/>
      <c r="H130" s="362"/>
      <c r="I130" s="166"/>
    </row>
    <row r="131" spans="1:9" ht="21" customHeight="1">
      <c r="A131" s="172"/>
      <c r="B131" s="198"/>
      <c r="C131" s="33"/>
      <c r="D131" s="171"/>
      <c r="E131" s="165"/>
      <c r="F131" s="166"/>
      <c r="G131" s="167"/>
      <c r="H131" s="362"/>
      <c r="I131" s="166"/>
    </row>
    <row r="132" spans="1:9" ht="21" customHeight="1">
      <c r="A132" s="172"/>
      <c r="B132" s="198"/>
      <c r="C132" s="33"/>
      <c r="D132" s="171"/>
      <c r="E132" s="165"/>
      <c r="F132" s="166"/>
      <c r="G132" s="167"/>
      <c r="H132" s="362"/>
      <c r="I132" s="166"/>
    </row>
    <row r="133" spans="1:9" ht="21" customHeight="1">
      <c r="A133" s="172"/>
      <c r="B133" s="198"/>
      <c r="C133" s="33"/>
      <c r="D133" s="171"/>
      <c r="E133" s="165"/>
      <c r="F133" s="166"/>
      <c r="G133" s="167"/>
      <c r="H133" s="362"/>
      <c r="I133" s="166"/>
    </row>
    <row r="134" spans="1:9" ht="21" customHeight="1">
      <c r="A134" s="172"/>
      <c r="B134" s="198"/>
      <c r="C134" s="33"/>
      <c r="D134" s="171"/>
      <c r="E134" s="165"/>
      <c r="F134" s="166"/>
      <c r="G134" s="167"/>
      <c r="H134" s="362"/>
      <c r="I134" s="166"/>
    </row>
    <row r="135" spans="1:9" ht="21" customHeight="1">
      <c r="A135" s="172"/>
      <c r="B135" s="198"/>
      <c r="C135" s="33"/>
      <c r="D135" s="171"/>
      <c r="E135" s="165"/>
      <c r="F135" s="166"/>
      <c r="G135" s="167"/>
      <c r="H135" s="362"/>
      <c r="I135" s="166"/>
    </row>
    <row r="136" spans="1:9" ht="21" customHeight="1">
      <c r="A136" s="172"/>
      <c r="B136" s="198"/>
      <c r="C136" s="33"/>
      <c r="D136" s="171"/>
      <c r="E136" s="165"/>
      <c r="F136" s="166"/>
      <c r="G136" s="167"/>
      <c r="H136" s="362"/>
      <c r="I136" s="166"/>
    </row>
    <row r="137" spans="1:9" ht="21" customHeight="1">
      <c r="A137" s="172"/>
      <c r="B137" s="198"/>
      <c r="C137" s="33"/>
      <c r="D137" s="171"/>
      <c r="E137" s="165"/>
      <c r="F137" s="166"/>
      <c r="G137" s="167"/>
      <c r="H137" s="362"/>
      <c r="I137" s="166"/>
    </row>
    <row r="138" spans="1:9" ht="21" customHeight="1">
      <c r="A138" s="172"/>
      <c r="B138" s="198"/>
      <c r="C138" s="33"/>
      <c r="D138" s="171"/>
      <c r="E138" s="165"/>
      <c r="F138" s="166"/>
      <c r="G138" s="167"/>
      <c r="H138" s="362"/>
      <c r="I138" s="166"/>
    </row>
    <row r="139" spans="1:9" ht="21" customHeight="1">
      <c r="A139" s="172"/>
      <c r="B139" s="198"/>
      <c r="C139" s="33"/>
      <c r="D139" s="171"/>
      <c r="E139" s="165"/>
      <c r="F139" s="166"/>
      <c r="G139" s="167"/>
      <c r="H139" s="362"/>
      <c r="I139" s="166"/>
    </row>
    <row r="140" spans="1:9" ht="21" customHeight="1">
      <c r="A140" s="172"/>
      <c r="B140" s="198"/>
      <c r="C140" s="33"/>
      <c r="D140" s="171"/>
      <c r="E140" s="165"/>
      <c r="F140" s="166"/>
      <c r="G140" s="167"/>
      <c r="H140" s="362"/>
      <c r="I140" s="166"/>
    </row>
    <row r="141" spans="1:9" ht="21" customHeight="1">
      <c r="A141" s="172"/>
      <c r="B141" s="198"/>
      <c r="C141" s="33"/>
      <c r="D141" s="171"/>
      <c r="E141" s="165"/>
      <c r="F141" s="166"/>
      <c r="G141" s="167"/>
      <c r="H141" s="362"/>
      <c r="I141" s="166"/>
    </row>
    <row r="142" spans="1:9" ht="21" customHeight="1">
      <c r="A142" s="172"/>
      <c r="B142" s="198"/>
      <c r="C142" s="33"/>
      <c r="D142" s="171"/>
      <c r="E142" s="165"/>
      <c r="F142" s="166"/>
      <c r="G142" s="167"/>
      <c r="H142" s="362"/>
      <c r="I142" s="166"/>
    </row>
    <row r="143" spans="1:9">
      <c r="A143" s="172"/>
      <c r="B143" s="198"/>
      <c r="C143" s="33"/>
      <c r="D143" s="171"/>
      <c r="E143" s="165"/>
      <c r="F143" s="166"/>
      <c r="G143" s="167"/>
      <c r="H143" s="362"/>
      <c r="I143" s="166"/>
    </row>
    <row r="144" spans="1:9">
      <c r="A144" s="172"/>
      <c r="B144" s="198"/>
      <c r="C144" s="33"/>
      <c r="D144" s="171"/>
      <c r="E144" s="165"/>
      <c r="F144" s="166"/>
      <c r="G144" s="167"/>
      <c r="H144" s="362"/>
      <c r="I144" s="166"/>
    </row>
    <row r="145" spans="1:9">
      <c r="A145" s="172"/>
      <c r="B145" s="198"/>
      <c r="C145" s="33"/>
      <c r="D145" s="171"/>
      <c r="E145" s="165"/>
      <c r="F145" s="166"/>
      <c r="G145" s="167"/>
      <c r="H145" s="362"/>
      <c r="I145" s="166"/>
    </row>
    <row r="146" spans="1:9">
      <c r="A146" s="172"/>
      <c r="B146" s="198"/>
      <c r="C146" s="33"/>
      <c r="D146" s="171"/>
      <c r="E146" s="165"/>
      <c r="F146" s="166"/>
      <c r="G146" s="167"/>
      <c r="H146" s="362"/>
      <c r="I146" s="166"/>
    </row>
    <row r="147" spans="1:9">
      <c r="A147" s="172"/>
      <c r="B147" s="198"/>
      <c r="C147" s="33"/>
      <c r="D147" s="171"/>
      <c r="E147" s="165"/>
      <c r="F147" s="166"/>
      <c r="G147" s="167"/>
      <c r="H147" s="362"/>
      <c r="I147" s="166"/>
    </row>
    <row r="148" spans="1:9">
      <c r="A148" s="172"/>
      <c r="B148" s="198"/>
      <c r="C148" s="33"/>
      <c r="D148" s="171"/>
      <c r="E148" s="165"/>
      <c r="F148" s="166"/>
      <c r="G148" s="167"/>
      <c r="H148" s="362"/>
      <c r="I148" s="166"/>
    </row>
    <row r="149" spans="1:9">
      <c r="A149" s="172"/>
      <c r="B149" s="198"/>
      <c r="C149" s="33"/>
      <c r="D149" s="171"/>
      <c r="E149" s="165"/>
      <c r="F149" s="166"/>
      <c r="G149" s="167"/>
      <c r="H149" s="362"/>
      <c r="I149" s="166"/>
    </row>
    <row r="150" spans="1:9">
      <c r="A150" s="172"/>
      <c r="B150" s="198"/>
      <c r="C150" s="33"/>
      <c r="D150" s="171"/>
      <c r="E150" s="165"/>
      <c r="F150" s="166"/>
      <c r="G150" s="167"/>
      <c r="H150" s="362"/>
      <c r="I150" s="166"/>
    </row>
    <row r="151" spans="1:9">
      <c r="A151" s="172"/>
      <c r="B151" s="198"/>
      <c r="C151" s="33"/>
      <c r="D151" s="171"/>
      <c r="E151" s="165"/>
      <c r="F151" s="166"/>
      <c r="G151" s="167"/>
      <c r="H151" s="362"/>
      <c r="I151" s="166"/>
    </row>
    <row r="152" spans="1:9">
      <c r="A152" s="172"/>
      <c r="B152" s="198"/>
      <c r="C152" s="33"/>
      <c r="D152" s="171"/>
      <c r="E152" s="165"/>
      <c r="F152" s="166"/>
      <c r="G152" s="167"/>
      <c r="H152" s="362"/>
      <c r="I152" s="166"/>
    </row>
    <row r="153" spans="1:9">
      <c r="A153" s="172"/>
      <c r="B153" s="198"/>
      <c r="C153" s="33"/>
      <c r="D153" s="171"/>
      <c r="E153" s="165"/>
      <c r="F153" s="166"/>
      <c r="G153" s="167"/>
      <c r="H153" s="362"/>
      <c r="I153" s="166"/>
    </row>
    <row r="154" spans="1:9">
      <c r="A154" s="172"/>
      <c r="B154" s="198"/>
      <c r="C154" s="33"/>
      <c r="D154" s="171"/>
      <c r="E154" s="165"/>
      <c r="F154" s="166"/>
      <c r="G154" s="167"/>
      <c r="H154" s="362"/>
      <c r="I154" s="166"/>
    </row>
    <row r="155" spans="1:9">
      <c r="A155" s="172"/>
      <c r="B155" s="198"/>
      <c r="C155" s="33"/>
      <c r="D155" s="171"/>
      <c r="E155" s="165"/>
      <c r="F155" s="166"/>
      <c r="G155" s="167"/>
      <c r="H155" s="362"/>
      <c r="I155" s="166"/>
    </row>
    <row r="156" spans="1:9">
      <c r="A156" s="172"/>
      <c r="B156" s="198"/>
      <c r="C156" s="33"/>
      <c r="D156" s="171"/>
      <c r="E156" s="165"/>
      <c r="F156" s="166"/>
      <c r="G156" s="167"/>
      <c r="H156" s="362"/>
      <c r="I156" s="166"/>
    </row>
    <row r="157" spans="1:9">
      <c r="A157" s="172"/>
      <c r="B157" s="198"/>
      <c r="C157" s="33"/>
      <c r="D157" s="171"/>
      <c r="E157" s="165"/>
      <c r="F157" s="166"/>
      <c r="G157" s="167"/>
      <c r="H157" s="362"/>
      <c r="I157" s="166"/>
    </row>
    <row r="158" spans="1:9">
      <c r="A158" s="172"/>
      <c r="B158" s="198"/>
      <c r="C158" s="33"/>
      <c r="D158" s="171"/>
      <c r="E158" s="165"/>
      <c r="F158" s="166"/>
      <c r="G158" s="167"/>
      <c r="H158" s="362"/>
      <c r="I158" s="166"/>
    </row>
    <row r="159" spans="1:9">
      <c r="A159" s="172"/>
      <c r="B159" s="198"/>
      <c r="C159" s="33"/>
      <c r="D159" s="171"/>
      <c r="E159" s="165"/>
      <c r="F159" s="166"/>
      <c r="G159" s="167"/>
      <c r="H159" s="362"/>
      <c r="I159" s="166"/>
    </row>
    <row r="160" spans="1:9">
      <c r="A160" s="172"/>
      <c r="B160" s="198"/>
      <c r="C160" s="33"/>
      <c r="D160" s="171"/>
      <c r="E160" s="165"/>
      <c r="F160" s="166"/>
      <c r="G160" s="167"/>
      <c r="H160" s="362"/>
      <c r="I160" s="166"/>
    </row>
    <row r="161" spans="1:9">
      <c r="A161" s="172"/>
      <c r="B161" s="198"/>
      <c r="C161" s="33"/>
      <c r="D161" s="171"/>
      <c r="E161" s="165"/>
      <c r="F161" s="166"/>
      <c r="G161" s="167"/>
      <c r="H161" s="362"/>
      <c r="I161" s="166"/>
    </row>
    <row r="162" spans="1:9">
      <c r="A162" s="172"/>
      <c r="B162" s="198"/>
      <c r="C162" s="33"/>
      <c r="D162" s="171"/>
      <c r="E162" s="165"/>
      <c r="F162" s="166"/>
      <c r="G162" s="167"/>
      <c r="H162" s="362"/>
      <c r="I162" s="166"/>
    </row>
    <row r="163" spans="1:9">
      <c r="A163" s="172"/>
      <c r="B163" s="198"/>
      <c r="C163" s="33"/>
      <c r="D163" s="171"/>
      <c r="E163" s="165"/>
      <c r="F163" s="166"/>
      <c r="G163" s="167"/>
      <c r="H163" s="362"/>
      <c r="I163" s="166"/>
    </row>
    <row r="164" spans="1:9">
      <c r="A164" s="172"/>
      <c r="B164" s="198"/>
      <c r="C164" s="33"/>
      <c r="D164" s="171"/>
      <c r="E164" s="165"/>
      <c r="F164" s="166"/>
      <c r="G164" s="167"/>
      <c r="H164" s="362"/>
      <c r="I164" s="166"/>
    </row>
    <row r="165" spans="1:9">
      <c r="A165" s="172"/>
      <c r="B165" s="198"/>
      <c r="C165" s="33"/>
      <c r="D165" s="171"/>
      <c r="E165" s="165"/>
      <c r="F165" s="166"/>
      <c r="G165" s="167"/>
      <c r="H165" s="362"/>
      <c r="I165" s="166"/>
    </row>
    <row r="166" spans="1:9">
      <c r="A166" s="172"/>
      <c r="B166" s="198"/>
      <c r="C166" s="33"/>
      <c r="D166" s="171"/>
      <c r="E166" s="165"/>
      <c r="F166" s="166"/>
      <c r="G166" s="167"/>
      <c r="H166" s="362"/>
      <c r="I166" s="166"/>
    </row>
    <row r="167" spans="1:9">
      <c r="A167" s="172"/>
      <c r="B167" s="198"/>
      <c r="C167" s="33"/>
      <c r="D167" s="171"/>
      <c r="E167" s="165"/>
      <c r="F167" s="166"/>
      <c r="G167" s="167"/>
      <c r="H167" s="362"/>
      <c r="I167" s="166"/>
    </row>
    <row r="168" spans="1:9">
      <c r="A168" s="172"/>
      <c r="B168" s="198"/>
      <c r="C168" s="33"/>
      <c r="D168" s="171"/>
      <c r="E168" s="165"/>
      <c r="F168" s="166"/>
      <c r="G168" s="167"/>
      <c r="H168" s="362"/>
      <c r="I168" s="166"/>
    </row>
    <row r="169" spans="1:9">
      <c r="A169" s="172"/>
      <c r="B169" s="198"/>
      <c r="C169" s="33"/>
      <c r="D169" s="171"/>
      <c r="E169" s="165"/>
      <c r="F169" s="166"/>
      <c r="G169" s="167"/>
      <c r="H169" s="362"/>
      <c r="I169" s="166"/>
    </row>
    <row r="170" spans="1:9">
      <c r="A170" s="172"/>
      <c r="B170" s="198"/>
      <c r="C170" s="33"/>
      <c r="D170" s="171"/>
      <c r="E170" s="165"/>
      <c r="F170" s="166"/>
      <c r="G170" s="167"/>
      <c r="H170" s="362"/>
      <c r="I170" s="166"/>
    </row>
    <row r="171" spans="1:9">
      <c r="A171" s="172"/>
      <c r="B171" s="198"/>
      <c r="C171" s="33"/>
      <c r="D171" s="171"/>
      <c r="E171" s="165"/>
      <c r="F171" s="166"/>
      <c r="G171" s="167"/>
      <c r="H171" s="362"/>
      <c r="I171" s="166"/>
    </row>
    <row r="172" spans="1:9">
      <c r="A172" s="172"/>
      <c r="B172" s="198"/>
      <c r="C172" s="33"/>
      <c r="D172" s="171"/>
      <c r="E172" s="165"/>
      <c r="F172" s="166"/>
      <c r="G172" s="167"/>
      <c r="H172" s="362"/>
      <c r="I172" s="166"/>
    </row>
    <row r="173" spans="1:9">
      <c r="A173" s="172"/>
      <c r="B173" s="198"/>
      <c r="C173" s="33"/>
      <c r="D173" s="171"/>
      <c r="E173" s="165"/>
      <c r="F173" s="166"/>
      <c r="G173" s="167"/>
      <c r="H173" s="362"/>
      <c r="I173" s="166"/>
    </row>
    <row r="174" spans="1:9">
      <c r="A174" s="172"/>
      <c r="B174" s="198"/>
      <c r="C174" s="33"/>
      <c r="D174" s="171"/>
      <c r="E174" s="165"/>
      <c r="F174" s="166"/>
      <c r="G174" s="167"/>
      <c r="H174" s="362"/>
      <c r="I174" s="166"/>
    </row>
    <row r="175" spans="1:9">
      <c r="A175" s="172"/>
      <c r="B175" s="198"/>
      <c r="C175" s="33"/>
      <c r="D175" s="171"/>
      <c r="E175" s="165"/>
      <c r="F175" s="166"/>
      <c r="G175" s="167"/>
      <c r="H175" s="362"/>
      <c r="I175" s="166"/>
    </row>
    <row r="176" spans="1:9">
      <c r="A176" s="172"/>
      <c r="B176" s="198"/>
      <c r="C176" s="33"/>
      <c r="D176" s="171"/>
      <c r="E176" s="165"/>
      <c r="F176" s="166"/>
      <c r="G176" s="167"/>
      <c r="H176" s="362"/>
      <c r="I176" s="166"/>
    </row>
    <row r="177" spans="1:9">
      <c r="A177" s="172"/>
      <c r="B177" s="198"/>
      <c r="C177" s="33"/>
      <c r="D177" s="171"/>
      <c r="E177" s="165"/>
      <c r="F177" s="166"/>
      <c r="G177" s="167"/>
      <c r="H177" s="362"/>
      <c r="I177" s="166"/>
    </row>
    <row r="178" spans="1:9">
      <c r="A178" s="172"/>
      <c r="B178" s="198"/>
      <c r="C178" s="33"/>
      <c r="D178" s="171"/>
      <c r="E178" s="165"/>
      <c r="F178" s="166"/>
      <c r="G178" s="167"/>
      <c r="H178" s="362"/>
      <c r="I178" s="166"/>
    </row>
    <row r="179" spans="1:9">
      <c r="A179" s="172"/>
      <c r="B179" s="198"/>
      <c r="C179" s="33"/>
      <c r="D179" s="171"/>
      <c r="E179" s="165"/>
      <c r="F179" s="166"/>
      <c r="G179" s="167"/>
      <c r="H179" s="362"/>
      <c r="I179" s="166"/>
    </row>
    <row r="180" spans="1:9">
      <c r="A180" s="172"/>
      <c r="B180" s="198"/>
      <c r="C180" s="33"/>
      <c r="D180" s="171"/>
      <c r="E180" s="165"/>
      <c r="F180" s="166"/>
      <c r="G180" s="167"/>
      <c r="H180" s="362"/>
      <c r="I180" s="166"/>
    </row>
    <row r="181" spans="1:9">
      <c r="A181" s="172"/>
      <c r="B181" s="198"/>
      <c r="C181" s="33"/>
      <c r="D181" s="171"/>
      <c r="E181" s="165"/>
      <c r="F181" s="166"/>
      <c r="G181" s="167"/>
      <c r="H181" s="362"/>
      <c r="I181" s="166"/>
    </row>
    <row r="182" spans="1:9">
      <c r="A182" s="172"/>
      <c r="B182" s="198"/>
      <c r="C182" s="33"/>
      <c r="D182" s="171"/>
      <c r="E182" s="165"/>
      <c r="F182" s="166"/>
      <c r="G182" s="167"/>
      <c r="H182" s="362"/>
      <c r="I182" s="166"/>
    </row>
    <row r="183" spans="1:9">
      <c r="A183" s="172"/>
      <c r="B183" s="198"/>
      <c r="C183" s="33"/>
      <c r="D183" s="171"/>
      <c r="E183" s="165"/>
      <c r="F183" s="166"/>
      <c r="G183" s="167"/>
      <c r="H183" s="362"/>
      <c r="I183" s="166"/>
    </row>
    <row r="184" spans="1:9">
      <c r="A184" s="172"/>
      <c r="B184" s="198"/>
      <c r="C184" s="33"/>
      <c r="D184" s="171"/>
      <c r="E184" s="165"/>
      <c r="F184" s="166"/>
      <c r="G184" s="167"/>
      <c r="H184" s="362"/>
      <c r="I184" s="166"/>
    </row>
    <row r="185" spans="1:9">
      <c r="A185" s="172"/>
      <c r="B185" s="198"/>
      <c r="C185" s="33"/>
      <c r="D185" s="171"/>
      <c r="E185" s="165"/>
      <c r="F185" s="166"/>
      <c r="G185" s="167"/>
      <c r="H185" s="362"/>
      <c r="I185" s="166"/>
    </row>
    <row r="186" spans="1:9">
      <c r="A186" s="172"/>
      <c r="B186" s="198"/>
      <c r="C186" s="33"/>
      <c r="D186" s="171"/>
      <c r="E186" s="165"/>
      <c r="F186" s="166"/>
      <c r="G186" s="167"/>
      <c r="H186" s="362"/>
      <c r="I186" s="166"/>
    </row>
    <row r="187" spans="1:9">
      <c r="A187" s="172"/>
      <c r="B187" s="198"/>
      <c r="C187" s="33"/>
      <c r="D187" s="171"/>
      <c r="E187" s="165"/>
      <c r="F187" s="166"/>
      <c r="G187" s="167"/>
      <c r="H187" s="362"/>
      <c r="I187" s="166"/>
    </row>
    <row r="188" spans="1:9">
      <c r="A188" s="172"/>
      <c r="B188" s="198"/>
      <c r="C188" s="33"/>
      <c r="D188" s="171"/>
      <c r="E188" s="165"/>
      <c r="F188" s="166"/>
      <c r="G188" s="167"/>
      <c r="H188" s="362"/>
      <c r="I188" s="166"/>
    </row>
    <row r="189" spans="1:9">
      <c r="A189" s="172"/>
      <c r="B189" s="198"/>
      <c r="C189" s="33"/>
      <c r="D189" s="171"/>
      <c r="E189" s="165"/>
      <c r="F189" s="166"/>
      <c r="G189" s="167"/>
      <c r="H189" s="362"/>
      <c r="I189" s="166"/>
    </row>
    <row r="190" spans="1:9">
      <c r="A190" s="172"/>
      <c r="B190" s="198"/>
      <c r="C190" s="33"/>
      <c r="D190" s="171"/>
      <c r="E190" s="165"/>
      <c r="F190" s="166"/>
      <c r="G190" s="167"/>
      <c r="H190" s="362"/>
      <c r="I190" s="166"/>
    </row>
    <row r="191" spans="1:9">
      <c r="A191" s="172"/>
      <c r="B191" s="198"/>
      <c r="C191" s="33"/>
      <c r="D191" s="171"/>
      <c r="E191" s="165"/>
      <c r="F191" s="166"/>
      <c r="G191" s="167"/>
      <c r="H191" s="362"/>
      <c r="I191" s="166"/>
    </row>
    <row r="192" spans="1:9">
      <c r="A192" s="172"/>
      <c r="B192" s="198"/>
      <c r="C192" s="33"/>
      <c r="D192" s="171"/>
      <c r="E192" s="165"/>
      <c r="F192" s="166"/>
      <c r="G192" s="167"/>
      <c r="H192" s="362"/>
      <c r="I192" s="166"/>
    </row>
    <row r="193" spans="1:9">
      <c r="A193" s="172"/>
      <c r="B193" s="198"/>
      <c r="C193" s="33"/>
      <c r="D193" s="171"/>
      <c r="E193" s="165"/>
      <c r="F193" s="166"/>
      <c r="G193" s="167"/>
      <c r="H193" s="362"/>
      <c r="I193" s="166"/>
    </row>
    <row r="194" spans="1:9">
      <c r="A194" s="172"/>
      <c r="B194" s="198"/>
      <c r="C194" s="33"/>
      <c r="D194" s="171"/>
      <c r="E194" s="165"/>
      <c r="F194" s="166"/>
      <c r="G194" s="167"/>
      <c r="H194" s="362"/>
      <c r="I194" s="166"/>
    </row>
    <row r="195" spans="1:9">
      <c r="A195" s="172"/>
      <c r="B195" s="198"/>
      <c r="C195" s="33"/>
      <c r="D195" s="171"/>
      <c r="E195" s="165"/>
      <c r="F195" s="166"/>
      <c r="G195" s="167"/>
      <c r="H195" s="362"/>
      <c r="I195" s="166"/>
    </row>
    <row r="196" spans="1:9">
      <c r="A196" s="172"/>
      <c r="B196" s="198"/>
      <c r="C196" s="33"/>
      <c r="D196" s="171"/>
      <c r="E196" s="165"/>
      <c r="F196" s="166"/>
      <c r="G196" s="167"/>
      <c r="H196" s="362"/>
      <c r="I196" s="166"/>
    </row>
    <row r="197" spans="1:9">
      <c r="A197" s="172"/>
      <c r="B197" s="198"/>
      <c r="C197" s="33"/>
      <c r="D197" s="171"/>
      <c r="E197" s="165"/>
      <c r="F197" s="166"/>
      <c r="G197" s="167"/>
      <c r="H197" s="362"/>
      <c r="I197" s="166"/>
    </row>
    <row r="198" spans="1:9">
      <c r="A198" s="172"/>
      <c r="B198" s="198"/>
      <c r="C198" s="33"/>
      <c r="D198" s="171"/>
      <c r="E198" s="165"/>
      <c r="F198" s="166"/>
      <c r="G198" s="167"/>
      <c r="H198" s="362"/>
      <c r="I198" s="166"/>
    </row>
    <row r="199" spans="1:9">
      <c r="A199" s="172"/>
      <c r="B199" s="198"/>
      <c r="C199" s="33"/>
      <c r="D199" s="171"/>
      <c r="E199" s="165"/>
      <c r="F199" s="166"/>
      <c r="G199" s="167"/>
      <c r="H199" s="362"/>
      <c r="I199" s="166"/>
    </row>
    <row r="200" spans="1:9">
      <c r="A200" s="172"/>
      <c r="B200" s="198"/>
      <c r="C200" s="33"/>
      <c r="D200" s="171"/>
      <c r="E200" s="165"/>
      <c r="F200" s="166"/>
      <c r="G200" s="167"/>
      <c r="H200" s="362"/>
      <c r="I200" s="166"/>
    </row>
    <row r="201" spans="1:9">
      <c r="A201" s="172"/>
      <c r="B201" s="198"/>
      <c r="C201" s="33"/>
      <c r="D201" s="171"/>
      <c r="E201" s="165"/>
      <c r="F201" s="166"/>
      <c r="G201" s="167"/>
      <c r="H201" s="362"/>
      <c r="I201" s="166"/>
    </row>
    <row r="202" spans="1:9">
      <c r="A202" s="172"/>
      <c r="B202" s="198"/>
      <c r="C202" s="33"/>
      <c r="D202" s="171"/>
      <c r="E202" s="165"/>
      <c r="F202" s="166"/>
      <c r="G202" s="167"/>
      <c r="H202" s="362"/>
      <c r="I202" s="166"/>
    </row>
    <row r="203" spans="1:9">
      <c r="A203" s="172"/>
      <c r="B203" s="198"/>
      <c r="C203" s="33"/>
      <c r="D203" s="171"/>
      <c r="E203" s="165"/>
      <c r="F203" s="166"/>
      <c r="G203" s="167"/>
      <c r="H203" s="362"/>
      <c r="I203" s="166"/>
    </row>
    <row r="204" spans="1:9">
      <c r="A204" s="172"/>
      <c r="B204" s="198"/>
      <c r="C204" s="33"/>
      <c r="D204" s="171"/>
      <c r="E204" s="165"/>
      <c r="F204" s="166"/>
      <c r="G204" s="167"/>
      <c r="H204" s="362"/>
      <c r="I204" s="166"/>
    </row>
    <row r="205" spans="1:9">
      <c r="A205" s="172"/>
      <c r="B205" s="198"/>
      <c r="C205" s="33"/>
      <c r="D205" s="171"/>
      <c r="E205" s="165"/>
      <c r="F205" s="166"/>
      <c r="G205" s="167"/>
      <c r="H205" s="362"/>
      <c r="I205" s="166"/>
    </row>
    <row r="206" spans="1:9">
      <c r="A206" s="172"/>
      <c r="B206" s="198"/>
      <c r="C206" s="33"/>
      <c r="D206" s="171"/>
      <c r="E206" s="165"/>
      <c r="F206" s="166"/>
      <c r="G206" s="167"/>
      <c r="H206" s="362"/>
      <c r="I206" s="166"/>
    </row>
    <row r="207" spans="1:9">
      <c r="A207" s="172"/>
      <c r="B207" s="198"/>
      <c r="C207" s="33"/>
      <c r="D207" s="171"/>
      <c r="E207" s="165"/>
      <c r="F207" s="166"/>
      <c r="G207" s="167"/>
      <c r="H207" s="362"/>
      <c r="I207" s="166"/>
    </row>
    <row r="208" spans="1:9">
      <c r="A208" s="172"/>
      <c r="B208" s="198"/>
      <c r="C208" s="33"/>
      <c r="D208" s="171"/>
      <c r="E208" s="165"/>
      <c r="F208" s="166"/>
      <c r="G208" s="167"/>
      <c r="H208" s="362"/>
      <c r="I208" s="166"/>
    </row>
    <row r="209" spans="1:9">
      <c r="A209" s="172"/>
      <c r="B209" s="198"/>
      <c r="C209" s="33"/>
      <c r="D209" s="171"/>
      <c r="E209" s="165"/>
      <c r="F209" s="166"/>
      <c r="G209" s="167"/>
      <c r="H209" s="362"/>
      <c r="I209" s="166"/>
    </row>
    <row r="210" spans="1:9">
      <c r="A210" s="172"/>
      <c r="B210" s="198"/>
      <c r="C210" s="33"/>
      <c r="D210" s="171"/>
      <c r="E210" s="165"/>
      <c r="F210" s="166"/>
      <c r="G210" s="167"/>
      <c r="H210" s="362"/>
      <c r="I210" s="166"/>
    </row>
    <row r="211" spans="1:9">
      <c r="A211" s="172"/>
      <c r="B211" s="198"/>
      <c r="C211" s="33"/>
      <c r="D211" s="171"/>
      <c r="E211" s="165"/>
      <c r="F211" s="166"/>
      <c r="G211" s="167"/>
      <c r="H211" s="362"/>
      <c r="I211" s="166"/>
    </row>
    <row r="212" spans="1:9">
      <c r="A212" s="172"/>
      <c r="B212" s="198"/>
      <c r="C212" s="33"/>
      <c r="D212" s="171"/>
      <c r="E212" s="165"/>
      <c r="F212" s="166"/>
      <c r="G212" s="167"/>
      <c r="H212" s="362"/>
      <c r="I212" s="166"/>
    </row>
    <row r="213" spans="1:9">
      <c r="A213" s="172"/>
      <c r="B213" s="198"/>
      <c r="C213" s="33"/>
      <c r="D213" s="171"/>
      <c r="E213" s="165"/>
      <c r="F213" s="166"/>
      <c r="G213" s="167"/>
      <c r="H213" s="362"/>
      <c r="I213" s="166"/>
    </row>
    <row r="214" spans="1:9">
      <c r="A214" s="172"/>
      <c r="B214" s="198"/>
      <c r="C214" s="33"/>
      <c r="D214" s="171"/>
      <c r="E214" s="165"/>
      <c r="F214" s="166"/>
      <c r="G214" s="167"/>
      <c r="H214" s="362"/>
      <c r="I214" s="166"/>
    </row>
    <row r="215" spans="1:9">
      <c r="A215" s="172"/>
      <c r="B215" s="198"/>
      <c r="C215" s="33"/>
      <c r="D215" s="171"/>
      <c r="E215" s="165"/>
      <c r="F215" s="166"/>
      <c r="G215" s="167"/>
      <c r="H215" s="362"/>
      <c r="I215" s="166"/>
    </row>
    <row r="216" spans="1:9">
      <c r="A216" s="172"/>
      <c r="B216" s="198"/>
      <c r="C216" s="33"/>
      <c r="D216" s="171"/>
      <c r="E216" s="165"/>
      <c r="F216" s="166"/>
      <c r="G216" s="167"/>
      <c r="H216" s="362"/>
      <c r="I216" s="166"/>
    </row>
    <row r="217" spans="1:9">
      <c r="A217" s="172"/>
      <c r="B217" s="198"/>
      <c r="C217" s="33"/>
      <c r="D217" s="171"/>
      <c r="E217" s="165"/>
      <c r="F217" s="166"/>
      <c r="G217" s="167"/>
      <c r="H217" s="362"/>
      <c r="I217" s="166"/>
    </row>
    <row r="218" spans="1:9">
      <c r="A218" s="172"/>
      <c r="B218" s="198"/>
      <c r="C218" s="33"/>
      <c r="D218" s="171"/>
      <c r="E218" s="165"/>
      <c r="F218" s="166"/>
      <c r="G218" s="167"/>
      <c r="H218" s="362"/>
      <c r="I218" s="166"/>
    </row>
    <row r="219" spans="1:9">
      <c r="A219" s="172"/>
      <c r="B219" s="198"/>
      <c r="C219" s="33"/>
      <c r="D219" s="171"/>
      <c r="E219" s="165"/>
      <c r="F219" s="166"/>
      <c r="G219" s="167"/>
      <c r="H219" s="362"/>
      <c r="I219" s="166"/>
    </row>
    <row r="220" spans="1:9">
      <c r="A220" s="172"/>
      <c r="B220" s="198"/>
      <c r="C220" s="33"/>
      <c r="D220" s="171"/>
      <c r="E220" s="165"/>
      <c r="F220" s="166"/>
      <c r="G220" s="167"/>
      <c r="H220" s="362"/>
      <c r="I220" s="166"/>
    </row>
    <row r="221" spans="1:9">
      <c r="A221" s="172"/>
      <c r="B221" s="198"/>
      <c r="C221" s="33"/>
      <c r="D221" s="171"/>
      <c r="E221" s="165"/>
      <c r="F221" s="166"/>
      <c r="G221" s="167"/>
      <c r="H221" s="362"/>
      <c r="I221" s="166"/>
    </row>
    <row r="222" spans="1:9">
      <c r="A222" s="172"/>
      <c r="B222" s="198"/>
      <c r="C222" s="33"/>
      <c r="D222" s="171"/>
      <c r="E222" s="165"/>
      <c r="F222" s="166"/>
      <c r="G222" s="167"/>
      <c r="H222" s="362"/>
      <c r="I222" s="166"/>
    </row>
    <row r="223" spans="1:9">
      <c r="A223" s="172"/>
      <c r="B223" s="198"/>
      <c r="C223" s="33"/>
      <c r="D223" s="171"/>
      <c r="E223" s="165"/>
      <c r="F223" s="166"/>
      <c r="G223" s="167"/>
      <c r="H223" s="362"/>
      <c r="I223" s="166"/>
    </row>
    <row r="224" spans="1:9">
      <c r="A224" s="172"/>
      <c r="B224" s="198"/>
      <c r="C224" s="33"/>
      <c r="D224" s="171"/>
      <c r="E224" s="165"/>
      <c r="F224" s="166"/>
      <c r="G224" s="167"/>
      <c r="H224" s="362"/>
      <c r="I224" s="166"/>
    </row>
    <row r="225" spans="1:9">
      <c r="A225" s="172"/>
      <c r="B225" s="198"/>
      <c r="C225" s="33"/>
      <c r="D225" s="171"/>
      <c r="E225" s="165"/>
      <c r="F225" s="166"/>
      <c r="G225" s="167"/>
      <c r="H225" s="362"/>
      <c r="I225" s="166"/>
    </row>
    <row r="226" spans="1:9">
      <c r="A226" s="172"/>
      <c r="B226" s="198"/>
      <c r="C226" s="33"/>
      <c r="D226" s="171"/>
      <c r="E226" s="165"/>
      <c r="F226" s="166"/>
      <c r="G226" s="167"/>
      <c r="H226" s="362"/>
      <c r="I226" s="166"/>
    </row>
    <row r="227" spans="1:9">
      <c r="A227" s="172"/>
      <c r="B227" s="198"/>
      <c r="C227" s="33"/>
      <c r="D227" s="171"/>
      <c r="E227" s="165"/>
      <c r="F227" s="166"/>
      <c r="G227" s="167"/>
      <c r="H227" s="362"/>
      <c r="I227" s="166"/>
    </row>
    <row r="228" spans="1:9">
      <c r="A228" s="172"/>
      <c r="B228" s="198"/>
      <c r="C228" s="33"/>
      <c r="D228" s="171"/>
      <c r="E228" s="165"/>
      <c r="F228" s="166"/>
      <c r="G228" s="167"/>
      <c r="H228" s="362"/>
      <c r="I228" s="166"/>
    </row>
    <row r="229" spans="1:9">
      <c r="A229" s="172"/>
      <c r="B229" s="198"/>
      <c r="C229" s="33"/>
      <c r="D229" s="171"/>
      <c r="E229" s="165"/>
      <c r="F229" s="166"/>
      <c r="G229" s="167"/>
      <c r="H229" s="362"/>
      <c r="I229" s="166"/>
    </row>
    <row r="230" spans="1:9">
      <c r="A230" s="172"/>
      <c r="B230" s="198"/>
      <c r="C230" s="33"/>
      <c r="D230" s="171"/>
      <c r="E230" s="165"/>
      <c r="F230" s="166"/>
      <c r="G230" s="167"/>
      <c r="H230" s="362"/>
      <c r="I230" s="166"/>
    </row>
    <row r="231" spans="1:9">
      <c r="A231" s="172"/>
      <c r="B231" s="198"/>
      <c r="C231" s="33"/>
      <c r="D231" s="171"/>
      <c r="E231" s="165"/>
      <c r="F231" s="166"/>
      <c r="G231" s="167"/>
      <c r="H231" s="362"/>
      <c r="I231" s="166"/>
    </row>
    <row r="232" spans="1:9">
      <c r="A232" s="172"/>
      <c r="B232" s="198"/>
      <c r="C232" s="33"/>
      <c r="D232" s="171"/>
      <c r="E232" s="165"/>
      <c r="F232" s="166"/>
      <c r="G232" s="167"/>
      <c r="H232" s="362"/>
      <c r="I232" s="166"/>
    </row>
    <row r="233" spans="1:9">
      <c r="A233" s="172"/>
      <c r="B233" s="198"/>
      <c r="C233" s="33"/>
      <c r="D233" s="171"/>
      <c r="E233" s="165"/>
      <c r="F233" s="166"/>
      <c r="G233" s="167"/>
      <c r="H233" s="362"/>
      <c r="I233" s="166"/>
    </row>
    <row r="234" spans="1:9">
      <c r="A234" s="172"/>
      <c r="B234" s="198"/>
      <c r="C234" s="33"/>
      <c r="D234" s="171"/>
      <c r="E234" s="165"/>
      <c r="F234" s="166"/>
      <c r="G234" s="167"/>
      <c r="H234" s="362"/>
      <c r="I234" s="166"/>
    </row>
    <row r="235" spans="1:9">
      <c r="A235" s="172"/>
      <c r="B235" s="198"/>
      <c r="C235" s="33"/>
      <c r="D235" s="171"/>
      <c r="E235" s="165"/>
      <c r="F235" s="166"/>
      <c r="G235" s="167"/>
      <c r="H235" s="362"/>
      <c r="I235" s="166"/>
    </row>
    <row r="236" spans="1:9">
      <c r="A236" s="172"/>
      <c r="B236" s="198"/>
      <c r="C236" s="33"/>
      <c r="D236" s="171"/>
      <c r="E236" s="165"/>
      <c r="F236" s="166"/>
      <c r="G236" s="167"/>
      <c r="H236" s="362"/>
      <c r="I236" s="166"/>
    </row>
    <row r="237" spans="1:9">
      <c r="A237" s="172"/>
      <c r="B237" s="198"/>
      <c r="C237" s="33"/>
      <c r="D237" s="171"/>
      <c r="E237" s="165"/>
      <c r="F237" s="166"/>
      <c r="G237" s="167"/>
      <c r="H237" s="362"/>
      <c r="I237" s="166"/>
    </row>
    <row r="238" spans="1:9">
      <c r="A238" s="172"/>
      <c r="B238" s="198"/>
      <c r="C238" s="33"/>
      <c r="D238" s="171"/>
      <c r="E238" s="165"/>
      <c r="F238" s="166"/>
      <c r="G238" s="167"/>
      <c r="H238" s="362"/>
      <c r="I238" s="166"/>
    </row>
    <row r="239" spans="1:9">
      <c r="A239" s="172"/>
      <c r="B239" s="198"/>
      <c r="C239" s="33"/>
      <c r="D239" s="171"/>
      <c r="E239" s="165"/>
      <c r="F239" s="166"/>
      <c r="G239" s="167"/>
      <c r="H239" s="362"/>
      <c r="I239" s="166"/>
    </row>
    <row r="240" spans="1:9">
      <c r="A240" s="172"/>
      <c r="B240" s="198"/>
      <c r="C240" s="33"/>
      <c r="D240" s="171"/>
      <c r="E240" s="165"/>
      <c r="F240" s="166"/>
      <c r="G240" s="167"/>
      <c r="H240" s="362"/>
      <c r="I240" s="166"/>
    </row>
    <row r="241" spans="1:9">
      <c r="A241" s="172"/>
      <c r="B241" s="198"/>
      <c r="C241" s="33"/>
      <c r="D241" s="171"/>
      <c r="E241" s="165"/>
      <c r="F241" s="166"/>
      <c r="G241" s="167"/>
      <c r="H241" s="362"/>
      <c r="I241" s="166"/>
    </row>
    <row r="242" spans="1:9">
      <c r="A242" s="172"/>
      <c r="B242" s="198"/>
      <c r="C242" s="33"/>
      <c r="D242" s="171"/>
      <c r="E242" s="165"/>
      <c r="F242" s="166"/>
      <c r="G242" s="167"/>
      <c r="H242" s="362"/>
      <c r="I242" s="166"/>
    </row>
    <row r="243" spans="1:9">
      <c r="A243" s="172"/>
      <c r="B243" s="198"/>
      <c r="C243" s="33"/>
      <c r="D243" s="171"/>
      <c r="E243" s="165"/>
      <c r="F243" s="166"/>
      <c r="G243" s="167"/>
      <c r="H243" s="362"/>
      <c r="I243" s="166"/>
    </row>
    <row r="244" spans="1:9">
      <c r="A244" s="172"/>
      <c r="B244" s="198"/>
      <c r="C244" s="33"/>
      <c r="D244" s="171"/>
      <c r="E244" s="165"/>
      <c r="F244" s="166"/>
      <c r="G244" s="167"/>
      <c r="H244" s="362"/>
      <c r="I244" s="166"/>
    </row>
    <row r="245" spans="1:9">
      <c r="A245" s="172"/>
      <c r="B245" s="198"/>
      <c r="C245" s="33"/>
      <c r="D245" s="171"/>
      <c r="E245" s="165"/>
      <c r="F245" s="166"/>
      <c r="G245" s="167"/>
      <c r="H245" s="362"/>
      <c r="I245" s="166"/>
    </row>
    <row r="246" spans="1:9">
      <c r="A246" s="172"/>
      <c r="B246" s="198"/>
      <c r="C246" s="33"/>
      <c r="D246" s="171"/>
      <c r="E246" s="165"/>
      <c r="F246" s="166"/>
      <c r="G246" s="167"/>
      <c r="H246" s="362"/>
      <c r="I246" s="166"/>
    </row>
    <row r="247" spans="1:9">
      <c r="A247" s="172"/>
      <c r="B247" s="198"/>
      <c r="C247" s="33"/>
      <c r="D247" s="171"/>
      <c r="E247" s="165"/>
      <c r="F247" s="166"/>
      <c r="G247" s="167"/>
      <c r="H247" s="362"/>
      <c r="I247" s="166"/>
    </row>
    <row r="248" spans="1:9">
      <c r="A248" s="172"/>
      <c r="B248" s="198"/>
      <c r="C248" s="33"/>
      <c r="D248" s="171"/>
      <c r="E248" s="165"/>
      <c r="F248" s="166"/>
      <c r="G248" s="167"/>
      <c r="H248" s="362"/>
      <c r="I248" s="166"/>
    </row>
    <row r="249" spans="1:9">
      <c r="A249" s="172"/>
      <c r="B249" s="198"/>
      <c r="C249" s="33"/>
      <c r="D249" s="171"/>
      <c r="E249" s="165"/>
      <c r="F249" s="166"/>
      <c r="G249" s="167"/>
      <c r="H249" s="362"/>
      <c r="I249" s="166"/>
    </row>
    <row r="250" spans="1:9">
      <c r="A250" s="172"/>
      <c r="B250" s="198"/>
      <c r="C250" s="33"/>
      <c r="D250" s="171"/>
      <c r="E250" s="165"/>
      <c r="F250" s="166"/>
      <c r="G250" s="167"/>
      <c r="H250" s="362"/>
      <c r="I250" s="166"/>
    </row>
    <row r="251" spans="1:9">
      <c r="A251" s="172"/>
      <c r="B251" s="198"/>
      <c r="C251" s="33"/>
      <c r="D251" s="171"/>
      <c r="E251" s="165"/>
      <c r="F251" s="166"/>
      <c r="G251" s="167"/>
      <c r="H251" s="362"/>
      <c r="I251" s="166"/>
    </row>
    <row r="252" spans="1:9">
      <c r="A252" s="172"/>
      <c r="B252" s="198"/>
      <c r="C252" s="33"/>
      <c r="D252" s="171"/>
      <c r="E252" s="165"/>
      <c r="F252" s="166"/>
      <c r="G252" s="167"/>
      <c r="H252" s="362"/>
      <c r="I252" s="166"/>
    </row>
    <row r="253" spans="1:9">
      <c r="A253" s="172"/>
      <c r="B253" s="198"/>
      <c r="C253" s="33"/>
      <c r="D253" s="171"/>
      <c r="E253" s="165"/>
      <c r="F253" s="166"/>
      <c r="G253" s="167"/>
      <c r="H253" s="362"/>
      <c r="I253" s="166"/>
    </row>
    <row r="254" spans="1:9">
      <c r="A254" s="172"/>
      <c r="B254" s="198"/>
      <c r="C254" s="33"/>
      <c r="D254" s="171"/>
      <c r="E254" s="165"/>
      <c r="F254" s="166"/>
      <c r="G254" s="167"/>
      <c r="H254" s="362"/>
      <c r="I254" s="166"/>
    </row>
    <row r="255" spans="1:9">
      <c r="A255" s="172"/>
      <c r="B255" s="198"/>
      <c r="C255" s="33"/>
      <c r="D255" s="171"/>
      <c r="E255" s="165"/>
      <c r="F255" s="166"/>
      <c r="G255" s="167"/>
      <c r="H255" s="362"/>
      <c r="I255" s="166"/>
    </row>
    <row r="256" spans="1:9">
      <c r="A256" s="172"/>
      <c r="B256" s="198"/>
      <c r="C256" s="33"/>
      <c r="D256" s="171"/>
      <c r="E256" s="165"/>
      <c r="F256" s="166"/>
      <c r="G256" s="167"/>
      <c r="H256" s="362"/>
      <c r="I256" s="166"/>
    </row>
    <row r="257" spans="1:9">
      <c r="A257" s="172"/>
      <c r="B257" s="198"/>
      <c r="C257" s="33"/>
      <c r="D257" s="171"/>
      <c r="E257" s="165"/>
      <c r="F257" s="166"/>
      <c r="G257" s="167"/>
      <c r="H257" s="362"/>
      <c r="I257" s="166"/>
    </row>
    <row r="258" spans="1:9">
      <c r="A258" s="172"/>
      <c r="B258" s="198"/>
      <c r="C258" s="33"/>
      <c r="D258" s="171"/>
      <c r="E258" s="165"/>
      <c r="F258" s="166"/>
      <c r="G258" s="167"/>
      <c r="H258" s="362"/>
      <c r="I258" s="166"/>
    </row>
    <row r="259" spans="1:9">
      <c r="A259" s="172"/>
      <c r="B259" s="198"/>
      <c r="C259" s="33"/>
      <c r="D259" s="171"/>
      <c r="E259" s="165"/>
      <c r="F259" s="166"/>
      <c r="G259" s="167"/>
      <c r="H259" s="362"/>
      <c r="I259" s="166"/>
    </row>
    <row r="260" spans="1:9">
      <c r="A260" s="172"/>
      <c r="B260" s="198"/>
      <c r="C260" s="33"/>
      <c r="D260" s="171"/>
      <c r="E260" s="165"/>
      <c r="F260" s="166"/>
      <c r="G260" s="167"/>
      <c r="H260" s="362"/>
      <c r="I260" s="166"/>
    </row>
    <row r="261" spans="1:9">
      <c r="A261" s="172"/>
      <c r="B261" s="198"/>
      <c r="C261" s="33"/>
      <c r="D261" s="171"/>
      <c r="E261" s="165"/>
      <c r="F261" s="166"/>
      <c r="G261" s="167"/>
      <c r="H261" s="362"/>
      <c r="I261" s="166"/>
    </row>
    <row r="262" spans="1:9">
      <c r="A262" s="172"/>
      <c r="B262" s="198"/>
      <c r="C262" s="33"/>
      <c r="D262" s="171"/>
      <c r="E262" s="165"/>
      <c r="F262" s="166"/>
      <c r="G262" s="167"/>
      <c r="H262" s="362"/>
      <c r="I262" s="166"/>
    </row>
    <row r="263" spans="1:9">
      <c r="A263" s="172"/>
      <c r="B263" s="198"/>
      <c r="C263" s="33"/>
      <c r="D263" s="171"/>
      <c r="E263" s="165"/>
      <c r="F263" s="166"/>
      <c r="G263" s="167"/>
      <c r="H263" s="362"/>
      <c r="I263" s="166"/>
    </row>
    <row r="264" spans="1:9">
      <c r="A264" s="172"/>
      <c r="B264" s="198"/>
      <c r="C264" s="33"/>
      <c r="D264" s="171"/>
      <c r="E264" s="165"/>
      <c r="F264" s="166"/>
      <c r="G264" s="167"/>
      <c r="H264" s="362"/>
      <c r="I264" s="166"/>
    </row>
    <row r="265" spans="1:9">
      <c r="A265" s="172"/>
      <c r="B265" s="198"/>
      <c r="C265" s="33"/>
      <c r="D265" s="171"/>
      <c r="E265" s="165"/>
      <c r="F265" s="166"/>
      <c r="G265" s="167"/>
      <c r="H265" s="362"/>
      <c r="I265" s="166"/>
    </row>
    <row r="266" spans="1:9">
      <c r="A266" s="172"/>
      <c r="B266" s="198"/>
      <c r="C266" s="33"/>
      <c r="D266" s="171"/>
      <c r="E266" s="165"/>
      <c r="F266" s="166"/>
      <c r="G266" s="167"/>
      <c r="H266" s="362"/>
      <c r="I266" s="166"/>
    </row>
    <row r="267" spans="1:9">
      <c r="A267" s="172"/>
      <c r="B267" s="198"/>
      <c r="C267" s="33"/>
      <c r="D267" s="171"/>
      <c r="E267" s="165"/>
      <c r="F267" s="166"/>
      <c r="G267" s="167"/>
      <c r="H267" s="362"/>
      <c r="I267" s="166"/>
    </row>
    <row r="268" spans="1:9">
      <c r="A268" s="172"/>
      <c r="B268" s="198"/>
      <c r="C268" s="33"/>
      <c r="D268" s="171"/>
      <c r="E268" s="165"/>
      <c r="F268" s="166"/>
      <c r="G268" s="167"/>
      <c r="H268" s="362"/>
      <c r="I268" s="166"/>
    </row>
    <row r="269" spans="1:9">
      <c r="A269" s="172"/>
      <c r="B269" s="198"/>
      <c r="C269" s="33"/>
      <c r="D269" s="171"/>
      <c r="E269" s="165"/>
      <c r="F269" s="166"/>
      <c r="G269" s="167"/>
      <c r="H269" s="362"/>
      <c r="I269" s="166"/>
    </row>
    <row r="270" spans="1:9">
      <c r="A270" s="172"/>
      <c r="B270" s="198"/>
      <c r="C270" s="33"/>
      <c r="D270" s="171"/>
      <c r="E270" s="165"/>
      <c r="F270" s="166"/>
      <c r="G270" s="167"/>
      <c r="H270" s="362"/>
      <c r="I270" s="166"/>
    </row>
    <row r="271" spans="1:9">
      <c r="A271" s="172"/>
      <c r="B271" s="198"/>
      <c r="C271" s="33"/>
      <c r="D271" s="171"/>
      <c r="E271" s="165"/>
      <c r="F271" s="166"/>
      <c r="G271" s="167"/>
      <c r="H271" s="362"/>
      <c r="I271" s="166"/>
    </row>
    <row r="272" spans="1:9">
      <c r="A272" s="172"/>
      <c r="B272" s="198"/>
      <c r="C272" s="33"/>
      <c r="D272" s="171"/>
      <c r="E272" s="165"/>
      <c r="F272" s="166"/>
      <c r="G272" s="167"/>
      <c r="H272" s="362"/>
      <c r="I272" s="166"/>
    </row>
    <row r="273" spans="1:9">
      <c r="A273" s="172"/>
      <c r="B273" s="198"/>
      <c r="C273" s="33"/>
      <c r="D273" s="171"/>
      <c r="E273" s="165"/>
      <c r="F273" s="166"/>
      <c r="G273" s="167"/>
      <c r="H273" s="362"/>
      <c r="I273" s="166"/>
    </row>
    <row r="274" spans="1:9">
      <c r="A274" s="172"/>
      <c r="B274" s="198"/>
      <c r="C274" s="33"/>
      <c r="D274" s="171"/>
      <c r="E274" s="165"/>
      <c r="F274" s="166"/>
      <c r="G274" s="167"/>
      <c r="H274" s="362"/>
      <c r="I274" s="166"/>
    </row>
    <row r="275" spans="1:9">
      <c r="A275" s="172"/>
      <c r="B275" s="198"/>
      <c r="C275" s="33"/>
      <c r="D275" s="171"/>
      <c r="E275" s="165"/>
      <c r="F275" s="166"/>
      <c r="G275" s="167"/>
      <c r="H275" s="362"/>
      <c r="I275" s="166"/>
    </row>
    <row r="276" spans="1:9">
      <c r="A276" s="172"/>
      <c r="B276" s="198"/>
      <c r="C276" s="33"/>
      <c r="D276" s="171"/>
      <c r="E276" s="165"/>
      <c r="F276" s="166"/>
      <c r="G276" s="167"/>
      <c r="H276" s="362"/>
      <c r="I276" s="166"/>
    </row>
    <row r="277" spans="1:9">
      <c r="A277" s="172"/>
      <c r="B277" s="198"/>
      <c r="C277" s="33"/>
      <c r="D277" s="171"/>
      <c r="E277" s="165"/>
      <c r="F277" s="166"/>
      <c r="G277" s="167"/>
      <c r="H277" s="362"/>
      <c r="I277" s="166"/>
    </row>
    <row r="278" spans="1:9">
      <c r="A278" s="172"/>
      <c r="B278" s="198"/>
      <c r="C278" s="33"/>
      <c r="D278" s="171"/>
      <c r="E278" s="165"/>
      <c r="F278" s="166"/>
      <c r="G278" s="167"/>
      <c r="H278" s="362"/>
      <c r="I278" s="166"/>
    </row>
    <row r="279" spans="1:9">
      <c r="A279" s="172"/>
      <c r="B279" s="198"/>
      <c r="C279" s="33"/>
      <c r="D279" s="171"/>
      <c r="E279" s="165"/>
      <c r="F279" s="166"/>
      <c r="G279" s="167"/>
      <c r="H279" s="362"/>
      <c r="I279" s="166"/>
    </row>
    <row r="280" spans="1:9">
      <c r="A280" s="172"/>
      <c r="B280" s="198"/>
      <c r="C280" s="33"/>
      <c r="D280" s="171"/>
      <c r="E280" s="165"/>
      <c r="F280" s="166"/>
      <c r="G280" s="167"/>
      <c r="H280" s="362"/>
      <c r="I280" s="166"/>
    </row>
    <row r="281" spans="1:9">
      <c r="A281" s="172"/>
      <c r="B281" s="198"/>
      <c r="C281" s="33"/>
      <c r="D281" s="171"/>
      <c r="E281" s="165"/>
      <c r="F281" s="166"/>
      <c r="G281" s="167"/>
      <c r="H281" s="362"/>
      <c r="I281" s="166"/>
    </row>
    <row r="282" spans="1:9">
      <c r="A282" s="172"/>
      <c r="B282" s="198"/>
      <c r="C282" s="33"/>
      <c r="D282" s="171"/>
      <c r="E282" s="165"/>
      <c r="F282" s="166"/>
      <c r="G282" s="167"/>
      <c r="H282" s="362"/>
      <c r="I282" s="166"/>
    </row>
    <row r="283" spans="1:9">
      <c r="A283" s="172"/>
      <c r="B283" s="198"/>
      <c r="C283" s="33"/>
      <c r="D283" s="171"/>
      <c r="E283" s="165"/>
      <c r="F283" s="166"/>
      <c r="G283" s="167"/>
      <c r="H283" s="362"/>
      <c r="I283" s="166"/>
    </row>
    <row r="284" spans="1:9">
      <c r="A284" s="172"/>
      <c r="B284" s="198"/>
      <c r="C284" s="33"/>
      <c r="D284" s="171"/>
      <c r="E284" s="165"/>
      <c r="F284" s="166"/>
      <c r="G284" s="167"/>
      <c r="H284" s="362"/>
      <c r="I284" s="166"/>
    </row>
    <row r="285" spans="1:9">
      <c r="A285" s="172"/>
      <c r="B285" s="198"/>
      <c r="C285" s="33"/>
      <c r="D285" s="171"/>
      <c r="E285" s="165"/>
      <c r="F285" s="166"/>
      <c r="G285" s="167"/>
      <c r="H285" s="362"/>
      <c r="I285" s="166"/>
    </row>
    <row r="286" spans="1:9">
      <c r="A286" s="172"/>
      <c r="B286" s="198"/>
      <c r="C286" s="33"/>
      <c r="D286" s="171"/>
      <c r="E286" s="165"/>
      <c r="F286" s="166"/>
      <c r="G286" s="167"/>
      <c r="H286" s="362"/>
      <c r="I286" s="166"/>
    </row>
    <row r="287" spans="1:9">
      <c r="A287" s="172"/>
      <c r="B287" s="198"/>
      <c r="C287" s="33"/>
      <c r="D287" s="171"/>
      <c r="E287" s="165"/>
      <c r="F287" s="166"/>
      <c r="G287" s="167"/>
      <c r="H287" s="362"/>
      <c r="I287" s="166"/>
    </row>
    <row r="288" spans="1:9">
      <c r="A288" s="172"/>
      <c r="B288" s="198"/>
      <c r="C288" s="33"/>
      <c r="D288" s="171"/>
      <c r="E288" s="165"/>
      <c r="F288" s="166"/>
      <c r="G288" s="167"/>
      <c r="H288" s="362"/>
      <c r="I288" s="166"/>
    </row>
    <row r="289" spans="1:9">
      <c r="A289" s="172"/>
      <c r="B289" s="198"/>
      <c r="C289" s="33"/>
      <c r="D289" s="171"/>
      <c r="E289" s="165"/>
      <c r="F289" s="166"/>
      <c r="G289" s="167"/>
      <c r="H289" s="362"/>
      <c r="I289" s="166"/>
    </row>
    <row r="290" spans="1:9">
      <c r="A290" s="172"/>
      <c r="B290" s="198"/>
      <c r="C290" s="33"/>
      <c r="D290" s="171"/>
      <c r="E290" s="165"/>
      <c r="F290" s="166"/>
      <c r="G290" s="167"/>
      <c r="H290" s="362"/>
      <c r="I290" s="166"/>
    </row>
    <row r="291" spans="1:9">
      <c r="A291" s="172"/>
      <c r="B291" s="198"/>
      <c r="C291" s="33"/>
      <c r="D291" s="171"/>
      <c r="E291" s="165"/>
      <c r="F291" s="166"/>
      <c r="G291" s="167"/>
      <c r="H291" s="362"/>
      <c r="I291" s="166"/>
    </row>
    <row r="292" spans="1:9">
      <c r="A292" s="172"/>
      <c r="B292" s="198"/>
      <c r="C292" s="33"/>
      <c r="D292" s="171"/>
      <c r="E292" s="165"/>
      <c r="F292" s="166"/>
      <c r="G292" s="167"/>
      <c r="H292" s="362"/>
      <c r="I292" s="166"/>
    </row>
    <row r="293" spans="1:9">
      <c r="A293" s="172"/>
      <c r="B293" s="198"/>
      <c r="C293" s="33"/>
      <c r="D293" s="171"/>
      <c r="E293" s="165"/>
      <c r="F293" s="166"/>
      <c r="G293" s="167"/>
      <c r="H293" s="362"/>
      <c r="I293" s="166"/>
    </row>
    <row r="294" spans="1:9">
      <c r="A294" s="172"/>
      <c r="B294" s="198"/>
      <c r="C294" s="33"/>
      <c r="D294" s="171"/>
      <c r="E294" s="165"/>
      <c r="F294" s="166"/>
      <c r="G294" s="167"/>
      <c r="H294" s="362"/>
      <c r="I294" s="166"/>
    </row>
    <row r="295" spans="1:9">
      <c r="A295" s="172"/>
      <c r="B295" s="198"/>
      <c r="C295" s="33"/>
      <c r="D295" s="171"/>
      <c r="E295" s="165"/>
      <c r="F295" s="166"/>
      <c r="G295" s="167"/>
      <c r="H295" s="362"/>
      <c r="I295" s="166"/>
    </row>
    <row r="296" spans="1:9">
      <c r="A296" s="172"/>
      <c r="B296" s="198"/>
      <c r="C296" s="33"/>
      <c r="D296" s="171"/>
      <c r="E296" s="165"/>
      <c r="F296" s="166"/>
      <c r="G296" s="167"/>
      <c r="H296" s="362"/>
      <c r="I296" s="166"/>
    </row>
    <row r="297" spans="1:9">
      <c r="A297" s="172"/>
      <c r="B297" s="198"/>
      <c r="C297" s="33"/>
      <c r="D297" s="171"/>
      <c r="E297" s="165"/>
      <c r="F297" s="166"/>
      <c r="G297" s="167"/>
      <c r="H297" s="362"/>
      <c r="I297" s="166"/>
    </row>
    <row r="298" spans="1:9">
      <c r="A298" s="172"/>
      <c r="B298" s="198"/>
      <c r="C298" s="33"/>
      <c r="D298" s="171"/>
      <c r="E298" s="165"/>
      <c r="F298" s="166"/>
      <c r="G298" s="167"/>
      <c r="H298" s="362"/>
      <c r="I298" s="166"/>
    </row>
    <row r="299" spans="1:9">
      <c r="A299" s="172"/>
      <c r="B299" s="198"/>
      <c r="C299" s="33"/>
      <c r="D299" s="171"/>
      <c r="E299" s="165"/>
      <c r="F299" s="166"/>
      <c r="G299" s="167"/>
      <c r="H299" s="362"/>
      <c r="I299" s="166"/>
    </row>
    <row r="300" spans="1:9">
      <c r="A300" s="172"/>
      <c r="B300" s="198"/>
      <c r="C300" s="33"/>
      <c r="D300" s="171"/>
      <c r="E300" s="165"/>
      <c r="F300" s="166"/>
      <c r="G300" s="167"/>
      <c r="H300" s="362"/>
      <c r="I300" s="166"/>
    </row>
    <row r="301" spans="1:9">
      <c r="A301" s="172"/>
      <c r="B301" s="198"/>
      <c r="C301" s="33"/>
      <c r="D301" s="171"/>
      <c r="E301" s="165"/>
      <c r="F301" s="166"/>
      <c r="G301" s="167"/>
      <c r="H301" s="362"/>
      <c r="I301" s="166"/>
    </row>
    <row r="302" spans="1:9">
      <c r="A302" s="172"/>
      <c r="B302" s="198"/>
      <c r="C302" s="33"/>
      <c r="D302" s="171"/>
      <c r="E302" s="165"/>
      <c r="F302" s="166"/>
      <c r="G302" s="167"/>
      <c r="H302" s="362"/>
      <c r="I302" s="166"/>
    </row>
    <row r="303" spans="1:9">
      <c r="A303" s="172"/>
      <c r="B303" s="198"/>
      <c r="C303" s="33"/>
      <c r="D303" s="171"/>
      <c r="E303" s="165"/>
      <c r="F303" s="166"/>
      <c r="G303" s="167"/>
      <c r="H303" s="362"/>
      <c r="I303" s="166"/>
    </row>
    <row r="304" spans="1:9">
      <c r="A304" s="172"/>
      <c r="B304" s="198"/>
      <c r="C304" s="33"/>
      <c r="D304" s="171"/>
      <c r="E304" s="165"/>
      <c r="F304" s="166"/>
      <c r="G304" s="167"/>
      <c r="H304" s="362"/>
      <c r="I304" s="166"/>
    </row>
    <row r="305" spans="1:9">
      <c r="A305" s="172"/>
      <c r="B305" s="198"/>
      <c r="C305" s="33"/>
      <c r="D305" s="171"/>
      <c r="E305" s="165"/>
      <c r="F305" s="166"/>
      <c r="G305" s="167"/>
      <c r="H305" s="362"/>
      <c r="I305" s="166"/>
    </row>
    <row r="306" spans="1:9">
      <c r="A306" s="172"/>
      <c r="B306" s="198"/>
      <c r="C306" s="33"/>
      <c r="D306" s="171"/>
      <c r="E306" s="165"/>
      <c r="F306" s="166"/>
      <c r="G306" s="167"/>
      <c r="H306" s="362"/>
      <c r="I306" s="166"/>
    </row>
    <row r="307" spans="1:9">
      <c r="A307" s="172"/>
      <c r="B307" s="198"/>
      <c r="C307" s="33"/>
      <c r="D307" s="171"/>
      <c r="E307" s="165"/>
      <c r="F307" s="166"/>
      <c r="G307" s="167"/>
      <c r="H307" s="362"/>
      <c r="I307" s="166"/>
    </row>
    <row r="308" spans="1:9">
      <c r="A308" s="172"/>
      <c r="B308" s="198"/>
      <c r="C308" s="33"/>
      <c r="D308" s="171"/>
      <c r="E308" s="165"/>
      <c r="F308" s="166"/>
      <c r="G308" s="167"/>
      <c r="H308" s="362"/>
      <c r="I308" s="166"/>
    </row>
    <row r="309" spans="1:9">
      <c r="A309" s="172"/>
      <c r="B309" s="198"/>
      <c r="C309" s="33"/>
      <c r="D309" s="171"/>
      <c r="E309" s="165"/>
      <c r="F309" s="166"/>
      <c r="G309" s="167"/>
      <c r="H309" s="362"/>
      <c r="I309" s="166"/>
    </row>
    <row r="310" spans="1:9">
      <c r="A310" s="172"/>
      <c r="B310" s="198"/>
      <c r="C310" s="33"/>
      <c r="D310" s="171"/>
      <c r="E310" s="165"/>
      <c r="F310" s="166"/>
      <c r="G310" s="167"/>
      <c r="H310" s="362"/>
      <c r="I310" s="166"/>
    </row>
    <row r="311" spans="1:9">
      <c r="A311" s="172"/>
      <c r="B311" s="198"/>
      <c r="C311" s="33"/>
      <c r="D311" s="171"/>
      <c r="E311" s="165"/>
      <c r="F311" s="166"/>
      <c r="G311" s="167"/>
      <c r="H311" s="362"/>
      <c r="I311" s="166"/>
    </row>
    <row r="312" spans="1:9">
      <c r="A312" s="172"/>
      <c r="B312" s="198"/>
      <c r="C312" s="33"/>
      <c r="D312" s="171"/>
      <c r="E312" s="165"/>
      <c r="F312" s="166"/>
      <c r="G312" s="167"/>
      <c r="H312" s="362"/>
      <c r="I312" s="166"/>
    </row>
    <row r="313" spans="1:9">
      <c r="A313" s="172"/>
      <c r="B313" s="198"/>
      <c r="C313" s="33"/>
      <c r="D313" s="171"/>
      <c r="E313" s="165"/>
      <c r="F313" s="166"/>
      <c r="G313" s="167"/>
      <c r="H313" s="362"/>
      <c r="I313" s="166"/>
    </row>
    <row r="314" spans="1:9">
      <c r="A314" s="172"/>
      <c r="B314" s="198"/>
      <c r="C314" s="33"/>
      <c r="D314" s="171"/>
      <c r="E314" s="165"/>
      <c r="F314" s="166"/>
      <c r="G314" s="167"/>
      <c r="H314" s="362"/>
      <c r="I314" s="166"/>
    </row>
    <row r="315" spans="1:9">
      <c r="A315" s="172"/>
      <c r="B315" s="198"/>
      <c r="C315" s="33"/>
      <c r="D315" s="171"/>
      <c r="E315" s="165"/>
      <c r="F315" s="166"/>
      <c r="G315" s="167"/>
      <c r="H315" s="362"/>
      <c r="I315" s="166"/>
    </row>
    <row r="316" spans="1:9">
      <c r="A316" s="172"/>
      <c r="B316" s="198"/>
      <c r="C316" s="33"/>
      <c r="D316" s="171"/>
      <c r="E316" s="165"/>
      <c r="F316" s="166"/>
      <c r="G316" s="167"/>
      <c r="H316" s="362"/>
      <c r="I316" s="166"/>
    </row>
    <row r="317" spans="1:9">
      <c r="A317" s="172"/>
      <c r="B317" s="198"/>
      <c r="C317" s="33"/>
      <c r="D317" s="171"/>
      <c r="E317" s="165"/>
      <c r="F317" s="166"/>
      <c r="G317" s="167"/>
      <c r="H317" s="362"/>
      <c r="I317" s="166"/>
    </row>
    <row r="318" spans="1:9">
      <c r="A318" s="172"/>
      <c r="B318" s="198"/>
      <c r="C318" s="33"/>
      <c r="D318" s="171"/>
      <c r="E318" s="165"/>
      <c r="F318" s="166"/>
      <c r="G318" s="167"/>
      <c r="H318" s="362"/>
      <c r="I318" s="166"/>
    </row>
    <row r="319" spans="1:9">
      <c r="A319" s="172"/>
      <c r="B319" s="198"/>
      <c r="C319" s="33"/>
      <c r="D319" s="171"/>
      <c r="E319" s="165"/>
      <c r="F319" s="166"/>
      <c r="G319" s="167"/>
      <c r="H319" s="362"/>
      <c r="I319" s="166"/>
    </row>
    <row r="320" spans="1:9">
      <c r="A320" s="172"/>
      <c r="B320" s="198"/>
      <c r="C320" s="33"/>
      <c r="D320" s="171"/>
      <c r="E320" s="165"/>
      <c r="F320" s="166"/>
      <c r="G320" s="167"/>
      <c r="H320" s="362"/>
      <c r="I320" s="166"/>
    </row>
    <row r="321" spans="1:9">
      <c r="A321" s="172"/>
      <c r="B321" s="198"/>
      <c r="C321" s="33"/>
      <c r="D321" s="171"/>
      <c r="E321" s="165"/>
      <c r="F321" s="166"/>
      <c r="G321" s="167"/>
      <c r="H321" s="362"/>
      <c r="I321" s="166"/>
    </row>
    <row r="322" spans="1:9">
      <c r="A322" s="172"/>
      <c r="B322" s="198"/>
      <c r="C322" s="33"/>
      <c r="D322" s="171"/>
      <c r="E322" s="165"/>
      <c r="F322" s="166"/>
      <c r="G322" s="167"/>
      <c r="H322" s="362"/>
      <c r="I322" s="166"/>
    </row>
    <row r="323" spans="1:9">
      <c r="A323" s="172"/>
      <c r="B323" s="198"/>
      <c r="C323" s="33"/>
      <c r="D323" s="171"/>
      <c r="E323" s="165"/>
      <c r="F323" s="166"/>
      <c r="G323" s="167"/>
      <c r="H323" s="362"/>
      <c r="I323" s="166"/>
    </row>
    <row r="324" spans="1:9">
      <c r="A324" s="172"/>
      <c r="B324" s="198"/>
      <c r="C324" s="33"/>
      <c r="D324" s="171"/>
      <c r="E324" s="165"/>
      <c r="F324" s="166"/>
      <c r="G324" s="167"/>
      <c r="H324" s="362"/>
      <c r="I324" s="166"/>
    </row>
    <row r="325" spans="1:9">
      <c r="A325" s="172"/>
      <c r="B325" s="198"/>
      <c r="C325" s="33"/>
      <c r="D325" s="171"/>
      <c r="E325" s="165"/>
      <c r="F325" s="166"/>
      <c r="G325" s="167"/>
      <c r="H325" s="362"/>
      <c r="I325" s="166"/>
    </row>
    <row r="326" spans="1:9">
      <c r="A326" s="172"/>
      <c r="B326" s="198"/>
      <c r="C326" s="33"/>
      <c r="D326" s="171"/>
      <c r="E326" s="165"/>
      <c r="F326" s="166"/>
      <c r="G326" s="167"/>
      <c r="H326" s="362"/>
      <c r="I326" s="166"/>
    </row>
    <row r="327" spans="1:9">
      <c r="A327" s="172"/>
      <c r="B327" s="198"/>
      <c r="C327" s="33"/>
      <c r="D327" s="171"/>
      <c r="E327" s="165"/>
      <c r="F327" s="166"/>
      <c r="G327" s="167"/>
      <c r="H327" s="362"/>
      <c r="I327" s="166"/>
    </row>
    <row r="328" spans="1:9">
      <c r="A328" s="172"/>
      <c r="B328" s="198"/>
      <c r="C328" s="33"/>
      <c r="D328" s="171"/>
      <c r="E328" s="165"/>
      <c r="F328" s="166"/>
      <c r="G328" s="167"/>
      <c r="H328" s="362"/>
      <c r="I328" s="166"/>
    </row>
    <row r="329" spans="1:9">
      <c r="A329" s="172"/>
      <c r="B329" s="198"/>
      <c r="C329" s="33"/>
      <c r="D329" s="171"/>
      <c r="E329" s="165"/>
      <c r="F329" s="166"/>
      <c r="G329" s="167"/>
      <c r="H329" s="362"/>
      <c r="I329" s="166"/>
    </row>
    <row r="330" spans="1:9">
      <c r="A330" s="172"/>
      <c r="B330" s="198"/>
      <c r="C330" s="33"/>
      <c r="D330" s="171"/>
      <c r="E330" s="165"/>
      <c r="F330" s="166"/>
      <c r="G330" s="167"/>
      <c r="H330" s="362"/>
      <c r="I330" s="166"/>
    </row>
    <row r="331" spans="1:9">
      <c r="A331" s="172"/>
      <c r="B331" s="198"/>
      <c r="C331" s="33"/>
      <c r="D331" s="171"/>
      <c r="E331" s="165"/>
      <c r="F331" s="166"/>
      <c r="G331" s="167"/>
      <c r="H331" s="362"/>
      <c r="I331" s="166"/>
    </row>
    <row r="332" spans="1:9">
      <c r="A332" s="172"/>
      <c r="B332" s="198"/>
      <c r="C332" s="33"/>
      <c r="D332" s="171"/>
      <c r="E332" s="165"/>
      <c r="F332" s="166"/>
      <c r="G332" s="167"/>
      <c r="H332" s="362"/>
      <c r="I332" s="166"/>
    </row>
    <row r="333" spans="1:9">
      <c r="A333" s="172"/>
      <c r="B333" s="198"/>
      <c r="C333" s="33"/>
      <c r="D333" s="171"/>
      <c r="E333" s="165"/>
      <c r="F333" s="166"/>
      <c r="G333" s="167"/>
      <c r="H333" s="362"/>
      <c r="I333" s="166"/>
    </row>
    <row r="334" spans="1:9">
      <c r="A334" s="172"/>
      <c r="B334" s="198"/>
      <c r="C334" s="33"/>
      <c r="D334" s="171"/>
      <c r="E334" s="165"/>
      <c r="F334" s="166"/>
      <c r="G334" s="167"/>
      <c r="H334" s="362"/>
      <c r="I334" s="166"/>
    </row>
    <row r="335" spans="1:9">
      <c r="A335" s="172"/>
      <c r="B335" s="198"/>
      <c r="C335" s="33"/>
      <c r="D335" s="171"/>
      <c r="E335" s="165"/>
      <c r="F335" s="166"/>
      <c r="G335" s="167"/>
      <c r="H335" s="362"/>
      <c r="I335" s="166"/>
    </row>
    <row r="336" spans="1:9">
      <c r="A336" s="172"/>
      <c r="B336" s="198"/>
      <c r="C336" s="33"/>
      <c r="D336" s="171"/>
      <c r="E336" s="165"/>
      <c r="F336" s="166"/>
      <c r="G336" s="167"/>
      <c r="H336" s="362"/>
      <c r="I336" s="166"/>
    </row>
    <row r="337" spans="1:9">
      <c r="A337" s="172"/>
      <c r="B337" s="198"/>
      <c r="C337" s="33"/>
      <c r="D337" s="171"/>
      <c r="E337" s="165"/>
      <c r="F337" s="166"/>
      <c r="G337" s="167"/>
      <c r="H337" s="362"/>
      <c r="I337" s="166"/>
    </row>
    <row r="338" spans="1:9">
      <c r="A338" s="172"/>
      <c r="B338" s="198"/>
      <c r="C338" s="33"/>
      <c r="D338" s="171"/>
      <c r="E338" s="165"/>
      <c r="F338" s="166"/>
      <c r="G338" s="167"/>
      <c r="H338" s="362"/>
      <c r="I338" s="166"/>
    </row>
    <row r="339" spans="1:9">
      <c r="A339" s="172"/>
      <c r="B339" s="198"/>
      <c r="C339" s="33"/>
      <c r="D339" s="171"/>
      <c r="E339" s="165"/>
      <c r="F339" s="166"/>
      <c r="G339" s="167"/>
      <c r="H339" s="362"/>
      <c r="I339" s="166"/>
    </row>
    <row r="340" spans="1:9">
      <c r="A340" s="172"/>
      <c r="B340" s="198"/>
      <c r="C340" s="33"/>
      <c r="D340" s="171"/>
      <c r="E340" s="165"/>
      <c r="F340" s="166"/>
      <c r="G340" s="167"/>
      <c r="H340" s="362"/>
      <c r="I340" s="166"/>
    </row>
    <row r="341" spans="1:9">
      <c r="A341" s="172"/>
      <c r="B341" s="198"/>
      <c r="C341" s="33"/>
      <c r="D341" s="171"/>
      <c r="E341" s="165"/>
      <c r="F341" s="166"/>
      <c r="G341" s="167"/>
      <c r="H341" s="362"/>
      <c r="I341" s="166"/>
    </row>
    <row r="342" spans="1:9">
      <c r="A342" s="172"/>
      <c r="B342" s="198"/>
      <c r="C342" s="33"/>
      <c r="D342" s="171"/>
      <c r="E342" s="165"/>
      <c r="F342" s="166"/>
      <c r="G342" s="167"/>
      <c r="H342" s="362"/>
      <c r="I342" s="166"/>
    </row>
    <row r="343" spans="1:9">
      <c r="A343" s="172"/>
      <c r="B343" s="198"/>
      <c r="C343" s="33"/>
      <c r="D343" s="171"/>
      <c r="E343" s="165"/>
      <c r="F343" s="166"/>
      <c r="G343" s="167"/>
      <c r="H343" s="362"/>
      <c r="I343" s="166"/>
    </row>
    <row r="344" spans="1:9">
      <c r="A344" s="172"/>
      <c r="B344" s="198"/>
      <c r="C344" s="33"/>
      <c r="D344" s="171"/>
      <c r="E344" s="165"/>
      <c r="F344" s="166"/>
      <c r="G344" s="167"/>
      <c r="H344" s="362"/>
      <c r="I344" s="166"/>
    </row>
    <row r="345" spans="1:9">
      <c r="A345" s="172"/>
      <c r="B345" s="198"/>
      <c r="C345" s="33"/>
      <c r="D345" s="171"/>
      <c r="E345" s="165"/>
      <c r="F345" s="166"/>
      <c r="G345" s="167"/>
      <c r="H345" s="362"/>
      <c r="I345" s="166"/>
    </row>
    <row r="346" spans="1:9">
      <c r="A346" s="172"/>
      <c r="B346" s="198"/>
      <c r="C346" s="33"/>
      <c r="D346" s="171"/>
      <c r="E346" s="165"/>
      <c r="F346" s="166"/>
      <c r="G346" s="167"/>
      <c r="H346" s="362"/>
      <c r="I346" s="166"/>
    </row>
    <row r="347" spans="1:9">
      <c r="A347" s="172"/>
      <c r="B347" s="198"/>
      <c r="C347" s="33"/>
      <c r="D347" s="171"/>
      <c r="E347" s="165"/>
      <c r="F347" s="166"/>
      <c r="G347" s="167"/>
      <c r="H347" s="362"/>
      <c r="I347" s="166"/>
    </row>
    <row r="348" spans="1:9">
      <c r="A348" s="172"/>
      <c r="B348" s="198"/>
      <c r="C348" s="33"/>
      <c r="D348" s="171"/>
      <c r="E348" s="165"/>
      <c r="F348" s="166"/>
      <c r="G348" s="167"/>
      <c r="H348" s="362"/>
      <c r="I348" s="166"/>
    </row>
    <row r="349" spans="1:9">
      <c r="A349" s="172"/>
      <c r="B349" s="198"/>
      <c r="C349" s="33"/>
      <c r="D349" s="171"/>
      <c r="E349" s="165"/>
      <c r="F349" s="166"/>
      <c r="G349" s="167"/>
      <c r="H349" s="362"/>
      <c r="I349" s="166"/>
    </row>
    <row r="350" spans="1:9">
      <c r="A350" s="172"/>
      <c r="B350" s="198"/>
      <c r="C350" s="33"/>
      <c r="D350" s="171"/>
      <c r="E350" s="165"/>
      <c r="F350" s="166"/>
      <c r="G350" s="167"/>
      <c r="H350" s="362"/>
      <c r="I350" s="166"/>
    </row>
    <row r="351" spans="1:9">
      <c r="A351" s="172"/>
      <c r="B351" s="198"/>
      <c r="C351" s="33"/>
      <c r="D351" s="171"/>
      <c r="E351" s="165"/>
      <c r="F351" s="166"/>
      <c r="G351" s="167"/>
      <c r="H351" s="362"/>
      <c r="I351" s="166"/>
    </row>
    <row r="352" spans="1:9">
      <c r="A352" s="172"/>
      <c r="B352" s="198"/>
      <c r="C352" s="33"/>
      <c r="D352" s="171"/>
      <c r="E352" s="165"/>
      <c r="F352" s="166"/>
      <c r="G352" s="167"/>
      <c r="H352" s="362"/>
      <c r="I352" s="166"/>
    </row>
    <row r="353" spans="1:9">
      <c r="A353" s="172"/>
      <c r="B353" s="198"/>
      <c r="C353" s="33"/>
      <c r="D353" s="171"/>
      <c r="E353" s="165"/>
      <c r="F353" s="166"/>
      <c r="G353" s="167"/>
      <c r="H353" s="362"/>
      <c r="I353" s="166"/>
    </row>
    <row r="354" spans="1:9">
      <c r="A354" s="172"/>
      <c r="B354" s="198"/>
      <c r="C354" s="33"/>
      <c r="D354" s="171"/>
      <c r="E354" s="165"/>
      <c r="F354" s="166"/>
      <c r="G354" s="167"/>
      <c r="H354" s="362"/>
      <c r="I354" s="166"/>
    </row>
    <row r="355" spans="1:9">
      <c r="A355" s="172"/>
      <c r="B355" s="198"/>
      <c r="C355" s="33"/>
      <c r="D355" s="171"/>
      <c r="E355" s="165"/>
      <c r="F355" s="166"/>
      <c r="G355" s="167"/>
      <c r="H355" s="362"/>
      <c r="I355" s="166"/>
    </row>
    <row r="356" spans="1:9">
      <c r="A356" s="172"/>
      <c r="B356" s="198"/>
      <c r="C356" s="33"/>
      <c r="D356" s="171"/>
      <c r="E356" s="165"/>
      <c r="F356" s="166"/>
      <c r="G356" s="167"/>
      <c r="H356" s="362"/>
      <c r="I356" s="166"/>
    </row>
    <row r="357" spans="1:9">
      <c r="A357" s="172"/>
      <c r="B357" s="198"/>
      <c r="C357" s="33"/>
      <c r="D357" s="171"/>
      <c r="E357" s="165"/>
      <c r="F357" s="166"/>
      <c r="G357" s="167"/>
      <c r="H357" s="362"/>
      <c r="I357" s="166"/>
    </row>
    <row r="358" spans="1:9">
      <c r="A358" s="172"/>
      <c r="B358" s="198"/>
      <c r="C358" s="33"/>
      <c r="D358" s="171"/>
      <c r="E358" s="165"/>
      <c r="F358" s="166"/>
      <c r="G358" s="167"/>
      <c r="H358" s="362"/>
      <c r="I358" s="166"/>
    </row>
    <row r="359" spans="1:9">
      <c r="A359" s="172"/>
      <c r="B359" s="198"/>
      <c r="C359" s="33"/>
      <c r="D359" s="171"/>
      <c r="E359" s="165"/>
      <c r="F359" s="166"/>
      <c r="G359" s="167"/>
      <c r="H359" s="362"/>
      <c r="I359" s="166"/>
    </row>
    <row r="360" spans="1:9">
      <c r="A360" s="172"/>
      <c r="B360" s="198"/>
      <c r="C360" s="33"/>
      <c r="D360" s="171"/>
      <c r="E360" s="165"/>
      <c r="F360" s="166"/>
      <c r="G360" s="167"/>
      <c r="H360" s="362"/>
      <c r="I360" s="166"/>
    </row>
    <row r="361" spans="1:9">
      <c r="A361" s="172"/>
      <c r="B361" s="198"/>
      <c r="C361" s="33"/>
      <c r="D361" s="171"/>
      <c r="E361" s="165"/>
      <c r="F361" s="166"/>
      <c r="G361" s="167"/>
      <c r="H361" s="362"/>
      <c r="I361" s="166"/>
    </row>
    <row r="362" spans="1:9">
      <c r="A362" s="172"/>
      <c r="B362" s="198"/>
      <c r="C362" s="33"/>
      <c r="D362" s="171"/>
      <c r="E362" s="165"/>
      <c r="F362" s="166"/>
      <c r="G362" s="167"/>
      <c r="H362" s="362"/>
      <c r="I362" s="166"/>
    </row>
    <row r="363" spans="1:9">
      <c r="A363" s="172"/>
      <c r="B363" s="198"/>
      <c r="C363" s="33"/>
      <c r="D363" s="171"/>
      <c r="E363" s="165"/>
      <c r="F363" s="166"/>
      <c r="G363" s="167"/>
      <c r="H363" s="362"/>
      <c r="I363" s="166"/>
    </row>
    <row r="364" spans="1:9">
      <c r="A364" s="172"/>
      <c r="B364" s="198"/>
      <c r="C364" s="33"/>
      <c r="D364" s="171"/>
      <c r="E364" s="165"/>
      <c r="F364" s="166"/>
      <c r="G364" s="167"/>
      <c r="H364" s="362"/>
      <c r="I364" s="166"/>
    </row>
    <row r="365" spans="1:9">
      <c r="A365" s="172"/>
      <c r="B365" s="198"/>
      <c r="C365" s="33"/>
      <c r="D365" s="171"/>
      <c r="E365" s="165"/>
      <c r="F365" s="166"/>
      <c r="G365" s="167"/>
      <c r="H365" s="362"/>
      <c r="I365" s="166"/>
    </row>
    <row r="366" spans="1:9">
      <c r="A366" s="172"/>
      <c r="B366" s="198"/>
      <c r="C366" s="33"/>
      <c r="D366" s="171"/>
      <c r="E366" s="165"/>
      <c r="F366" s="166"/>
      <c r="G366" s="167"/>
      <c r="H366" s="362"/>
      <c r="I366" s="166"/>
    </row>
    <row r="367" spans="1:9">
      <c r="A367" s="172"/>
      <c r="B367" s="198"/>
      <c r="C367" s="33"/>
      <c r="D367" s="171"/>
      <c r="E367" s="165"/>
      <c r="F367" s="166"/>
      <c r="G367" s="167"/>
      <c r="H367" s="362"/>
      <c r="I367" s="166"/>
    </row>
    <row r="368" spans="1:9">
      <c r="A368" s="172"/>
      <c r="B368" s="198"/>
      <c r="C368" s="33"/>
      <c r="D368" s="171"/>
      <c r="E368" s="165"/>
      <c r="F368" s="166"/>
      <c r="G368" s="167"/>
      <c r="H368" s="362"/>
      <c r="I368" s="166"/>
    </row>
    <row r="369" spans="1:9">
      <c r="A369" s="172"/>
      <c r="B369" s="198"/>
      <c r="C369" s="33"/>
      <c r="D369" s="171"/>
      <c r="E369" s="165"/>
      <c r="F369" s="166"/>
      <c r="G369" s="167"/>
      <c r="H369" s="362"/>
      <c r="I369" s="166"/>
    </row>
    <row r="370" spans="1:9">
      <c r="A370" s="172"/>
      <c r="B370" s="198"/>
      <c r="C370" s="33"/>
      <c r="D370" s="171"/>
      <c r="E370" s="165"/>
      <c r="F370" s="166"/>
      <c r="G370" s="167"/>
      <c r="H370" s="362"/>
      <c r="I370" s="166"/>
    </row>
    <row r="371" spans="1:9">
      <c r="A371" s="172"/>
      <c r="B371" s="198"/>
      <c r="C371" s="33"/>
      <c r="D371" s="171"/>
      <c r="E371" s="165"/>
      <c r="F371" s="166"/>
      <c r="G371" s="167"/>
      <c r="H371" s="362"/>
      <c r="I371" s="166"/>
    </row>
    <row r="372" spans="1:9">
      <c r="A372" s="172"/>
      <c r="B372" s="198"/>
      <c r="C372" s="33"/>
      <c r="D372" s="171"/>
      <c r="E372" s="165"/>
      <c r="F372" s="166"/>
      <c r="G372" s="167"/>
      <c r="H372" s="362"/>
      <c r="I372" s="166"/>
    </row>
    <row r="373" spans="1:9">
      <c r="A373" s="172"/>
      <c r="B373" s="198"/>
      <c r="C373" s="33"/>
      <c r="D373" s="171"/>
      <c r="E373" s="165"/>
      <c r="F373" s="166"/>
      <c r="G373" s="167"/>
      <c r="H373" s="362"/>
      <c r="I373" s="166"/>
    </row>
    <row r="374" spans="1:9">
      <c r="A374" s="172"/>
      <c r="B374" s="198"/>
      <c r="C374" s="33"/>
      <c r="D374" s="171"/>
      <c r="E374" s="165"/>
      <c r="F374" s="166"/>
      <c r="G374" s="167"/>
      <c r="H374" s="362"/>
      <c r="I374" s="166"/>
    </row>
    <row r="375" spans="1:9">
      <c r="A375" s="172"/>
      <c r="B375" s="198"/>
      <c r="C375" s="33"/>
      <c r="D375" s="171"/>
      <c r="E375" s="165"/>
      <c r="F375" s="166"/>
      <c r="G375" s="167"/>
      <c r="H375" s="362"/>
      <c r="I375" s="166"/>
    </row>
    <row r="376" spans="1:9">
      <c r="A376" s="172"/>
      <c r="B376" s="198"/>
      <c r="C376" s="33"/>
      <c r="D376" s="171"/>
      <c r="E376" s="165"/>
      <c r="F376" s="166"/>
      <c r="G376" s="167"/>
      <c r="H376" s="362"/>
      <c r="I376" s="166"/>
    </row>
    <row r="377" spans="1:9">
      <c r="A377" s="172"/>
      <c r="B377" s="198"/>
      <c r="C377" s="33"/>
      <c r="D377" s="171"/>
      <c r="E377" s="165"/>
      <c r="F377" s="166"/>
      <c r="G377" s="167"/>
      <c r="H377" s="362"/>
      <c r="I377" s="166"/>
    </row>
    <row r="378" spans="1:9">
      <c r="A378" s="172"/>
      <c r="B378" s="198"/>
      <c r="C378" s="33"/>
      <c r="D378" s="171"/>
      <c r="E378" s="165"/>
      <c r="F378" s="166"/>
      <c r="G378" s="167"/>
      <c r="H378" s="362"/>
      <c r="I378" s="166"/>
    </row>
    <row r="379" spans="1:9">
      <c r="A379" s="172"/>
      <c r="B379" s="198"/>
      <c r="C379" s="33"/>
      <c r="D379" s="171"/>
      <c r="E379" s="165"/>
      <c r="F379" s="166"/>
      <c r="G379" s="167"/>
      <c r="H379" s="362"/>
      <c r="I379" s="166"/>
    </row>
    <row r="380" spans="1:9">
      <c r="A380" s="172"/>
      <c r="B380" s="198"/>
      <c r="C380" s="33"/>
      <c r="D380" s="171"/>
      <c r="E380" s="165"/>
      <c r="F380" s="166"/>
      <c r="G380" s="167"/>
      <c r="H380" s="362"/>
      <c r="I380" s="166"/>
    </row>
    <row r="381" spans="1:9">
      <c r="A381" s="172"/>
      <c r="B381" s="198"/>
      <c r="C381" s="33"/>
      <c r="D381" s="171"/>
      <c r="E381" s="165"/>
      <c r="F381" s="166"/>
      <c r="G381" s="167"/>
      <c r="H381" s="362"/>
      <c r="I381" s="166"/>
    </row>
    <row r="382" spans="1:9">
      <c r="A382" s="172"/>
      <c r="B382" s="198"/>
      <c r="C382" s="33"/>
      <c r="D382" s="171"/>
      <c r="E382" s="165"/>
      <c r="F382" s="166"/>
      <c r="G382" s="167"/>
      <c r="H382" s="362"/>
      <c r="I382" s="166"/>
    </row>
    <row r="383" spans="1:9">
      <c r="A383" s="172"/>
      <c r="B383" s="198"/>
      <c r="C383" s="33"/>
      <c r="D383" s="171"/>
      <c r="E383" s="165"/>
      <c r="F383" s="166"/>
      <c r="G383" s="167"/>
      <c r="H383" s="362"/>
      <c r="I383" s="166"/>
    </row>
    <row r="384" spans="1:9">
      <c r="A384" s="172"/>
      <c r="B384" s="198"/>
      <c r="C384" s="33"/>
      <c r="D384" s="171"/>
      <c r="E384" s="165"/>
      <c r="F384" s="166"/>
      <c r="G384" s="167"/>
      <c r="H384" s="362"/>
      <c r="I384" s="166"/>
    </row>
    <row r="385" spans="1:9">
      <c r="A385" s="172"/>
      <c r="B385" s="198"/>
      <c r="C385" s="33"/>
      <c r="D385" s="171"/>
      <c r="E385" s="165"/>
      <c r="F385" s="166"/>
      <c r="G385" s="167"/>
      <c r="H385" s="362"/>
      <c r="I385" s="166"/>
    </row>
    <row r="386" spans="1:9">
      <c r="A386" s="172"/>
      <c r="B386" s="198"/>
      <c r="C386" s="33"/>
      <c r="D386" s="171"/>
      <c r="E386" s="165"/>
      <c r="F386" s="166"/>
      <c r="G386" s="167"/>
      <c r="H386" s="362"/>
      <c r="I386" s="166"/>
    </row>
    <row r="387" spans="1:9">
      <c r="A387" s="172"/>
      <c r="B387" s="198"/>
      <c r="C387" s="33"/>
      <c r="D387" s="171"/>
      <c r="E387" s="165"/>
      <c r="F387" s="166"/>
      <c r="G387" s="167"/>
      <c r="H387" s="362"/>
      <c r="I387" s="166"/>
    </row>
    <row r="388" spans="1:9">
      <c r="A388" s="172"/>
      <c r="B388" s="198"/>
      <c r="C388" s="33"/>
      <c r="D388" s="171"/>
      <c r="E388" s="165"/>
      <c r="F388" s="166"/>
      <c r="G388" s="167"/>
      <c r="H388" s="362"/>
      <c r="I388" s="166"/>
    </row>
    <row r="389" spans="1:9">
      <c r="A389" s="172"/>
      <c r="B389" s="198"/>
      <c r="C389" s="33"/>
      <c r="D389" s="171"/>
      <c r="E389" s="165"/>
      <c r="F389" s="166"/>
      <c r="G389" s="167"/>
      <c r="H389" s="362"/>
      <c r="I389" s="166"/>
    </row>
    <row r="390" spans="1:9">
      <c r="A390" s="172"/>
      <c r="B390" s="198"/>
      <c r="C390" s="33"/>
      <c r="D390" s="171"/>
      <c r="E390" s="165"/>
      <c r="F390" s="166"/>
      <c r="G390" s="167"/>
      <c r="H390" s="362"/>
      <c r="I390" s="166"/>
    </row>
    <row r="391" spans="1:9">
      <c r="A391" s="172"/>
      <c r="B391" s="198"/>
      <c r="C391" s="33"/>
      <c r="D391" s="171"/>
      <c r="E391" s="165"/>
      <c r="F391" s="166"/>
      <c r="G391" s="167"/>
      <c r="H391" s="362"/>
      <c r="I391" s="166"/>
    </row>
    <row r="392" spans="1:9">
      <c r="A392" s="172"/>
      <c r="B392" s="198"/>
      <c r="C392" s="33"/>
      <c r="D392" s="171"/>
      <c r="E392" s="165"/>
      <c r="F392" s="166"/>
      <c r="G392" s="167"/>
      <c r="H392" s="362"/>
      <c r="I392" s="166"/>
    </row>
    <row r="393" spans="1:9">
      <c r="A393" s="172"/>
      <c r="B393" s="198"/>
      <c r="C393" s="33"/>
      <c r="D393" s="171"/>
      <c r="E393" s="165"/>
      <c r="F393" s="166"/>
      <c r="G393" s="167"/>
      <c r="H393" s="362"/>
      <c r="I393" s="166"/>
    </row>
    <row r="394" spans="1:9">
      <c r="A394" s="172"/>
      <c r="B394" s="198"/>
      <c r="C394" s="33"/>
      <c r="D394" s="171"/>
      <c r="E394" s="165"/>
      <c r="F394" s="166"/>
      <c r="G394" s="167"/>
      <c r="H394" s="362"/>
      <c r="I394" s="166"/>
    </row>
    <row r="395" spans="1:9">
      <c r="A395" s="172"/>
      <c r="B395" s="198"/>
      <c r="C395" s="33"/>
      <c r="D395" s="171"/>
      <c r="E395" s="165"/>
      <c r="F395" s="166"/>
      <c r="G395" s="167"/>
      <c r="H395" s="362"/>
      <c r="I395" s="166"/>
    </row>
    <row r="396" spans="1:9">
      <c r="A396" s="172"/>
      <c r="B396" s="198"/>
      <c r="C396" s="33"/>
      <c r="D396" s="171"/>
      <c r="E396" s="165"/>
      <c r="F396" s="166"/>
      <c r="G396" s="167"/>
      <c r="H396" s="362"/>
      <c r="I396" s="166"/>
    </row>
    <row r="397" spans="1:9">
      <c r="A397" s="172"/>
      <c r="B397" s="198"/>
      <c r="C397" s="33"/>
      <c r="D397" s="171"/>
      <c r="E397" s="165"/>
      <c r="F397" s="166"/>
      <c r="G397" s="167"/>
      <c r="H397" s="362"/>
      <c r="I397" s="166"/>
    </row>
    <row r="398" spans="1:9">
      <c r="A398" s="172"/>
      <c r="B398" s="198"/>
      <c r="C398" s="33"/>
      <c r="D398" s="171"/>
      <c r="E398" s="165"/>
      <c r="F398" s="166"/>
      <c r="G398" s="167"/>
      <c r="H398" s="362"/>
      <c r="I398" s="166"/>
    </row>
    <row r="399" spans="1:9">
      <c r="A399" s="172"/>
      <c r="B399" s="198"/>
      <c r="C399" s="33"/>
      <c r="D399" s="171"/>
      <c r="E399" s="165"/>
      <c r="F399" s="166"/>
      <c r="G399" s="167"/>
      <c r="H399" s="362"/>
      <c r="I399" s="166"/>
    </row>
    <row r="400" spans="1:9">
      <c r="A400" s="172"/>
      <c r="B400" s="198"/>
      <c r="C400" s="33"/>
      <c r="D400" s="171"/>
      <c r="E400" s="165"/>
      <c r="F400" s="166"/>
      <c r="G400" s="167"/>
      <c r="H400" s="362"/>
      <c r="I400" s="166"/>
    </row>
    <row r="401" spans="1:9">
      <c r="A401" s="172"/>
      <c r="B401" s="198"/>
      <c r="C401" s="33"/>
      <c r="D401" s="171"/>
      <c r="E401" s="165"/>
      <c r="F401" s="166"/>
      <c r="G401" s="167"/>
      <c r="H401" s="362"/>
      <c r="I401" s="166"/>
    </row>
    <row r="402" spans="1:9">
      <c r="A402" s="172"/>
      <c r="B402" s="198"/>
      <c r="C402" s="33"/>
      <c r="D402" s="171"/>
      <c r="E402" s="165"/>
      <c r="F402" s="166"/>
      <c r="G402" s="167"/>
      <c r="H402" s="362"/>
      <c r="I402" s="166"/>
    </row>
    <row r="403" spans="1:9">
      <c r="A403" s="172"/>
      <c r="B403" s="198"/>
      <c r="C403" s="33"/>
      <c r="D403" s="171"/>
      <c r="E403" s="165"/>
      <c r="F403" s="166"/>
      <c r="G403" s="167"/>
      <c r="H403" s="362"/>
      <c r="I403" s="166"/>
    </row>
    <row r="404" spans="1:9">
      <c r="A404" s="172"/>
      <c r="B404" s="198"/>
      <c r="C404" s="33"/>
      <c r="D404" s="171"/>
      <c r="E404" s="165"/>
      <c r="F404" s="166"/>
      <c r="G404" s="167"/>
      <c r="H404" s="362"/>
      <c r="I404" s="166"/>
    </row>
    <row r="405" spans="1:9">
      <c r="A405" s="172"/>
      <c r="B405" s="198"/>
      <c r="C405" s="33"/>
      <c r="D405" s="171"/>
      <c r="E405" s="165"/>
      <c r="F405" s="166"/>
      <c r="G405" s="167"/>
      <c r="H405" s="362"/>
      <c r="I405" s="166"/>
    </row>
    <row r="406" spans="1:9">
      <c r="A406" s="172"/>
      <c r="B406" s="198"/>
      <c r="C406" s="33"/>
      <c r="D406" s="171"/>
      <c r="E406" s="165"/>
      <c r="F406" s="166"/>
      <c r="G406" s="167"/>
      <c r="H406" s="362"/>
      <c r="I406" s="166"/>
    </row>
    <row r="407" spans="1:9">
      <c r="A407" s="172"/>
      <c r="B407" s="198"/>
      <c r="C407" s="33"/>
      <c r="D407" s="171"/>
      <c r="E407" s="165"/>
      <c r="F407" s="166"/>
      <c r="G407" s="167"/>
      <c r="H407" s="362"/>
      <c r="I407" s="166"/>
    </row>
    <row r="408" spans="1:9">
      <c r="A408" s="172"/>
      <c r="B408" s="198"/>
      <c r="C408" s="33"/>
      <c r="D408" s="171"/>
      <c r="E408" s="165"/>
      <c r="F408" s="166"/>
      <c r="G408" s="167"/>
      <c r="H408" s="362"/>
      <c r="I408" s="166"/>
    </row>
    <row r="409" spans="1:9">
      <c r="A409" s="172"/>
      <c r="B409" s="198"/>
      <c r="C409" s="33"/>
      <c r="D409" s="171"/>
      <c r="E409" s="165"/>
      <c r="F409" s="166"/>
      <c r="G409" s="167"/>
      <c r="H409" s="362"/>
      <c r="I409" s="166"/>
    </row>
    <row r="410" spans="1:9">
      <c r="A410" s="172"/>
      <c r="B410" s="198"/>
      <c r="C410" s="33"/>
      <c r="D410" s="171"/>
      <c r="E410" s="165"/>
      <c r="F410" s="166"/>
      <c r="G410" s="167"/>
      <c r="H410" s="362"/>
      <c r="I410" s="166"/>
    </row>
    <row r="411" spans="1:9">
      <c r="A411" s="172"/>
      <c r="B411" s="198"/>
      <c r="C411" s="33"/>
      <c r="D411" s="171"/>
      <c r="E411" s="165"/>
      <c r="F411" s="166"/>
      <c r="G411" s="167"/>
      <c r="H411" s="362"/>
      <c r="I411" s="166"/>
    </row>
    <row r="412" spans="1:9">
      <c r="A412" s="172"/>
      <c r="B412" s="198"/>
      <c r="C412" s="33"/>
      <c r="D412" s="171"/>
      <c r="E412" s="165"/>
      <c r="F412" s="166"/>
      <c r="G412" s="167"/>
      <c r="H412" s="362"/>
      <c r="I412" s="166"/>
    </row>
    <row r="413" spans="1:9">
      <c r="A413" s="172"/>
      <c r="B413" s="198"/>
      <c r="C413" s="33"/>
      <c r="D413" s="171"/>
      <c r="E413" s="165"/>
      <c r="F413" s="166"/>
      <c r="G413" s="167"/>
      <c r="H413" s="362"/>
      <c r="I413" s="166"/>
    </row>
    <row r="414" spans="1:9">
      <c r="A414" s="172"/>
      <c r="B414" s="198"/>
      <c r="C414" s="33"/>
      <c r="D414" s="171"/>
      <c r="E414" s="165"/>
      <c r="F414" s="166"/>
      <c r="G414" s="167"/>
      <c r="H414" s="362"/>
      <c r="I414" s="166"/>
    </row>
    <row r="415" spans="1:9">
      <c r="A415" s="172"/>
      <c r="B415" s="198"/>
      <c r="C415" s="33"/>
      <c r="D415" s="171"/>
      <c r="E415" s="165"/>
      <c r="F415" s="166"/>
      <c r="G415" s="167"/>
      <c r="H415" s="362"/>
      <c r="I415" s="166"/>
    </row>
    <row r="416" spans="1:9">
      <c r="A416" s="172"/>
      <c r="B416" s="198"/>
      <c r="C416" s="33"/>
      <c r="D416" s="171"/>
      <c r="E416" s="165"/>
      <c r="F416" s="166"/>
      <c r="G416" s="167"/>
      <c r="H416" s="362"/>
      <c r="I416" s="166"/>
    </row>
    <row r="417" spans="1:9">
      <c r="A417" s="172"/>
      <c r="B417" s="198"/>
      <c r="C417" s="33"/>
      <c r="D417" s="171"/>
      <c r="E417" s="165"/>
      <c r="F417" s="166"/>
      <c r="G417" s="167"/>
      <c r="H417" s="362"/>
      <c r="I417" s="166"/>
    </row>
    <row r="418" spans="1:9">
      <c r="A418" s="172"/>
      <c r="B418" s="198"/>
      <c r="C418" s="33"/>
      <c r="D418" s="171"/>
      <c r="E418" s="165"/>
      <c r="F418" s="166"/>
      <c r="G418" s="167"/>
      <c r="H418" s="362"/>
      <c r="I418" s="166"/>
    </row>
    <row r="419" spans="1:9">
      <c r="A419" s="172"/>
      <c r="B419" s="198"/>
      <c r="C419" s="33"/>
      <c r="D419" s="171"/>
      <c r="E419" s="165"/>
      <c r="F419" s="166"/>
      <c r="G419" s="167"/>
      <c r="H419" s="362"/>
      <c r="I419" s="166"/>
    </row>
    <row r="420" spans="1:9">
      <c r="A420" s="172"/>
      <c r="B420" s="198"/>
      <c r="C420" s="33"/>
      <c r="D420" s="171"/>
      <c r="E420" s="165"/>
      <c r="F420" s="166"/>
      <c r="G420" s="167"/>
      <c r="H420" s="362"/>
      <c r="I420" s="166"/>
    </row>
    <row r="421" spans="1:9">
      <c r="A421" s="172"/>
      <c r="B421" s="198"/>
      <c r="C421" s="33"/>
      <c r="D421" s="171"/>
      <c r="E421" s="165"/>
      <c r="F421" s="166"/>
      <c r="G421" s="167"/>
      <c r="H421" s="362"/>
      <c r="I421" s="166"/>
    </row>
    <row r="422" spans="1:9">
      <c r="A422" s="172"/>
      <c r="B422" s="198"/>
      <c r="C422" s="33"/>
      <c r="D422" s="171"/>
      <c r="E422" s="165"/>
      <c r="F422" s="166"/>
      <c r="G422" s="167"/>
      <c r="H422" s="362"/>
      <c r="I422" s="166"/>
    </row>
    <row r="423" spans="1:9">
      <c r="A423" s="172"/>
      <c r="B423" s="198"/>
      <c r="C423" s="33"/>
      <c r="D423" s="171"/>
      <c r="E423" s="165"/>
      <c r="F423" s="166"/>
      <c r="G423" s="167"/>
      <c r="H423" s="362"/>
      <c r="I423" s="166"/>
    </row>
    <row r="424" spans="1:9">
      <c r="A424" s="172"/>
      <c r="B424" s="198"/>
      <c r="C424" s="33"/>
      <c r="D424" s="171"/>
      <c r="E424" s="165"/>
      <c r="F424" s="166"/>
      <c r="G424" s="167"/>
      <c r="H424" s="362"/>
      <c r="I424" s="166"/>
    </row>
    <row r="425" spans="1:9">
      <c r="A425" s="172"/>
      <c r="B425" s="198"/>
      <c r="C425" s="33"/>
      <c r="D425" s="171"/>
      <c r="E425" s="165"/>
      <c r="F425" s="166"/>
      <c r="G425" s="167"/>
      <c r="H425" s="362"/>
      <c r="I425" s="166"/>
    </row>
    <row r="426" spans="1:9">
      <c r="A426" s="172"/>
      <c r="B426" s="198"/>
      <c r="C426" s="33"/>
      <c r="D426" s="171"/>
      <c r="E426" s="165"/>
      <c r="F426" s="166"/>
      <c r="G426" s="167"/>
      <c r="H426" s="362"/>
      <c r="I426" s="166"/>
    </row>
    <row r="427" spans="1:9">
      <c r="A427" s="172"/>
      <c r="B427" s="198"/>
      <c r="C427" s="33"/>
      <c r="D427" s="171"/>
      <c r="E427" s="165"/>
      <c r="F427" s="166"/>
      <c r="G427" s="167"/>
      <c r="H427" s="362"/>
      <c r="I427" s="166"/>
    </row>
    <row r="428" spans="1:9">
      <c r="A428" s="172"/>
      <c r="B428" s="198"/>
      <c r="C428" s="33"/>
      <c r="D428" s="171"/>
      <c r="E428" s="165"/>
      <c r="F428" s="166"/>
      <c r="G428" s="167"/>
      <c r="H428" s="362"/>
      <c r="I428" s="166"/>
    </row>
    <row r="429" spans="1:9">
      <c r="A429" s="172"/>
      <c r="B429" s="198"/>
      <c r="C429" s="33"/>
      <c r="D429" s="171"/>
      <c r="E429" s="165"/>
      <c r="F429" s="166"/>
      <c r="G429" s="167"/>
      <c r="H429" s="362"/>
      <c r="I429" s="166"/>
    </row>
    <row r="430" spans="1:9">
      <c r="A430" s="172"/>
      <c r="B430" s="198"/>
      <c r="C430" s="33"/>
      <c r="D430" s="171"/>
      <c r="E430" s="165"/>
      <c r="F430" s="166"/>
      <c r="G430" s="167"/>
      <c r="H430" s="362"/>
      <c r="I430" s="166"/>
    </row>
    <row r="431" spans="1:9">
      <c r="A431" s="172"/>
      <c r="B431" s="198"/>
      <c r="C431" s="33"/>
      <c r="D431" s="171"/>
      <c r="E431" s="165"/>
      <c r="F431" s="166"/>
      <c r="G431" s="167"/>
      <c r="H431" s="362"/>
      <c r="I431" s="166"/>
    </row>
    <row r="432" spans="1:9">
      <c r="A432" s="172"/>
      <c r="B432" s="198"/>
      <c r="C432" s="33"/>
      <c r="D432" s="171"/>
      <c r="E432" s="165"/>
      <c r="F432" s="166"/>
      <c r="G432" s="167"/>
      <c r="H432" s="362"/>
      <c r="I432" s="166"/>
    </row>
    <row r="433" spans="1:9">
      <c r="A433" s="172"/>
      <c r="B433" s="198"/>
      <c r="C433" s="33"/>
      <c r="D433" s="171"/>
      <c r="E433" s="165"/>
      <c r="F433" s="166"/>
      <c r="G433" s="167"/>
      <c r="H433" s="362"/>
      <c r="I433" s="166"/>
    </row>
    <row r="434" spans="1:9">
      <c r="A434" s="172"/>
      <c r="B434" s="198"/>
      <c r="C434" s="33"/>
      <c r="D434" s="171"/>
      <c r="E434" s="165"/>
      <c r="F434" s="166"/>
      <c r="G434" s="167"/>
      <c r="H434" s="362"/>
      <c r="I434" s="166"/>
    </row>
    <row r="435" spans="1:9">
      <c r="A435" s="172"/>
      <c r="B435" s="198"/>
      <c r="C435" s="33"/>
      <c r="D435" s="171"/>
      <c r="E435" s="165"/>
      <c r="F435" s="166"/>
      <c r="G435" s="167"/>
      <c r="H435" s="362"/>
      <c r="I435" s="166"/>
    </row>
    <row r="436" spans="1:9">
      <c r="A436" s="172"/>
      <c r="B436" s="198"/>
      <c r="C436" s="33"/>
      <c r="D436" s="171"/>
      <c r="E436" s="165"/>
      <c r="F436" s="166"/>
      <c r="G436" s="167"/>
      <c r="H436" s="362"/>
      <c r="I436" s="166"/>
    </row>
    <row r="437" spans="1:9">
      <c r="A437" s="172"/>
      <c r="B437" s="198"/>
      <c r="C437" s="33"/>
      <c r="D437" s="171"/>
      <c r="E437" s="165"/>
      <c r="F437" s="166"/>
      <c r="G437" s="167"/>
      <c r="H437" s="362"/>
      <c r="I437" s="166"/>
    </row>
    <row r="438" spans="1:9">
      <c r="A438" s="172"/>
      <c r="B438" s="198"/>
      <c r="C438" s="33"/>
      <c r="D438" s="171"/>
      <c r="E438" s="165"/>
      <c r="F438" s="166"/>
      <c r="G438" s="167"/>
      <c r="H438" s="362"/>
      <c r="I438" s="166"/>
    </row>
    <row r="439" spans="1:9">
      <c r="A439" s="172"/>
      <c r="B439" s="198"/>
      <c r="C439" s="33"/>
      <c r="D439" s="171"/>
      <c r="E439" s="165"/>
      <c r="F439" s="166"/>
      <c r="G439" s="167"/>
      <c r="H439" s="362"/>
      <c r="I439" s="166"/>
    </row>
    <row r="440" spans="1:9">
      <c r="A440" s="172"/>
      <c r="B440" s="198"/>
      <c r="C440" s="33"/>
      <c r="D440" s="171"/>
      <c r="E440" s="165"/>
      <c r="F440" s="166"/>
      <c r="G440" s="167"/>
      <c r="H440" s="362"/>
      <c r="I440" s="166"/>
    </row>
    <row r="441" spans="1:9">
      <c r="A441" s="172"/>
      <c r="B441" s="198"/>
      <c r="C441" s="33"/>
      <c r="D441" s="171"/>
      <c r="E441" s="165"/>
      <c r="F441" s="166"/>
      <c r="G441" s="167"/>
      <c r="H441" s="362"/>
      <c r="I441" s="166"/>
    </row>
    <row r="442" spans="1:9">
      <c r="A442" s="172"/>
      <c r="B442" s="198"/>
      <c r="C442" s="33"/>
      <c r="D442" s="171"/>
      <c r="E442" s="165"/>
      <c r="F442" s="166"/>
      <c r="G442" s="167"/>
      <c r="H442" s="362"/>
      <c r="I442" s="166"/>
    </row>
    <row r="443" spans="1:9">
      <c r="A443" s="172"/>
      <c r="B443" s="198"/>
      <c r="C443" s="33"/>
      <c r="D443" s="171"/>
      <c r="E443" s="165"/>
      <c r="F443" s="166"/>
      <c r="G443" s="167"/>
      <c r="H443" s="362"/>
      <c r="I443" s="166"/>
    </row>
    <row r="444" spans="1:9">
      <c r="A444" s="172"/>
      <c r="B444" s="198"/>
      <c r="C444" s="33"/>
      <c r="D444" s="171"/>
      <c r="E444" s="165"/>
      <c r="F444" s="166"/>
      <c r="G444" s="167"/>
      <c r="H444" s="362"/>
      <c r="I444" s="166"/>
    </row>
    <row r="445" spans="1:9">
      <c r="A445" s="172"/>
      <c r="B445" s="198"/>
      <c r="C445" s="33"/>
      <c r="D445" s="171"/>
      <c r="E445" s="165"/>
      <c r="F445" s="166"/>
      <c r="G445" s="167"/>
      <c r="H445" s="362"/>
      <c r="I445" s="166"/>
    </row>
    <row r="446" spans="1:9">
      <c r="A446" s="172"/>
      <c r="B446" s="198"/>
      <c r="C446" s="33"/>
      <c r="D446" s="171"/>
      <c r="E446" s="165"/>
      <c r="F446" s="166"/>
      <c r="G446" s="167"/>
      <c r="H446" s="362"/>
      <c r="I446" s="166"/>
    </row>
    <row r="447" spans="1:9">
      <c r="A447" s="172"/>
      <c r="B447" s="198"/>
      <c r="C447" s="33"/>
      <c r="D447" s="171"/>
      <c r="E447" s="165"/>
      <c r="F447" s="166"/>
      <c r="G447" s="167"/>
      <c r="H447" s="362"/>
      <c r="I447" s="166"/>
    </row>
    <row r="448" spans="1:9">
      <c r="A448" s="172"/>
      <c r="B448" s="198"/>
      <c r="C448" s="33"/>
      <c r="D448" s="171"/>
      <c r="E448" s="165"/>
      <c r="F448" s="166"/>
      <c r="G448" s="167"/>
      <c r="H448" s="362"/>
      <c r="I448" s="166"/>
    </row>
    <row r="449" spans="1:9">
      <c r="A449" s="172"/>
      <c r="B449" s="198"/>
      <c r="C449" s="33"/>
      <c r="D449" s="171"/>
      <c r="E449" s="165"/>
      <c r="F449" s="166"/>
      <c r="G449" s="167"/>
      <c r="H449" s="362"/>
      <c r="I449" s="166"/>
    </row>
    <row r="450" spans="1:9">
      <c r="A450" s="172"/>
      <c r="B450" s="198"/>
      <c r="C450" s="33"/>
      <c r="D450" s="171"/>
      <c r="E450" s="165"/>
      <c r="F450" s="166"/>
      <c r="G450" s="167"/>
      <c r="H450" s="362"/>
      <c r="I450" s="166"/>
    </row>
    <row r="451" spans="1:9">
      <c r="A451" s="172"/>
      <c r="B451" s="198"/>
      <c r="C451" s="33"/>
      <c r="D451" s="171"/>
      <c r="E451" s="165"/>
      <c r="F451" s="166"/>
      <c r="G451" s="167"/>
      <c r="H451" s="362"/>
      <c r="I451" s="166"/>
    </row>
    <row r="452" spans="1:9">
      <c r="A452" s="172"/>
      <c r="B452" s="198"/>
      <c r="C452" s="33"/>
      <c r="D452" s="171"/>
      <c r="E452" s="165"/>
      <c r="F452" s="166"/>
      <c r="G452" s="167"/>
      <c r="H452" s="362"/>
      <c r="I452" s="166"/>
    </row>
    <row r="453" spans="1:9">
      <c r="A453" s="172"/>
      <c r="B453" s="198"/>
      <c r="C453" s="33"/>
      <c r="D453" s="171"/>
      <c r="E453" s="165"/>
      <c r="F453" s="166"/>
      <c r="G453" s="167"/>
      <c r="H453" s="362"/>
      <c r="I453" s="166"/>
    </row>
    <row r="454" spans="1:9">
      <c r="A454" s="172"/>
      <c r="B454" s="198"/>
      <c r="C454" s="33"/>
      <c r="D454" s="171"/>
      <c r="E454" s="165"/>
      <c r="F454" s="166"/>
      <c r="G454" s="167"/>
      <c r="H454" s="362"/>
      <c r="I454" s="166"/>
    </row>
    <row r="455" spans="1:9">
      <c r="A455" s="172"/>
      <c r="B455" s="198"/>
      <c r="C455" s="33"/>
      <c r="D455" s="171"/>
      <c r="E455" s="165"/>
      <c r="F455" s="166"/>
      <c r="G455" s="167"/>
      <c r="H455" s="362"/>
      <c r="I455" s="166"/>
    </row>
    <row r="456" spans="1:9">
      <c r="A456" s="172"/>
      <c r="B456" s="198"/>
      <c r="C456" s="33"/>
      <c r="D456" s="171"/>
      <c r="E456" s="165"/>
      <c r="F456" s="166"/>
      <c r="G456" s="167"/>
      <c r="H456" s="362"/>
      <c r="I456" s="166"/>
    </row>
    <row r="457" spans="1:9">
      <c r="A457" s="172"/>
      <c r="B457" s="198"/>
      <c r="C457" s="33"/>
      <c r="D457" s="171"/>
      <c r="E457" s="165"/>
      <c r="F457" s="166"/>
      <c r="G457" s="167"/>
      <c r="H457" s="362"/>
      <c r="I457" s="166"/>
    </row>
    <row r="458" spans="1:9">
      <c r="A458" s="172"/>
      <c r="B458" s="198"/>
      <c r="C458" s="33"/>
      <c r="D458" s="171"/>
      <c r="E458" s="165"/>
      <c r="F458" s="166"/>
      <c r="G458" s="167"/>
      <c r="H458" s="362"/>
      <c r="I458" s="166"/>
    </row>
    <row r="459" spans="1:9">
      <c r="A459" s="172"/>
      <c r="B459" s="198"/>
      <c r="C459" s="33"/>
      <c r="D459" s="171"/>
      <c r="E459" s="165"/>
      <c r="F459" s="166"/>
      <c r="G459" s="167"/>
      <c r="H459" s="362"/>
      <c r="I459" s="166"/>
    </row>
    <row r="460" spans="1:9">
      <c r="A460" s="172"/>
      <c r="B460" s="198"/>
      <c r="C460" s="33"/>
      <c r="D460" s="171"/>
      <c r="E460" s="165"/>
      <c r="F460" s="166"/>
      <c r="G460" s="167"/>
      <c r="H460" s="362"/>
      <c r="I460" s="166"/>
    </row>
    <row r="461" spans="1:9">
      <c r="A461" s="172"/>
      <c r="B461" s="198"/>
      <c r="C461" s="33"/>
      <c r="D461" s="171"/>
      <c r="E461" s="165"/>
      <c r="F461" s="166"/>
      <c r="G461" s="167"/>
      <c r="H461" s="362"/>
      <c r="I461" s="166"/>
    </row>
    <row r="462" spans="1:9">
      <c r="A462" s="172"/>
      <c r="B462" s="198"/>
      <c r="C462" s="33"/>
      <c r="D462" s="171"/>
      <c r="E462" s="165"/>
      <c r="F462" s="166"/>
      <c r="G462" s="167"/>
      <c r="H462" s="362"/>
      <c r="I462" s="166"/>
    </row>
    <row r="463" spans="1:9">
      <c r="A463" s="172"/>
      <c r="B463" s="198"/>
      <c r="C463" s="33"/>
      <c r="D463" s="171"/>
      <c r="E463" s="165"/>
      <c r="F463" s="166"/>
      <c r="G463" s="167"/>
      <c r="H463" s="362"/>
      <c r="I463" s="166"/>
    </row>
    <row r="464" spans="1:9">
      <c r="A464" s="172"/>
      <c r="B464" s="198"/>
      <c r="C464" s="33"/>
      <c r="D464" s="171"/>
      <c r="E464" s="165"/>
      <c r="F464" s="166"/>
      <c r="G464" s="167"/>
      <c r="H464" s="362"/>
      <c r="I464" s="166"/>
    </row>
    <row r="465" spans="1:9">
      <c r="A465" s="172"/>
      <c r="B465" s="198"/>
      <c r="C465" s="33"/>
      <c r="D465" s="171"/>
      <c r="E465" s="165"/>
      <c r="F465" s="166"/>
      <c r="G465" s="167"/>
      <c r="H465" s="362"/>
      <c r="I465" s="166"/>
    </row>
    <row r="466" spans="1:9">
      <c r="A466" s="172"/>
      <c r="B466" s="198"/>
      <c r="C466" s="33"/>
      <c r="D466" s="171"/>
      <c r="E466" s="165"/>
      <c r="F466" s="166"/>
      <c r="G466" s="167"/>
      <c r="H466" s="362"/>
      <c r="I466" s="166"/>
    </row>
    <row r="467" spans="1:9">
      <c r="A467" s="172"/>
      <c r="B467" s="198"/>
      <c r="C467" s="33"/>
      <c r="D467" s="171"/>
      <c r="E467" s="165"/>
      <c r="F467" s="166"/>
      <c r="G467" s="167"/>
      <c r="H467" s="362"/>
      <c r="I467" s="166"/>
    </row>
    <row r="468" spans="1:9">
      <c r="A468" s="172"/>
      <c r="B468" s="198"/>
      <c r="C468" s="33"/>
      <c r="D468" s="171"/>
      <c r="E468" s="165"/>
      <c r="F468" s="166"/>
      <c r="G468" s="167"/>
      <c r="H468" s="362"/>
      <c r="I468" s="166"/>
    </row>
    <row r="469" spans="1:9">
      <c r="A469" s="172"/>
      <c r="B469" s="198"/>
      <c r="C469" s="33"/>
      <c r="D469" s="171"/>
      <c r="E469" s="165"/>
      <c r="F469" s="166"/>
      <c r="G469" s="167"/>
      <c r="H469" s="362"/>
      <c r="I469" s="166"/>
    </row>
    <row r="470" spans="1:9">
      <c r="A470" s="172"/>
      <c r="B470" s="198"/>
      <c r="C470" s="33"/>
      <c r="D470" s="171"/>
      <c r="E470" s="165"/>
      <c r="F470" s="166"/>
      <c r="G470" s="167"/>
      <c r="H470" s="362"/>
      <c r="I470" s="166"/>
    </row>
    <row r="471" spans="1:9">
      <c r="A471" s="172"/>
      <c r="B471" s="198"/>
      <c r="C471" s="33"/>
      <c r="D471" s="171"/>
      <c r="E471" s="165"/>
      <c r="F471" s="166"/>
      <c r="G471" s="167"/>
      <c r="H471" s="362"/>
      <c r="I471" s="166"/>
    </row>
    <row r="472" spans="1:9">
      <c r="A472" s="172"/>
      <c r="B472" s="198"/>
      <c r="C472" s="33"/>
      <c r="D472" s="171"/>
      <c r="E472" s="165"/>
      <c r="F472" s="166"/>
      <c r="G472" s="167"/>
      <c r="H472" s="362"/>
      <c r="I472" s="166"/>
    </row>
    <row r="473" spans="1:9">
      <c r="A473" s="172"/>
      <c r="B473" s="198"/>
      <c r="C473" s="33"/>
      <c r="D473" s="171"/>
      <c r="E473" s="165"/>
      <c r="F473" s="166"/>
      <c r="G473" s="167"/>
      <c r="H473" s="362"/>
      <c r="I473" s="166"/>
    </row>
    <row r="474" spans="1:9">
      <c r="A474" s="172"/>
      <c r="B474" s="198"/>
      <c r="C474" s="33"/>
      <c r="D474" s="171"/>
      <c r="E474" s="165"/>
      <c r="F474" s="166"/>
      <c r="G474" s="167"/>
      <c r="H474" s="362"/>
      <c r="I474" s="166"/>
    </row>
    <row r="475" spans="1:9">
      <c r="A475" s="172"/>
      <c r="B475" s="198"/>
      <c r="C475" s="33"/>
      <c r="D475" s="171"/>
      <c r="E475" s="165"/>
      <c r="F475" s="166"/>
      <c r="G475" s="167"/>
      <c r="H475" s="362"/>
      <c r="I475" s="166"/>
    </row>
    <row r="476" spans="1:9">
      <c r="A476" s="172"/>
      <c r="B476" s="198"/>
      <c r="C476" s="33"/>
      <c r="D476" s="171"/>
      <c r="E476" s="165"/>
      <c r="F476" s="166"/>
      <c r="G476" s="167"/>
      <c r="H476" s="362"/>
      <c r="I476" s="166"/>
    </row>
    <row r="477" spans="1:9">
      <c r="A477" s="172"/>
      <c r="B477" s="198"/>
      <c r="C477" s="33"/>
      <c r="D477" s="171"/>
      <c r="E477" s="165"/>
      <c r="F477" s="166"/>
      <c r="G477" s="167"/>
      <c r="H477" s="362"/>
      <c r="I477" s="166"/>
    </row>
    <row r="478" spans="1:9">
      <c r="A478" s="172"/>
      <c r="B478" s="198"/>
      <c r="C478" s="33"/>
      <c r="D478" s="171"/>
      <c r="E478" s="165"/>
      <c r="F478" s="166"/>
      <c r="G478" s="167"/>
      <c r="H478" s="362"/>
      <c r="I478" s="166"/>
    </row>
    <row r="479" spans="1:9">
      <c r="A479" s="172"/>
      <c r="B479" s="198"/>
      <c r="C479" s="33"/>
      <c r="D479" s="171"/>
      <c r="E479" s="165"/>
      <c r="F479" s="166"/>
      <c r="G479" s="167"/>
      <c r="H479" s="362"/>
      <c r="I479" s="166"/>
    </row>
    <row r="480" spans="1:9">
      <c r="A480" s="172"/>
      <c r="B480" s="198"/>
      <c r="C480" s="33"/>
      <c r="D480" s="171"/>
      <c r="E480" s="165"/>
      <c r="F480" s="166"/>
      <c r="G480" s="167"/>
      <c r="H480" s="362"/>
      <c r="I480" s="166"/>
    </row>
    <row r="481" spans="1:9">
      <c r="A481" s="172"/>
      <c r="B481" s="198"/>
      <c r="C481" s="33"/>
      <c r="D481" s="171"/>
      <c r="E481" s="165"/>
      <c r="F481" s="166"/>
      <c r="G481" s="167"/>
      <c r="H481" s="362"/>
      <c r="I481" s="166"/>
    </row>
    <row r="482" spans="1:9">
      <c r="A482" s="172"/>
      <c r="B482" s="198"/>
      <c r="C482" s="33"/>
      <c r="D482" s="171"/>
      <c r="E482" s="165"/>
      <c r="F482" s="166"/>
      <c r="G482" s="167"/>
      <c r="H482" s="362"/>
      <c r="I482" s="166"/>
    </row>
    <row r="483" spans="1:9">
      <c r="A483" s="172"/>
      <c r="B483" s="198"/>
      <c r="C483" s="33"/>
      <c r="D483" s="171"/>
      <c r="E483" s="165"/>
      <c r="F483" s="166"/>
      <c r="G483" s="167"/>
      <c r="H483" s="362"/>
      <c r="I483" s="166"/>
    </row>
    <row r="484" spans="1:9">
      <c r="A484" s="172"/>
      <c r="B484" s="198"/>
      <c r="C484" s="33"/>
      <c r="D484" s="171"/>
      <c r="E484" s="165"/>
      <c r="F484" s="166"/>
      <c r="G484" s="167"/>
      <c r="H484" s="362"/>
      <c r="I484" s="166"/>
    </row>
    <row r="485" spans="1:9">
      <c r="A485" s="172"/>
      <c r="B485" s="198"/>
      <c r="C485" s="33"/>
      <c r="D485" s="171"/>
      <c r="E485" s="165"/>
      <c r="F485" s="166"/>
      <c r="G485" s="167"/>
      <c r="H485" s="362"/>
      <c r="I485" s="166"/>
    </row>
    <row r="486" spans="1:9">
      <c r="A486" s="172"/>
      <c r="B486" s="198"/>
      <c r="C486" s="33"/>
      <c r="D486" s="171"/>
      <c r="E486" s="165"/>
      <c r="F486" s="166"/>
      <c r="G486" s="167"/>
      <c r="H486" s="362"/>
      <c r="I486" s="166"/>
    </row>
    <row r="487" spans="1:9">
      <c r="A487" s="172"/>
      <c r="B487" s="198"/>
      <c r="C487" s="33"/>
      <c r="D487" s="171"/>
      <c r="E487" s="165"/>
      <c r="F487" s="166"/>
      <c r="G487" s="167"/>
      <c r="H487" s="362"/>
      <c r="I487" s="166"/>
    </row>
    <row r="488" spans="1:9">
      <c r="A488" s="172"/>
      <c r="B488" s="198"/>
      <c r="C488" s="33"/>
      <c r="D488" s="171"/>
      <c r="E488" s="165"/>
      <c r="F488" s="166"/>
      <c r="G488" s="167"/>
      <c r="H488" s="362"/>
      <c r="I488" s="166"/>
    </row>
    <row r="489" spans="1:9">
      <c r="A489" s="172"/>
      <c r="B489" s="198"/>
      <c r="C489" s="33"/>
      <c r="D489" s="171"/>
      <c r="E489" s="165"/>
      <c r="F489" s="166"/>
      <c r="G489" s="167"/>
      <c r="H489" s="362"/>
      <c r="I489" s="166"/>
    </row>
    <row r="490" spans="1:9">
      <c r="A490" s="172"/>
      <c r="B490" s="198"/>
      <c r="C490" s="33"/>
      <c r="D490" s="171"/>
      <c r="E490" s="165"/>
      <c r="F490" s="166"/>
      <c r="G490" s="167"/>
      <c r="H490" s="362"/>
      <c r="I490" s="166"/>
    </row>
    <row r="491" spans="1:9">
      <c r="A491" s="172"/>
      <c r="B491" s="198"/>
      <c r="C491" s="33"/>
      <c r="D491" s="171"/>
      <c r="E491" s="165"/>
      <c r="F491" s="166"/>
      <c r="G491" s="167"/>
      <c r="H491" s="362"/>
      <c r="I491" s="166"/>
    </row>
    <row r="492" spans="1:9">
      <c r="A492" s="172"/>
      <c r="B492" s="198"/>
      <c r="C492" s="33"/>
      <c r="D492" s="171"/>
      <c r="E492" s="165"/>
      <c r="F492" s="166"/>
      <c r="G492" s="167"/>
      <c r="H492" s="362"/>
      <c r="I492" s="166"/>
    </row>
    <row r="493" spans="1:9">
      <c r="A493" s="172"/>
      <c r="B493" s="198"/>
      <c r="C493" s="33"/>
      <c r="D493" s="171"/>
      <c r="E493" s="165"/>
      <c r="F493" s="166"/>
      <c r="G493" s="167"/>
      <c r="H493" s="362"/>
      <c r="I493" s="166"/>
    </row>
    <row r="494" spans="1:9">
      <c r="A494" s="172"/>
      <c r="B494" s="198"/>
      <c r="C494" s="33"/>
      <c r="D494" s="171"/>
      <c r="E494" s="165"/>
      <c r="F494" s="166"/>
      <c r="G494" s="167"/>
      <c r="H494" s="362"/>
      <c r="I494" s="166"/>
    </row>
    <row r="495" spans="1:9">
      <c r="A495" s="172"/>
      <c r="B495" s="198"/>
      <c r="C495" s="33"/>
      <c r="D495" s="171"/>
      <c r="E495" s="165"/>
      <c r="F495" s="166"/>
      <c r="G495" s="167"/>
      <c r="H495" s="362"/>
      <c r="I495" s="166"/>
    </row>
    <row r="496" spans="1:9">
      <c r="A496" s="172"/>
      <c r="B496" s="198"/>
      <c r="C496" s="33"/>
      <c r="D496" s="171"/>
      <c r="E496" s="165"/>
      <c r="F496" s="166"/>
      <c r="G496" s="167"/>
      <c r="H496" s="362"/>
      <c r="I496" s="166"/>
    </row>
    <row r="497" spans="1:9">
      <c r="A497" s="172"/>
      <c r="B497" s="198"/>
      <c r="C497" s="33"/>
      <c r="D497" s="171"/>
      <c r="E497" s="165"/>
      <c r="F497" s="166"/>
      <c r="G497" s="167"/>
      <c r="H497" s="362"/>
      <c r="I497" s="166"/>
    </row>
    <row r="498" spans="1:9">
      <c r="A498" s="172"/>
      <c r="B498" s="198"/>
      <c r="C498" s="33"/>
      <c r="D498" s="171"/>
      <c r="E498" s="165"/>
      <c r="F498" s="166"/>
      <c r="G498" s="167"/>
      <c r="H498" s="362"/>
      <c r="I498" s="166"/>
    </row>
    <row r="499" spans="1:9">
      <c r="A499" s="172"/>
      <c r="B499" s="198"/>
      <c r="C499" s="33"/>
      <c r="D499" s="171"/>
      <c r="E499" s="165"/>
      <c r="F499" s="166"/>
      <c r="G499" s="167"/>
      <c r="H499" s="362"/>
      <c r="I499" s="166"/>
    </row>
    <row r="500" spans="1:9">
      <c r="A500" s="172"/>
      <c r="B500" s="198"/>
      <c r="C500" s="33"/>
      <c r="D500" s="171"/>
      <c r="E500" s="165"/>
      <c r="F500" s="166"/>
      <c r="G500" s="167"/>
      <c r="H500" s="362"/>
      <c r="I500" s="166"/>
    </row>
    <row r="501" spans="1:9">
      <c r="A501" s="172"/>
      <c r="B501" s="198"/>
      <c r="C501" s="33"/>
      <c r="D501" s="171"/>
      <c r="E501" s="165"/>
      <c r="F501" s="166"/>
      <c r="G501" s="167"/>
      <c r="H501" s="362"/>
      <c r="I501" s="166"/>
    </row>
    <row r="502" spans="1:9">
      <c r="A502" s="172"/>
      <c r="B502" s="198"/>
      <c r="C502" s="33"/>
      <c r="D502" s="171"/>
      <c r="E502" s="165"/>
      <c r="F502" s="166"/>
      <c r="G502" s="167"/>
      <c r="H502" s="362"/>
      <c r="I502" s="166"/>
    </row>
    <row r="503" spans="1:9">
      <c r="A503" s="172"/>
      <c r="B503" s="198"/>
      <c r="C503" s="33"/>
      <c r="D503" s="171"/>
      <c r="E503" s="165"/>
      <c r="F503" s="166"/>
      <c r="G503" s="167"/>
      <c r="H503" s="362"/>
      <c r="I503" s="166"/>
    </row>
    <row r="504" spans="1:9">
      <c r="A504" s="172"/>
      <c r="B504" s="198"/>
      <c r="C504" s="33"/>
      <c r="D504" s="171"/>
      <c r="E504" s="165"/>
      <c r="F504" s="166"/>
      <c r="G504" s="167"/>
      <c r="H504" s="362"/>
      <c r="I504" s="166"/>
    </row>
    <row r="505" spans="1:9">
      <c r="A505" s="172"/>
      <c r="B505" s="198"/>
      <c r="C505" s="33"/>
      <c r="D505" s="171"/>
      <c r="E505" s="165"/>
      <c r="F505" s="166"/>
      <c r="G505" s="167"/>
      <c r="H505" s="362"/>
      <c r="I505" s="166"/>
    </row>
    <row r="506" spans="1:9">
      <c r="A506" s="172"/>
      <c r="B506" s="198"/>
      <c r="C506" s="33"/>
      <c r="D506" s="171"/>
      <c r="E506" s="165"/>
      <c r="F506" s="166"/>
      <c r="G506" s="167"/>
      <c r="H506" s="362"/>
      <c r="I506" s="166"/>
    </row>
    <row r="507" spans="1:9">
      <c r="A507" s="172"/>
      <c r="B507" s="198"/>
      <c r="C507" s="33"/>
      <c r="D507" s="171"/>
      <c r="E507" s="165"/>
      <c r="F507" s="166"/>
      <c r="G507" s="167"/>
      <c r="H507" s="362"/>
      <c r="I507" s="166"/>
    </row>
    <row r="508" spans="1:9">
      <c r="A508" s="172"/>
      <c r="B508" s="198"/>
      <c r="C508" s="33"/>
      <c r="D508" s="171"/>
      <c r="E508" s="165"/>
      <c r="F508" s="166"/>
      <c r="G508" s="167"/>
      <c r="H508" s="362"/>
      <c r="I508" s="166"/>
    </row>
  </sheetData>
  <mergeCells count="593">
    <mergeCell ref="CR1:CR2"/>
    <mergeCell ref="CQ1:CQ2"/>
    <mergeCell ref="CK84:CN84"/>
    <mergeCell ref="CO84:CR84"/>
    <mergeCell ref="CS84:CV84"/>
    <mergeCell ref="CK95:CN95"/>
    <mergeCell ref="CO95:CR95"/>
    <mergeCell ref="CS95:CV95"/>
    <mergeCell ref="A1:A2"/>
    <mergeCell ref="B1:B2"/>
    <mergeCell ref="C1:C2"/>
    <mergeCell ref="D1:D2"/>
    <mergeCell ref="E1:E2"/>
    <mergeCell ref="H1:H2"/>
    <mergeCell ref="O1:O2"/>
    <mergeCell ref="P1:P2"/>
    <mergeCell ref="Q1:Q2"/>
    <mergeCell ref="R1:R2"/>
    <mergeCell ref="S1:S2"/>
    <mergeCell ref="T1:T2"/>
    <mergeCell ref="I1:I2"/>
    <mergeCell ref="J1:J2"/>
    <mergeCell ref="K1:K2"/>
    <mergeCell ref="L1:L2"/>
    <mergeCell ref="M1:M2"/>
    <mergeCell ref="N1:N2"/>
    <mergeCell ref="AA1:AA2"/>
    <mergeCell ref="AB1:AB2"/>
    <mergeCell ref="AC1:AC2"/>
    <mergeCell ref="AD1:AD2"/>
    <mergeCell ref="AE1:AE2"/>
    <mergeCell ref="AF1:AF2"/>
    <mergeCell ref="U1:U2"/>
    <mergeCell ref="V1:V2"/>
    <mergeCell ref="W1:W2"/>
    <mergeCell ref="X1:X2"/>
    <mergeCell ref="Y1:Y2"/>
    <mergeCell ref="Z1:Z2"/>
    <mergeCell ref="AM1:AM2"/>
    <mergeCell ref="AN1:AN2"/>
    <mergeCell ref="AO1:AO2"/>
    <mergeCell ref="AP1:AP2"/>
    <mergeCell ref="AQ1:AQ2"/>
    <mergeCell ref="AR1:AR2"/>
    <mergeCell ref="AG1:AG2"/>
    <mergeCell ref="AH1:AH2"/>
    <mergeCell ref="AI1:AI2"/>
    <mergeCell ref="AJ1:AJ2"/>
    <mergeCell ref="AK1:AK2"/>
    <mergeCell ref="AL1:AL2"/>
    <mergeCell ref="AY1:AY2"/>
    <mergeCell ref="AZ1:AZ2"/>
    <mergeCell ref="BA1:BA2"/>
    <mergeCell ref="BB1:BB2"/>
    <mergeCell ref="BC1:BC2"/>
    <mergeCell ref="BD1:BD2"/>
    <mergeCell ref="AS1:AS2"/>
    <mergeCell ref="AT1:AT2"/>
    <mergeCell ref="AU1:AU2"/>
    <mergeCell ref="AV1:AV2"/>
    <mergeCell ref="AW1:AW2"/>
    <mergeCell ref="AX1:AX2"/>
    <mergeCell ref="BN1:BN2"/>
    <mergeCell ref="BO1:BO2"/>
    <mergeCell ref="BP1:BP2"/>
    <mergeCell ref="BE1:BE2"/>
    <mergeCell ref="BF1:BF2"/>
    <mergeCell ref="BG1:BG2"/>
    <mergeCell ref="BH1:BH2"/>
    <mergeCell ref="BI1:BI2"/>
    <mergeCell ref="BJ1:BJ2"/>
    <mergeCell ref="ET1:ET2"/>
    <mergeCell ref="CI1:CI2"/>
    <mergeCell ref="CJ1:CJ2"/>
    <mergeCell ref="CK1:CK2"/>
    <mergeCell ref="CL1:CL2"/>
    <mergeCell ref="CM1:CM2"/>
    <mergeCell ref="CN1:CN2"/>
    <mergeCell ref="CC1:CC2"/>
    <mergeCell ref="CD1:CD2"/>
    <mergeCell ref="CE1:CE2"/>
    <mergeCell ref="CF1:CF2"/>
    <mergeCell ref="CG1:CG2"/>
    <mergeCell ref="CH1:CH2"/>
    <mergeCell ref="DB1:DB2"/>
    <mergeCell ref="CP1:CP2"/>
    <mergeCell ref="DA1:DA2"/>
    <mergeCell ref="CZ1:CZ2"/>
    <mergeCell ref="CY1:CY2"/>
    <mergeCell ref="CX1:CX2"/>
    <mergeCell ref="CW1:CW2"/>
    <mergeCell ref="CV1:CV2"/>
    <mergeCell ref="CU1:CU2"/>
    <mergeCell ref="CT1:CT2"/>
    <mergeCell ref="CS1:CS2"/>
    <mergeCell ref="A3:A4"/>
    <mergeCell ref="B3:B4"/>
    <mergeCell ref="C3:C4"/>
    <mergeCell ref="D3:D4"/>
    <mergeCell ref="E3:E4"/>
    <mergeCell ref="F3:F4"/>
    <mergeCell ref="G3:G4"/>
    <mergeCell ref="H3:H4"/>
    <mergeCell ref="CO1:CO2"/>
    <mergeCell ref="BW1:BW2"/>
    <mergeCell ref="BX1:BX2"/>
    <mergeCell ref="BY1:BY2"/>
    <mergeCell ref="BZ1:BZ2"/>
    <mergeCell ref="CA1:CA2"/>
    <mergeCell ref="CB1:CB2"/>
    <mergeCell ref="BQ1:BQ2"/>
    <mergeCell ref="BR1:BR2"/>
    <mergeCell ref="BS1:BS2"/>
    <mergeCell ref="BT1:BT2"/>
    <mergeCell ref="BU1:BU2"/>
    <mergeCell ref="BV1:BV2"/>
    <mergeCell ref="BK1:BK2"/>
    <mergeCell ref="BL1:BL2"/>
    <mergeCell ref="BM1:BM2"/>
    <mergeCell ref="G5:G6"/>
    <mergeCell ref="H5:H6"/>
    <mergeCell ref="A7:A8"/>
    <mergeCell ref="B7:B8"/>
    <mergeCell ref="C7:C8"/>
    <mergeCell ref="D7:D8"/>
    <mergeCell ref="E7:E8"/>
    <mergeCell ref="F7:F8"/>
    <mergeCell ref="G7:G8"/>
    <mergeCell ref="H7:H8"/>
    <mergeCell ref="A5:A6"/>
    <mergeCell ref="B5:B6"/>
    <mergeCell ref="C5:C6"/>
    <mergeCell ref="D5:D6"/>
    <mergeCell ref="E5:E6"/>
    <mergeCell ref="F5:F6"/>
    <mergeCell ref="G9:G10"/>
    <mergeCell ref="H9:H10"/>
    <mergeCell ref="A11:A12"/>
    <mergeCell ref="B11:B12"/>
    <mergeCell ref="C11:C12"/>
    <mergeCell ref="D11:D12"/>
    <mergeCell ref="E11:E12"/>
    <mergeCell ref="F11:F12"/>
    <mergeCell ref="G11:G12"/>
    <mergeCell ref="H11:H12"/>
    <mergeCell ref="A9:A10"/>
    <mergeCell ref="B9:B10"/>
    <mergeCell ref="C9:C10"/>
    <mergeCell ref="D9:D10"/>
    <mergeCell ref="E9:E10"/>
    <mergeCell ref="F9:F10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A13:A14"/>
    <mergeCell ref="B13:B14"/>
    <mergeCell ref="C13:C14"/>
    <mergeCell ref="D13:D14"/>
    <mergeCell ref="E13:E14"/>
    <mergeCell ref="F13:F14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17:A18"/>
    <mergeCell ref="B17:B18"/>
    <mergeCell ref="C17:C18"/>
    <mergeCell ref="D17:D18"/>
    <mergeCell ref="E17:E18"/>
    <mergeCell ref="F17:F18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21:A22"/>
    <mergeCell ref="B21:B22"/>
    <mergeCell ref="C21:C22"/>
    <mergeCell ref="D21:D22"/>
    <mergeCell ref="E21:E22"/>
    <mergeCell ref="F21:F22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5:A26"/>
    <mergeCell ref="B25:B26"/>
    <mergeCell ref="C25:C26"/>
    <mergeCell ref="D25:D26"/>
    <mergeCell ref="E25:E26"/>
    <mergeCell ref="F25:F26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29:A30"/>
    <mergeCell ref="B29:B30"/>
    <mergeCell ref="C29:C30"/>
    <mergeCell ref="D29:D30"/>
    <mergeCell ref="E29:E30"/>
    <mergeCell ref="F29:F30"/>
    <mergeCell ref="G33:G34"/>
    <mergeCell ref="H33:H34"/>
    <mergeCell ref="A35:A36"/>
    <mergeCell ref="B35:B36"/>
    <mergeCell ref="C35:C36"/>
    <mergeCell ref="D35:D36"/>
    <mergeCell ref="E35:E36"/>
    <mergeCell ref="F35:F36"/>
    <mergeCell ref="G35:G36"/>
    <mergeCell ref="H35:H36"/>
    <mergeCell ref="A33:A34"/>
    <mergeCell ref="B33:B34"/>
    <mergeCell ref="C33:C34"/>
    <mergeCell ref="D33:D34"/>
    <mergeCell ref="E33:E34"/>
    <mergeCell ref="F33:F34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A37:A38"/>
    <mergeCell ref="B37:B38"/>
    <mergeCell ref="C37:C38"/>
    <mergeCell ref="D37:D38"/>
    <mergeCell ref="E37:E38"/>
    <mergeCell ref="F37:F38"/>
    <mergeCell ref="G41:G42"/>
    <mergeCell ref="H41:H42"/>
    <mergeCell ref="A43:A44"/>
    <mergeCell ref="B43:B44"/>
    <mergeCell ref="C43:C44"/>
    <mergeCell ref="D43:D44"/>
    <mergeCell ref="E43:E44"/>
    <mergeCell ref="F43:F44"/>
    <mergeCell ref="G43:G44"/>
    <mergeCell ref="H43:H44"/>
    <mergeCell ref="A41:A42"/>
    <mergeCell ref="B41:B42"/>
    <mergeCell ref="C41:C42"/>
    <mergeCell ref="D41:D42"/>
    <mergeCell ref="E41:E42"/>
    <mergeCell ref="F41:F42"/>
    <mergeCell ref="G45:G46"/>
    <mergeCell ref="H45:H46"/>
    <mergeCell ref="A47:A48"/>
    <mergeCell ref="B47:B48"/>
    <mergeCell ref="C47:C48"/>
    <mergeCell ref="D47:D48"/>
    <mergeCell ref="E47:E48"/>
    <mergeCell ref="F47:F48"/>
    <mergeCell ref="G47:G48"/>
    <mergeCell ref="H47:H48"/>
    <mergeCell ref="A45:A46"/>
    <mergeCell ref="B45:B46"/>
    <mergeCell ref="C45:C46"/>
    <mergeCell ref="D45:D46"/>
    <mergeCell ref="E45:E46"/>
    <mergeCell ref="F45:F46"/>
    <mergeCell ref="G49:G50"/>
    <mergeCell ref="H49:H50"/>
    <mergeCell ref="A51:A52"/>
    <mergeCell ref="B51:B52"/>
    <mergeCell ref="C51:C52"/>
    <mergeCell ref="D51:D52"/>
    <mergeCell ref="E51:E52"/>
    <mergeCell ref="F51:F52"/>
    <mergeCell ref="G51:G52"/>
    <mergeCell ref="H51:H52"/>
    <mergeCell ref="A49:A50"/>
    <mergeCell ref="B49:B50"/>
    <mergeCell ref="C49:C50"/>
    <mergeCell ref="D49:D50"/>
    <mergeCell ref="E49:E50"/>
    <mergeCell ref="F49:F50"/>
    <mergeCell ref="G53:G54"/>
    <mergeCell ref="H53:H54"/>
    <mergeCell ref="A55:A56"/>
    <mergeCell ref="B55:B56"/>
    <mergeCell ref="C55:C56"/>
    <mergeCell ref="D55:D56"/>
    <mergeCell ref="E55:E56"/>
    <mergeCell ref="F55:F56"/>
    <mergeCell ref="G55:G56"/>
    <mergeCell ref="H55:H56"/>
    <mergeCell ref="A53:A54"/>
    <mergeCell ref="B53:B54"/>
    <mergeCell ref="C53:C54"/>
    <mergeCell ref="D53:D54"/>
    <mergeCell ref="E53:E54"/>
    <mergeCell ref="F53:F54"/>
    <mergeCell ref="G57:G58"/>
    <mergeCell ref="H57:H58"/>
    <mergeCell ref="A59:A60"/>
    <mergeCell ref="B59:B60"/>
    <mergeCell ref="C59:C60"/>
    <mergeCell ref="D59:D60"/>
    <mergeCell ref="E59:E60"/>
    <mergeCell ref="F59:F60"/>
    <mergeCell ref="G59:G60"/>
    <mergeCell ref="H59:H60"/>
    <mergeCell ref="A57:A58"/>
    <mergeCell ref="B57:B58"/>
    <mergeCell ref="C57:C58"/>
    <mergeCell ref="D57:D58"/>
    <mergeCell ref="E57:E58"/>
    <mergeCell ref="F57:F58"/>
    <mergeCell ref="G61:G62"/>
    <mergeCell ref="H61:H62"/>
    <mergeCell ref="A63:A64"/>
    <mergeCell ref="B63:B64"/>
    <mergeCell ref="C63:C64"/>
    <mergeCell ref="D63:D64"/>
    <mergeCell ref="E63:E64"/>
    <mergeCell ref="F63:F64"/>
    <mergeCell ref="G63:G64"/>
    <mergeCell ref="H63:H64"/>
    <mergeCell ref="A61:A62"/>
    <mergeCell ref="B61:B62"/>
    <mergeCell ref="C61:C62"/>
    <mergeCell ref="D61:D62"/>
    <mergeCell ref="E61:E62"/>
    <mergeCell ref="F61:F62"/>
    <mergeCell ref="G65:G66"/>
    <mergeCell ref="H65:H66"/>
    <mergeCell ref="A67:A68"/>
    <mergeCell ref="B67:B68"/>
    <mergeCell ref="C67:C68"/>
    <mergeCell ref="D67:D68"/>
    <mergeCell ref="E67:E68"/>
    <mergeCell ref="F67:F68"/>
    <mergeCell ref="G67:G68"/>
    <mergeCell ref="H67:H68"/>
    <mergeCell ref="A65:A66"/>
    <mergeCell ref="B65:B66"/>
    <mergeCell ref="C65:C66"/>
    <mergeCell ref="D65:D66"/>
    <mergeCell ref="E65:E66"/>
    <mergeCell ref="F65:F66"/>
    <mergeCell ref="G69:G70"/>
    <mergeCell ref="H69:H70"/>
    <mergeCell ref="A71:A72"/>
    <mergeCell ref="B71:B72"/>
    <mergeCell ref="C71:C72"/>
    <mergeCell ref="D71:D72"/>
    <mergeCell ref="E71:E72"/>
    <mergeCell ref="F71:F72"/>
    <mergeCell ref="G71:G72"/>
    <mergeCell ref="H71:H72"/>
    <mergeCell ref="A69:A70"/>
    <mergeCell ref="B69:B70"/>
    <mergeCell ref="C69:C70"/>
    <mergeCell ref="D69:D70"/>
    <mergeCell ref="E69:E70"/>
    <mergeCell ref="F69:F70"/>
    <mergeCell ref="G73:G74"/>
    <mergeCell ref="H73:H74"/>
    <mergeCell ref="A75:A76"/>
    <mergeCell ref="B75:B76"/>
    <mergeCell ref="C75:C76"/>
    <mergeCell ref="D75:D76"/>
    <mergeCell ref="E75:E76"/>
    <mergeCell ref="F75:F76"/>
    <mergeCell ref="G75:G76"/>
    <mergeCell ref="H75:H76"/>
    <mergeCell ref="A73:A74"/>
    <mergeCell ref="B73:B74"/>
    <mergeCell ref="C73:C74"/>
    <mergeCell ref="D73:D74"/>
    <mergeCell ref="E73:E74"/>
    <mergeCell ref="F73:F74"/>
    <mergeCell ref="A82:D82"/>
    <mergeCell ref="E84:H84"/>
    <mergeCell ref="I84:L84"/>
    <mergeCell ref="M84:P84"/>
    <mergeCell ref="E95:H95"/>
    <mergeCell ref="I95:L95"/>
    <mergeCell ref="M95:P95"/>
    <mergeCell ref="E96:H96"/>
    <mergeCell ref="G77:G78"/>
    <mergeCell ref="H77:H78"/>
    <mergeCell ref="A77:A78"/>
    <mergeCell ref="B77:B78"/>
    <mergeCell ref="C77:C78"/>
    <mergeCell ref="D77:D78"/>
    <mergeCell ref="E77:E78"/>
    <mergeCell ref="F77:F78"/>
    <mergeCell ref="BY84:CB84"/>
    <mergeCell ref="CC84:CF84"/>
    <mergeCell ref="CG84:CJ84"/>
    <mergeCell ref="AO84:AR84"/>
    <mergeCell ref="AS84:AV84"/>
    <mergeCell ref="AW84:AZ84"/>
    <mergeCell ref="BA84:BD84"/>
    <mergeCell ref="BE84:BH84"/>
    <mergeCell ref="BI84:BL84"/>
    <mergeCell ref="Q95:T95"/>
    <mergeCell ref="U95:X95"/>
    <mergeCell ref="Y95:AB95"/>
    <mergeCell ref="AC95:AF95"/>
    <mergeCell ref="AG95:AJ95"/>
    <mergeCell ref="AK95:AN95"/>
    <mergeCell ref="BM84:BP84"/>
    <mergeCell ref="BQ84:BT84"/>
    <mergeCell ref="BU84:BX84"/>
    <mergeCell ref="Q84:T84"/>
    <mergeCell ref="U84:X84"/>
    <mergeCell ref="Y84:AB84"/>
    <mergeCell ref="AC84:AF84"/>
    <mergeCell ref="AG84:AJ84"/>
    <mergeCell ref="AK84:AN84"/>
    <mergeCell ref="BY95:CB95"/>
    <mergeCell ref="CC95:CF95"/>
    <mergeCell ref="CC96:CF96"/>
    <mergeCell ref="CG95:CJ95"/>
    <mergeCell ref="AO95:AR95"/>
    <mergeCell ref="AS95:AV95"/>
    <mergeCell ref="AW95:AZ95"/>
    <mergeCell ref="BA95:BD95"/>
    <mergeCell ref="BE95:BH95"/>
    <mergeCell ref="BI95:BL95"/>
    <mergeCell ref="E98:H98"/>
    <mergeCell ref="I98:L98"/>
    <mergeCell ref="M98:P98"/>
    <mergeCell ref="Q98:T98"/>
    <mergeCell ref="U98:X98"/>
    <mergeCell ref="Y98:AB98"/>
    <mergeCell ref="AC98:AF98"/>
    <mergeCell ref="AG98:AJ98"/>
    <mergeCell ref="BE96:BH96"/>
    <mergeCell ref="AG96:AJ96"/>
    <mergeCell ref="AK96:AN96"/>
    <mergeCell ref="AO96:AR96"/>
    <mergeCell ref="AS96:AV96"/>
    <mergeCell ref="AW96:AZ96"/>
    <mergeCell ref="BA96:BD96"/>
    <mergeCell ref="I96:L96"/>
    <mergeCell ref="M96:P96"/>
    <mergeCell ref="Q96:T96"/>
    <mergeCell ref="U96:X96"/>
    <mergeCell ref="Y96:AB96"/>
    <mergeCell ref="AC96:AF96"/>
    <mergeCell ref="DU1:DU2"/>
    <mergeCell ref="DV1:DV2"/>
    <mergeCell ref="BI98:BL98"/>
    <mergeCell ref="BM98:BP98"/>
    <mergeCell ref="BQ98:BT98"/>
    <mergeCell ref="BU98:BX98"/>
    <mergeCell ref="BY98:CB98"/>
    <mergeCell ref="CC98:CF98"/>
    <mergeCell ref="AK98:AN98"/>
    <mergeCell ref="AO98:AR98"/>
    <mergeCell ref="AS98:AV98"/>
    <mergeCell ref="AW98:AZ98"/>
    <mergeCell ref="BA98:BD98"/>
    <mergeCell ref="BE98:BH98"/>
    <mergeCell ref="CG96:CJ96"/>
    <mergeCell ref="BI96:BL96"/>
    <mergeCell ref="BM96:BP96"/>
    <mergeCell ref="BQ96:BT96"/>
    <mergeCell ref="BU96:BX96"/>
    <mergeCell ref="BY96:CB96"/>
    <mergeCell ref="CG98:CJ98"/>
    <mergeCell ref="BM95:BP95"/>
    <mergeCell ref="BQ95:BT95"/>
    <mergeCell ref="BU95:BX95"/>
    <mergeCell ref="DL1:DL2"/>
    <mergeCell ref="DM1:DM2"/>
    <mergeCell ref="DN1:DN2"/>
    <mergeCell ref="DO1:DO2"/>
    <mergeCell ref="DP1:DP2"/>
    <mergeCell ref="DQ1:DQ2"/>
    <mergeCell ref="DR1:DR2"/>
    <mergeCell ref="DS1:DS2"/>
    <mergeCell ref="DT1:DT2"/>
    <mergeCell ref="DC1:DC2"/>
    <mergeCell ref="DD1:DD2"/>
    <mergeCell ref="DE1:DE2"/>
    <mergeCell ref="DF1:DF2"/>
    <mergeCell ref="DG1:DG2"/>
    <mergeCell ref="DH1:DH2"/>
    <mergeCell ref="DI1:DI2"/>
    <mergeCell ref="DJ1:DJ2"/>
    <mergeCell ref="DK1:DK2"/>
    <mergeCell ref="DX1:DX2"/>
    <mergeCell ref="DY1:DY2"/>
    <mergeCell ref="DZ1:DZ2"/>
    <mergeCell ref="EA1:EA2"/>
    <mergeCell ref="EB1:EB2"/>
    <mergeCell ref="EC1:EC2"/>
    <mergeCell ref="ED1:ED2"/>
    <mergeCell ref="EE1:EE2"/>
    <mergeCell ref="ES1:ES2"/>
    <mergeCell ref="EQ1:EQ2"/>
    <mergeCell ref="ER1:ER2"/>
    <mergeCell ref="DY95:EB95"/>
    <mergeCell ref="EC95:EF95"/>
    <mergeCell ref="EO1:EO2"/>
    <mergeCell ref="EP1:EP2"/>
    <mergeCell ref="CW84:CZ84"/>
    <mergeCell ref="DA84:DD84"/>
    <mergeCell ref="DE84:DH84"/>
    <mergeCell ref="DI84:DL84"/>
    <mergeCell ref="DM84:DP84"/>
    <mergeCell ref="DQ84:DT84"/>
    <mergeCell ref="DU84:DX84"/>
    <mergeCell ref="DY84:EB84"/>
    <mergeCell ref="EC84:EF84"/>
    <mergeCell ref="EG84:EJ84"/>
    <mergeCell ref="EF1:EF2"/>
    <mergeCell ref="EG1:EG2"/>
    <mergeCell ref="EH1:EH2"/>
    <mergeCell ref="EI1:EI2"/>
    <mergeCell ref="EJ1:EJ2"/>
    <mergeCell ref="EK1:EK2"/>
    <mergeCell ref="EL1:EL2"/>
    <mergeCell ref="EM1:EM2"/>
    <mergeCell ref="EN1:EN2"/>
    <mergeCell ref="DW1:DW2"/>
    <mergeCell ref="EG95:EJ95"/>
    <mergeCell ref="EK84:EN84"/>
    <mergeCell ref="EK95:EN95"/>
    <mergeCell ref="EK96:EN96"/>
    <mergeCell ref="CK96:CN96"/>
    <mergeCell ref="CO96:CR96"/>
    <mergeCell ref="CS96:CV96"/>
    <mergeCell ref="CW96:CZ96"/>
    <mergeCell ref="DA96:DD96"/>
    <mergeCell ref="DE96:DH96"/>
    <mergeCell ref="DI96:DL96"/>
    <mergeCell ref="DM96:DP96"/>
    <mergeCell ref="DQ96:DT96"/>
    <mergeCell ref="DU96:DX96"/>
    <mergeCell ref="DY96:EB96"/>
    <mergeCell ref="EC96:EF96"/>
    <mergeCell ref="EG96:EJ96"/>
    <mergeCell ref="CW95:CZ95"/>
    <mergeCell ref="DA95:DD95"/>
    <mergeCell ref="DE95:DH95"/>
    <mergeCell ref="DI95:DL95"/>
    <mergeCell ref="DM95:DP95"/>
    <mergeCell ref="DQ95:DT95"/>
    <mergeCell ref="DU95:DX95"/>
    <mergeCell ref="DU98:DX98"/>
    <mergeCell ref="DY98:EB98"/>
    <mergeCell ref="EC98:EF98"/>
    <mergeCell ref="EG98:EJ98"/>
    <mergeCell ref="EK98:EN98"/>
    <mergeCell ref="CK98:CN98"/>
    <mergeCell ref="CO98:CR98"/>
    <mergeCell ref="CS98:CV98"/>
    <mergeCell ref="CW98:CZ98"/>
    <mergeCell ref="DA98:DD98"/>
    <mergeCell ref="DE98:DH98"/>
    <mergeCell ref="DI98:DL98"/>
    <mergeCell ref="DM98:DP98"/>
    <mergeCell ref="DQ98:DT98"/>
  </mergeCells>
  <phoneticPr fontId="3" type="noConversion"/>
  <pageMargins left="0.7" right="0.7" top="0.75" bottom="0.75" header="0.3" footer="0.3"/>
  <pageSetup paperSize="9" orientation="portrait" verticalDpi="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T823"/>
  <sheetViews>
    <sheetView workbookViewId="0">
      <pane xSplit="4" ySplit="20" topLeftCell="CV396" activePane="bottomRight" state="frozen"/>
      <selection pane="topRight" activeCell="E1" sqref="E1"/>
      <selection pane="bottomLeft" activeCell="A21" sqref="A21"/>
      <selection pane="bottomRight" activeCell="CW413" sqref="CW413:CZ413"/>
    </sheetView>
  </sheetViews>
  <sheetFormatPr defaultColWidth="9" defaultRowHeight="13.5" outlineLevelCol="1"/>
  <cols>
    <col min="1" max="1" width="5" style="101" customWidth="1"/>
    <col min="2" max="2" width="18.625" style="102" customWidth="1"/>
    <col min="3" max="3" width="32.125" style="1" customWidth="1"/>
    <col min="4" max="4" width="17" style="103" customWidth="1"/>
    <col min="5" max="5" width="10.5" style="104" customWidth="1" outlineLevel="1"/>
    <col min="6" max="6" width="9.75" style="105" customWidth="1"/>
    <col min="7" max="7" width="10.25" style="106" customWidth="1"/>
    <col min="8" max="8" width="13.375" style="40" customWidth="1"/>
    <col min="9" max="9" width="12.5" style="105" customWidth="1"/>
    <col min="10" max="10" width="12.5" style="52" customWidth="1"/>
    <col min="11" max="105" width="12.5" style="40" customWidth="1"/>
    <col min="106" max="106" width="12.375" style="40" customWidth="1"/>
    <col min="107" max="107" width="13.25" style="40" customWidth="1"/>
    <col min="108" max="109" width="12.5" style="40" customWidth="1"/>
    <col min="110" max="110" width="17.75" style="67" customWidth="1"/>
    <col min="111" max="111" width="24" style="58" customWidth="1"/>
    <col min="112" max="112" width="9" style="58" customWidth="1"/>
    <col min="113" max="113" width="11.75" style="58" customWidth="1"/>
    <col min="114" max="114" width="8.875" style="58" customWidth="1"/>
    <col min="115" max="115" width="12.375" style="58" customWidth="1"/>
    <col min="116" max="116" width="13" style="58" customWidth="1"/>
    <col min="117" max="117" width="12.375" style="58" customWidth="1"/>
    <col min="118" max="118" width="12.25" style="58" customWidth="1"/>
    <col min="119" max="119" width="12.125" style="58" customWidth="1"/>
    <col min="120" max="120" width="11.625" style="58" customWidth="1"/>
    <col min="121" max="121" width="12" style="58" customWidth="1"/>
    <col min="122" max="122" width="13" style="58" customWidth="1"/>
    <col min="123" max="123" width="11.625" style="58" customWidth="1"/>
    <col min="124" max="125" width="12" style="58" customWidth="1"/>
    <col min="126" max="128" width="11.625" style="58" customWidth="1"/>
    <col min="129" max="129" width="11.125" style="58" customWidth="1"/>
    <col min="130" max="130" width="12" style="58" customWidth="1"/>
    <col min="131" max="131" width="13" style="58" customWidth="1"/>
    <col min="132" max="132" width="13.625" style="58" customWidth="1"/>
    <col min="133" max="133" width="11.875" style="58" customWidth="1"/>
    <col min="134" max="135" width="11.625" style="58" customWidth="1"/>
    <col min="136" max="136" width="12" style="58" customWidth="1"/>
    <col min="137" max="137" width="12.75" style="58" customWidth="1"/>
    <col min="138" max="138" width="11.625" style="58" customWidth="1"/>
    <col min="139" max="139" width="12.125" style="58" customWidth="1"/>
    <col min="140" max="141" width="11.625" style="58" customWidth="1"/>
    <col min="142" max="142" width="12.5" style="58" customWidth="1"/>
    <col min="143" max="317" width="11.625" style="58" customWidth="1"/>
    <col min="318" max="318" width="17.75" style="58" customWidth="1"/>
    <col min="319" max="320" width="9" style="58" customWidth="1"/>
    <col min="321" max="321" width="16.25" style="58" customWidth="1"/>
    <col min="322" max="322" width="24" style="58" customWidth="1"/>
    <col min="323" max="323" width="9" style="58"/>
    <col min="324" max="324" width="11.75" style="58" customWidth="1"/>
    <col min="325" max="325" width="8.875" style="58" customWidth="1"/>
    <col min="326" max="326" width="17.375" style="58" customWidth="1"/>
    <col min="327" max="327" width="13.25" style="58" customWidth="1"/>
    <col min="328" max="328" width="25.75" style="58" customWidth="1"/>
    <col min="329" max="329" width="11.125" style="58" customWidth="1"/>
    <col min="330" max="330" width="10.75" style="58" customWidth="1"/>
    <col min="331" max="331" width="9" style="58" customWidth="1"/>
    <col min="332" max="332" width="9.75" style="58" customWidth="1"/>
    <col min="333" max="333" width="7.5" style="58" customWidth="1"/>
    <col min="334" max="334" width="13.25" style="58" customWidth="1"/>
    <col min="335" max="335" width="11.75" style="58" customWidth="1"/>
    <col min="336" max="336" width="8.875" style="58" customWidth="1"/>
    <col min="337" max="337" width="9.625" style="58" customWidth="1"/>
    <col min="338" max="339" width="11.875" style="58" customWidth="1"/>
    <col min="340" max="340" width="11.5" style="58" customWidth="1"/>
    <col min="341" max="356" width="12.25" style="58" customWidth="1"/>
    <col min="357" max="357" width="13" style="58" customWidth="1"/>
    <col min="358" max="362" width="12.375" style="58" customWidth="1"/>
    <col min="363" max="363" width="13" style="58" customWidth="1"/>
    <col min="364" max="365" width="12.375" style="58" customWidth="1"/>
    <col min="366" max="366" width="13" style="58" customWidth="1"/>
    <col min="367" max="367" width="13.125" style="58" customWidth="1"/>
    <col min="368" max="368" width="13" style="58" customWidth="1"/>
    <col min="369" max="369" width="13.125" style="58" customWidth="1"/>
    <col min="370" max="371" width="12.375" style="58" customWidth="1"/>
    <col min="372" max="372" width="13" style="58" customWidth="1"/>
    <col min="373" max="373" width="12.375" style="58" customWidth="1"/>
    <col min="374" max="374" width="12.25" style="58" customWidth="1"/>
    <col min="375" max="375" width="12.125" style="58" customWidth="1"/>
    <col min="376" max="376" width="11.625" style="58" customWidth="1"/>
    <col min="377" max="377" width="12" style="58" customWidth="1"/>
    <col min="378" max="378" width="13" style="58" customWidth="1"/>
    <col min="379" max="379" width="11.625" style="58" customWidth="1"/>
    <col min="380" max="381" width="12" style="58" customWidth="1"/>
    <col min="382" max="384" width="11.625" style="58" customWidth="1"/>
    <col min="385" max="385" width="11.125" style="58" customWidth="1"/>
    <col min="386" max="386" width="12" style="58" customWidth="1"/>
    <col min="387" max="387" width="13" style="58" customWidth="1"/>
    <col min="388" max="388" width="13.625" style="58" customWidth="1"/>
    <col min="389" max="389" width="11.875" style="58" customWidth="1"/>
    <col min="390" max="391" width="11.625" style="58" customWidth="1"/>
    <col min="392" max="392" width="12" style="58" customWidth="1"/>
    <col min="393" max="393" width="12.75" style="58" customWidth="1"/>
    <col min="394" max="394" width="11.625" style="58" customWidth="1"/>
    <col min="395" max="395" width="12.125" style="58" customWidth="1"/>
    <col min="396" max="397" width="11.625" style="58" customWidth="1"/>
    <col min="398" max="398" width="12.5" style="58" customWidth="1"/>
    <col min="399" max="573" width="11.625" style="58" customWidth="1"/>
    <col min="574" max="574" width="17.75" style="58" customWidth="1"/>
    <col min="575" max="576" width="9" style="58" customWidth="1"/>
    <col min="577" max="577" width="16.25" style="58" customWidth="1"/>
    <col min="578" max="578" width="24" style="58" customWidth="1"/>
    <col min="579" max="579" width="9" style="58"/>
    <col min="580" max="580" width="11.75" style="58" customWidth="1"/>
    <col min="581" max="581" width="8.875" style="58" customWidth="1"/>
    <col min="582" max="582" width="17.375" style="58" customWidth="1"/>
    <col min="583" max="583" width="13.25" style="58" customWidth="1"/>
    <col min="584" max="584" width="25.75" style="58" customWidth="1"/>
    <col min="585" max="585" width="11.125" style="58" customWidth="1"/>
    <col min="586" max="586" width="10.75" style="58" customWidth="1"/>
    <col min="587" max="587" width="9" style="58" customWidth="1"/>
    <col min="588" max="588" width="9.75" style="58" customWidth="1"/>
    <col min="589" max="589" width="7.5" style="58" customWidth="1"/>
    <col min="590" max="590" width="13.25" style="58" customWidth="1"/>
    <col min="591" max="591" width="11.75" style="58" customWidth="1"/>
    <col min="592" max="592" width="8.875" style="58" customWidth="1"/>
    <col min="593" max="593" width="9.625" style="58" customWidth="1"/>
    <col min="594" max="595" width="11.875" style="58" customWidth="1"/>
    <col min="596" max="596" width="11.5" style="58" customWidth="1"/>
    <col min="597" max="612" width="12.25" style="58" customWidth="1"/>
    <col min="613" max="613" width="13" style="58" customWidth="1"/>
    <col min="614" max="618" width="12.375" style="58" customWidth="1"/>
    <col min="619" max="619" width="13" style="58" customWidth="1"/>
    <col min="620" max="621" width="12.375" style="58" customWidth="1"/>
    <col min="622" max="622" width="13" style="58" customWidth="1"/>
    <col min="623" max="623" width="13.125" style="58" customWidth="1"/>
    <col min="624" max="624" width="13" style="58" customWidth="1"/>
    <col min="625" max="625" width="13.125" style="58" customWidth="1"/>
    <col min="626" max="627" width="12.375" style="58" customWidth="1"/>
    <col min="628" max="628" width="13" style="58" customWidth="1"/>
    <col min="629" max="629" width="12.375" style="58" customWidth="1"/>
    <col min="630" max="630" width="12.25" style="58" customWidth="1"/>
    <col min="631" max="631" width="12.125" style="58" customWidth="1"/>
    <col min="632" max="632" width="11.625" style="58" customWidth="1"/>
    <col min="633" max="633" width="12" style="58" customWidth="1"/>
    <col min="634" max="634" width="13" style="58" customWidth="1"/>
    <col min="635" max="635" width="11.625" style="58" customWidth="1"/>
    <col min="636" max="637" width="12" style="58" customWidth="1"/>
    <col min="638" max="640" width="11.625" style="58" customWidth="1"/>
    <col min="641" max="641" width="11.125" style="58" customWidth="1"/>
    <col min="642" max="642" width="12" style="58" customWidth="1"/>
    <col min="643" max="643" width="13" style="58" customWidth="1"/>
    <col min="644" max="644" width="13.625" style="58" customWidth="1"/>
    <col min="645" max="645" width="11.875" style="58" customWidth="1"/>
    <col min="646" max="647" width="11.625" style="58" customWidth="1"/>
    <col min="648" max="648" width="12" style="58" customWidth="1"/>
    <col min="649" max="649" width="12.75" style="58" customWidth="1"/>
    <col min="650" max="650" width="11.625" style="58" customWidth="1"/>
    <col min="651" max="651" width="12.125" style="58" customWidth="1"/>
    <col min="652" max="653" width="11.625" style="58" customWidth="1"/>
    <col min="654" max="654" width="12.5" style="58" customWidth="1"/>
    <col min="655" max="829" width="11.625" style="58" customWidth="1"/>
    <col min="830" max="830" width="17.75" style="58" customWidth="1"/>
    <col min="831" max="832" width="9" style="58" customWidth="1"/>
    <col min="833" max="833" width="16.25" style="58" customWidth="1"/>
    <col min="834" max="834" width="24" style="58" customWidth="1"/>
    <col min="835" max="835" width="9" style="58"/>
    <col min="836" max="836" width="11.75" style="58" customWidth="1"/>
    <col min="837" max="837" width="8.875" style="58" customWidth="1"/>
    <col min="838" max="838" width="17.375" style="58" customWidth="1"/>
    <col min="839" max="839" width="13.25" style="58" customWidth="1"/>
    <col min="840" max="840" width="25.75" style="58" customWidth="1"/>
    <col min="841" max="841" width="11.125" style="58" customWidth="1"/>
    <col min="842" max="842" width="10.75" style="58" customWidth="1"/>
    <col min="843" max="843" width="9" style="58" customWidth="1"/>
    <col min="844" max="844" width="9.75" style="58" customWidth="1"/>
    <col min="845" max="845" width="7.5" style="58" customWidth="1"/>
    <col min="846" max="846" width="13.25" style="58" customWidth="1"/>
    <col min="847" max="847" width="11.75" style="58" customWidth="1"/>
    <col min="848" max="848" width="8.875" style="58" customWidth="1"/>
    <col min="849" max="849" width="9.625" style="58" customWidth="1"/>
    <col min="850" max="851" width="11.875" style="58" customWidth="1"/>
    <col min="852" max="852" width="11.5" style="58" customWidth="1"/>
    <col min="853" max="868" width="12.25" style="58" customWidth="1"/>
    <col min="869" max="869" width="13" style="58" customWidth="1"/>
    <col min="870" max="874" width="12.375" style="58" customWidth="1"/>
    <col min="875" max="875" width="13" style="58" customWidth="1"/>
    <col min="876" max="877" width="12.375" style="58" customWidth="1"/>
    <col min="878" max="878" width="13" style="58" customWidth="1"/>
    <col min="879" max="879" width="13.125" style="58" customWidth="1"/>
    <col min="880" max="880" width="13" style="58" customWidth="1"/>
    <col min="881" max="881" width="13.125" style="58" customWidth="1"/>
    <col min="882" max="883" width="12.375" style="58" customWidth="1"/>
    <col min="884" max="884" width="13" style="58" customWidth="1"/>
    <col min="885" max="885" width="12.375" style="58" customWidth="1"/>
    <col min="886" max="886" width="12.25" style="58" customWidth="1"/>
    <col min="887" max="887" width="12.125" style="58" customWidth="1"/>
    <col min="888" max="888" width="11.625" style="58" customWidth="1"/>
    <col min="889" max="889" width="12" style="58" customWidth="1"/>
    <col min="890" max="890" width="13" style="58" customWidth="1"/>
    <col min="891" max="891" width="11.625" style="58" customWidth="1"/>
    <col min="892" max="893" width="12" style="58" customWidth="1"/>
    <col min="894" max="896" width="11.625" style="58" customWidth="1"/>
    <col min="897" max="897" width="11.125" style="58" customWidth="1"/>
    <col min="898" max="898" width="12" style="58" customWidth="1"/>
    <col min="899" max="899" width="13" style="58" customWidth="1"/>
    <col min="900" max="900" width="13.625" style="58" customWidth="1"/>
    <col min="901" max="901" width="11.875" style="58" customWidth="1"/>
    <col min="902" max="903" width="11.625" style="58" customWidth="1"/>
    <col min="904" max="904" width="12" style="58" customWidth="1"/>
    <col min="905" max="905" width="12.75" style="58" customWidth="1"/>
    <col min="906" max="906" width="11.625" style="58" customWidth="1"/>
    <col min="907" max="907" width="12.125" style="58" customWidth="1"/>
    <col min="908" max="909" width="11.625" style="58" customWidth="1"/>
    <col min="910" max="910" width="12.5" style="58" customWidth="1"/>
    <col min="911" max="1085" width="11.625" style="58" customWidth="1"/>
    <col min="1086" max="1086" width="17.75" style="58" customWidth="1"/>
    <col min="1087" max="1088" width="9" style="58" customWidth="1"/>
    <col min="1089" max="1089" width="16.25" style="58" customWidth="1"/>
    <col min="1090" max="1090" width="24" style="58" customWidth="1"/>
    <col min="1091" max="1091" width="9" style="58"/>
    <col min="1092" max="1092" width="11.75" style="58" customWidth="1"/>
    <col min="1093" max="1093" width="8.875" style="58" customWidth="1"/>
    <col min="1094" max="1094" width="17.375" style="58" customWidth="1"/>
    <col min="1095" max="1095" width="13.25" style="58" customWidth="1"/>
    <col min="1096" max="1096" width="25.75" style="58" customWidth="1"/>
    <col min="1097" max="1097" width="11.125" style="58" customWidth="1"/>
    <col min="1098" max="1098" width="10.75" style="58" customWidth="1"/>
    <col min="1099" max="1099" width="9" style="58" customWidth="1"/>
    <col min="1100" max="1100" width="9.75" style="58" customWidth="1"/>
    <col min="1101" max="1101" width="7.5" style="58" customWidth="1"/>
    <col min="1102" max="1102" width="13.25" style="58" customWidth="1"/>
    <col min="1103" max="1103" width="11.75" style="58" customWidth="1"/>
    <col min="1104" max="1104" width="8.875" style="58" customWidth="1"/>
    <col min="1105" max="1105" width="9.625" style="58" customWidth="1"/>
    <col min="1106" max="1107" width="11.875" style="58" customWidth="1"/>
    <col min="1108" max="1108" width="11.5" style="58" customWidth="1"/>
    <col min="1109" max="1124" width="12.25" style="58" customWidth="1"/>
    <col min="1125" max="1125" width="13" style="58" customWidth="1"/>
    <col min="1126" max="1130" width="12.375" style="58" customWidth="1"/>
    <col min="1131" max="1131" width="13" style="58" customWidth="1"/>
    <col min="1132" max="1133" width="12.375" style="58" customWidth="1"/>
    <col min="1134" max="1134" width="13" style="58" customWidth="1"/>
    <col min="1135" max="1135" width="13.125" style="58" customWidth="1"/>
    <col min="1136" max="1136" width="13" style="58" customWidth="1"/>
    <col min="1137" max="1137" width="13.125" style="58" customWidth="1"/>
    <col min="1138" max="1139" width="12.375" style="58" customWidth="1"/>
    <col min="1140" max="1140" width="13" style="58" customWidth="1"/>
    <col min="1141" max="1141" width="12.375" style="58" customWidth="1"/>
    <col min="1142" max="1142" width="12.25" style="58" customWidth="1"/>
    <col min="1143" max="1143" width="12.125" style="58" customWidth="1"/>
    <col min="1144" max="1144" width="11.625" style="58" customWidth="1"/>
    <col min="1145" max="1145" width="12" style="58" customWidth="1"/>
    <col min="1146" max="1146" width="13" style="58" customWidth="1"/>
    <col min="1147" max="1147" width="11.625" style="58" customWidth="1"/>
    <col min="1148" max="1149" width="12" style="58" customWidth="1"/>
    <col min="1150" max="1152" width="11.625" style="58" customWidth="1"/>
    <col min="1153" max="1153" width="11.125" style="58" customWidth="1"/>
    <col min="1154" max="1154" width="12" style="58" customWidth="1"/>
    <col min="1155" max="1155" width="13" style="58" customWidth="1"/>
    <col min="1156" max="1156" width="13.625" style="58" customWidth="1"/>
    <col min="1157" max="1157" width="11.875" style="58" customWidth="1"/>
    <col min="1158" max="1159" width="11.625" style="58" customWidth="1"/>
    <col min="1160" max="1160" width="12" style="58" customWidth="1"/>
    <col min="1161" max="1161" width="12.75" style="58" customWidth="1"/>
    <col min="1162" max="1162" width="11.625" style="58" customWidth="1"/>
    <col min="1163" max="1163" width="12.125" style="58" customWidth="1"/>
    <col min="1164" max="1165" width="11.625" style="58" customWidth="1"/>
    <col min="1166" max="1166" width="12.5" style="58" customWidth="1"/>
    <col min="1167" max="1341" width="11.625" style="58" customWidth="1"/>
    <col min="1342" max="1342" width="17.75" style="58" customWidth="1"/>
    <col min="1343" max="1344" width="9" style="58" customWidth="1"/>
    <col min="1345" max="1345" width="16.25" style="58" customWidth="1"/>
    <col min="1346" max="1346" width="24" style="58" customWidth="1"/>
    <col min="1347" max="1347" width="9" style="58"/>
    <col min="1348" max="1348" width="11.75" style="58" customWidth="1"/>
    <col min="1349" max="1349" width="8.875" style="58" customWidth="1"/>
    <col min="1350" max="1350" width="17.375" style="58" customWidth="1"/>
    <col min="1351" max="1351" width="13.25" style="58" customWidth="1"/>
    <col min="1352" max="1352" width="25.75" style="58" customWidth="1"/>
    <col min="1353" max="1353" width="11.125" style="58" customWidth="1"/>
    <col min="1354" max="1354" width="10.75" style="58" customWidth="1"/>
    <col min="1355" max="1355" width="9" style="58" customWidth="1"/>
    <col min="1356" max="1356" width="9.75" style="58" customWidth="1"/>
    <col min="1357" max="1357" width="7.5" style="58" customWidth="1"/>
    <col min="1358" max="1358" width="13.25" style="58" customWidth="1"/>
    <col min="1359" max="1359" width="11.75" style="58" customWidth="1"/>
    <col min="1360" max="1360" width="8.875" style="58" customWidth="1"/>
    <col min="1361" max="1361" width="9.625" style="58" customWidth="1"/>
    <col min="1362" max="1363" width="11.875" style="58" customWidth="1"/>
    <col min="1364" max="1364" width="11.5" style="58" customWidth="1"/>
    <col min="1365" max="1380" width="12.25" style="58" customWidth="1"/>
    <col min="1381" max="1381" width="13" style="58" customWidth="1"/>
    <col min="1382" max="1386" width="12.375" style="58" customWidth="1"/>
    <col min="1387" max="1387" width="13" style="58" customWidth="1"/>
    <col min="1388" max="1389" width="12.375" style="58" customWidth="1"/>
    <col min="1390" max="1390" width="13" style="58" customWidth="1"/>
    <col min="1391" max="1391" width="13.125" style="58" customWidth="1"/>
    <col min="1392" max="1392" width="13" style="58" customWidth="1"/>
    <col min="1393" max="1393" width="13.125" style="58" customWidth="1"/>
    <col min="1394" max="1395" width="12.375" style="58" customWidth="1"/>
    <col min="1396" max="1396" width="13" style="58" customWidth="1"/>
    <col min="1397" max="1397" width="12.375" style="58" customWidth="1"/>
    <col min="1398" max="1398" width="12.25" style="58" customWidth="1"/>
    <col min="1399" max="1399" width="12.125" style="58" customWidth="1"/>
    <col min="1400" max="1400" width="11.625" style="58" customWidth="1"/>
    <col min="1401" max="1401" width="12" style="58" customWidth="1"/>
    <col min="1402" max="1402" width="13" style="58" customWidth="1"/>
    <col min="1403" max="1403" width="11.625" style="58" customWidth="1"/>
    <col min="1404" max="1405" width="12" style="58" customWidth="1"/>
    <col min="1406" max="1408" width="11.625" style="58" customWidth="1"/>
    <col min="1409" max="1409" width="11.125" style="58" customWidth="1"/>
    <col min="1410" max="1410" width="12" style="58" customWidth="1"/>
    <col min="1411" max="1411" width="13" style="58" customWidth="1"/>
    <col min="1412" max="1412" width="13.625" style="58" customWidth="1"/>
    <col min="1413" max="1413" width="11.875" style="58" customWidth="1"/>
    <col min="1414" max="1415" width="11.625" style="58" customWidth="1"/>
    <col min="1416" max="1416" width="12" style="58" customWidth="1"/>
    <col min="1417" max="1417" width="12.75" style="58" customWidth="1"/>
    <col min="1418" max="1418" width="11.625" style="58" customWidth="1"/>
    <col min="1419" max="1419" width="12.125" style="58" customWidth="1"/>
    <col min="1420" max="1421" width="11.625" style="58" customWidth="1"/>
    <col min="1422" max="1422" width="12.5" style="58" customWidth="1"/>
    <col min="1423" max="1597" width="11.625" style="58" customWidth="1"/>
    <col min="1598" max="1598" width="17.75" style="58" customWidth="1"/>
    <col min="1599" max="1600" width="9" style="58" customWidth="1"/>
    <col min="1601" max="1601" width="16.25" style="58" customWidth="1"/>
    <col min="1602" max="1602" width="24" style="58" customWidth="1"/>
    <col min="1603" max="1603" width="9" style="58"/>
    <col min="1604" max="1604" width="11.75" style="58" customWidth="1"/>
    <col min="1605" max="1605" width="8.875" style="58" customWidth="1"/>
    <col min="1606" max="1606" width="17.375" style="58" customWidth="1"/>
    <col min="1607" max="1607" width="13.25" style="58" customWidth="1"/>
    <col min="1608" max="1608" width="25.75" style="58" customWidth="1"/>
    <col min="1609" max="1609" width="11.125" style="58" customWidth="1"/>
    <col min="1610" max="1610" width="10.75" style="58" customWidth="1"/>
    <col min="1611" max="1611" width="9" style="58" customWidth="1"/>
    <col min="1612" max="1612" width="9.75" style="58" customWidth="1"/>
    <col min="1613" max="1613" width="7.5" style="58" customWidth="1"/>
    <col min="1614" max="1614" width="13.25" style="58" customWidth="1"/>
    <col min="1615" max="1615" width="11.75" style="58" customWidth="1"/>
    <col min="1616" max="1616" width="8.875" style="58" customWidth="1"/>
    <col min="1617" max="1617" width="9.625" style="58" customWidth="1"/>
    <col min="1618" max="1619" width="11.875" style="58" customWidth="1"/>
    <col min="1620" max="1620" width="11.5" style="58" customWidth="1"/>
    <col min="1621" max="1636" width="12.25" style="58" customWidth="1"/>
    <col min="1637" max="1637" width="13" style="58" customWidth="1"/>
    <col min="1638" max="1642" width="12.375" style="58" customWidth="1"/>
    <col min="1643" max="1643" width="13" style="58" customWidth="1"/>
    <col min="1644" max="1645" width="12.375" style="58" customWidth="1"/>
    <col min="1646" max="1646" width="13" style="58" customWidth="1"/>
    <col min="1647" max="1647" width="13.125" style="58" customWidth="1"/>
    <col min="1648" max="1648" width="13" style="58" customWidth="1"/>
    <col min="1649" max="1649" width="13.125" style="58" customWidth="1"/>
    <col min="1650" max="1651" width="12.375" style="58" customWidth="1"/>
    <col min="1652" max="1652" width="13" style="58" customWidth="1"/>
    <col min="1653" max="1653" width="12.375" style="58" customWidth="1"/>
    <col min="1654" max="1654" width="12.25" style="58" customWidth="1"/>
    <col min="1655" max="1655" width="12.125" style="58" customWidth="1"/>
    <col min="1656" max="1656" width="11.625" style="58" customWidth="1"/>
    <col min="1657" max="1657" width="12" style="58" customWidth="1"/>
    <col min="1658" max="1658" width="13" style="58" customWidth="1"/>
    <col min="1659" max="1659" width="11.625" style="58" customWidth="1"/>
    <col min="1660" max="1661" width="12" style="58" customWidth="1"/>
    <col min="1662" max="1664" width="11.625" style="58" customWidth="1"/>
    <col min="1665" max="1665" width="11.125" style="58" customWidth="1"/>
    <col min="1666" max="1666" width="12" style="58" customWidth="1"/>
    <col min="1667" max="1667" width="13" style="58" customWidth="1"/>
    <col min="1668" max="1668" width="13.625" style="58" customWidth="1"/>
    <col min="1669" max="1669" width="11.875" style="58" customWidth="1"/>
    <col min="1670" max="1671" width="11.625" style="58" customWidth="1"/>
    <col min="1672" max="1672" width="12" style="58" customWidth="1"/>
    <col min="1673" max="1673" width="12.75" style="58" customWidth="1"/>
    <col min="1674" max="1674" width="11.625" style="58" customWidth="1"/>
    <col min="1675" max="1675" width="12.125" style="58" customWidth="1"/>
    <col min="1676" max="1677" width="11.625" style="58" customWidth="1"/>
    <col min="1678" max="1678" width="12.5" style="58" customWidth="1"/>
    <col min="1679" max="1853" width="11.625" style="58" customWidth="1"/>
    <col min="1854" max="1854" width="17.75" style="58" customWidth="1"/>
    <col min="1855" max="1856" width="9" style="58" customWidth="1"/>
    <col min="1857" max="1857" width="16.25" style="58" customWidth="1"/>
    <col min="1858" max="1858" width="24" style="58" customWidth="1"/>
    <col min="1859" max="1859" width="9" style="58"/>
    <col min="1860" max="1860" width="11.75" style="58" customWidth="1"/>
    <col min="1861" max="1861" width="8.875" style="58" customWidth="1"/>
    <col min="1862" max="1862" width="17.375" style="58" customWidth="1"/>
    <col min="1863" max="1863" width="13.25" style="58" customWidth="1"/>
    <col min="1864" max="1864" width="25.75" style="58" customWidth="1"/>
    <col min="1865" max="1865" width="11.125" style="58" customWidth="1"/>
    <col min="1866" max="1866" width="10.75" style="58" customWidth="1"/>
    <col min="1867" max="1867" width="9" style="58" customWidth="1"/>
    <col min="1868" max="1868" width="9.75" style="58" customWidth="1"/>
    <col min="1869" max="1869" width="7.5" style="58" customWidth="1"/>
    <col min="1870" max="1870" width="13.25" style="58" customWidth="1"/>
    <col min="1871" max="1871" width="11.75" style="58" customWidth="1"/>
    <col min="1872" max="1872" width="8.875" style="58" customWidth="1"/>
    <col min="1873" max="1873" width="9.625" style="58" customWidth="1"/>
    <col min="1874" max="1875" width="11.875" style="58" customWidth="1"/>
    <col min="1876" max="1876" width="11.5" style="58" customWidth="1"/>
    <col min="1877" max="1892" width="12.25" style="58" customWidth="1"/>
    <col min="1893" max="1893" width="13" style="58" customWidth="1"/>
    <col min="1894" max="1898" width="12.375" style="58" customWidth="1"/>
    <col min="1899" max="1899" width="13" style="58" customWidth="1"/>
    <col min="1900" max="1901" width="12.375" style="58" customWidth="1"/>
    <col min="1902" max="1902" width="13" style="58" customWidth="1"/>
    <col min="1903" max="1903" width="13.125" style="58" customWidth="1"/>
    <col min="1904" max="1904" width="13" style="58" customWidth="1"/>
    <col min="1905" max="1905" width="13.125" style="58" customWidth="1"/>
    <col min="1906" max="1907" width="12.375" style="58" customWidth="1"/>
    <col min="1908" max="1908" width="13" style="58" customWidth="1"/>
    <col min="1909" max="1909" width="12.375" style="58" customWidth="1"/>
    <col min="1910" max="1910" width="12.25" style="58" customWidth="1"/>
    <col min="1911" max="1911" width="12.125" style="58" customWidth="1"/>
    <col min="1912" max="1912" width="11.625" style="58" customWidth="1"/>
    <col min="1913" max="1913" width="12" style="58" customWidth="1"/>
    <col min="1914" max="1914" width="13" style="58" customWidth="1"/>
    <col min="1915" max="1915" width="11.625" style="58" customWidth="1"/>
    <col min="1916" max="1917" width="12" style="58" customWidth="1"/>
    <col min="1918" max="1920" width="11.625" style="58" customWidth="1"/>
    <col min="1921" max="1921" width="11.125" style="58" customWidth="1"/>
    <col min="1922" max="1922" width="12" style="58" customWidth="1"/>
    <col min="1923" max="1923" width="13" style="58" customWidth="1"/>
    <col min="1924" max="1924" width="13.625" style="58" customWidth="1"/>
    <col min="1925" max="1925" width="11.875" style="58" customWidth="1"/>
    <col min="1926" max="1927" width="11.625" style="58" customWidth="1"/>
    <col min="1928" max="1928" width="12" style="58" customWidth="1"/>
    <col min="1929" max="1929" width="12.75" style="58" customWidth="1"/>
    <col min="1930" max="1930" width="11.625" style="58" customWidth="1"/>
    <col min="1931" max="1931" width="12.125" style="58" customWidth="1"/>
    <col min="1932" max="1933" width="11.625" style="58" customWidth="1"/>
    <col min="1934" max="1934" width="12.5" style="58" customWidth="1"/>
    <col min="1935" max="2109" width="11.625" style="58" customWidth="1"/>
    <col min="2110" max="2110" width="17.75" style="58" customWidth="1"/>
    <col min="2111" max="2112" width="9" style="58" customWidth="1"/>
    <col min="2113" max="2113" width="16.25" style="58" customWidth="1"/>
    <col min="2114" max="2114" width="24" style="58" customWidth="1"/>
    <col min="2115" max="2115" width="9" style="58"/>
    <col min="2116" max="2116" width="11.75" style="58" customWidth="1"/>
    <col min="2117" max="2117" width="8.875" style="58" customWidth="1"/>
    <col min="2118" max="2118" width="17.375" style="58" customWidth="1"/>
    <col min="2119" max="2119" width="13.25" style="58" customWidth="1"/>
    <col min="2120" max="2120" width="25.75" style="58" customWidth="1"/>
    <col min="2121" max="2121" width="11.125" style="58" customWidth="1"/>
    <col min="2122" max="2122" width="10.75" style="58" customWidth="1"/>
    <col min="2123" max="2123" width="9" style="58" customWidth="1"/>
    <col min="2124" max="2124" width="9.75" style="58" customWidth="1"/>
    <col min="2125" max="2125" width="7.5" style="58" customWidth="1"/>
    <col min="2126" max="2126" width="13.25" style="58" customWidth="1"/>
    <col min="2127" max="2127" width="11.75" style="58" customWidth="1"/>
    <col min="2128" max="2128" width="8.875" style="58" customWidth="1"/>
    <col min="2129" max="2129" width="9.625" style="58" customWidth="1"/>
    <col min="2130" max="2131" width="11.875" style="58" customWidth="1"/>
    <col min="2132" max="2132" width="11.5" style="58" customWidth="1"/>
    <col min="2133" max="2148" width="12.25" style="58" customWidth="1"/>
    <col min="2149" max="2149" width="13" style="58" customWidth="1"/>
    <col min="2150" max="2154" width="12.375" style="58" customWidth="1"/>
    <col min="2155" max="2155" width="13" style="58" customWidth="1"/>
    <col min="2156" max="2157" width="12.375" style="58" customWidth="1"/>
    <col min="2158" max="2158" width="13" style="58" customWidth="1"/>
    <col min="2159" max="2159" width="13.125" style="58" customWidth="1"/>
    <col min="2160" max="2160" width="13" style="58" customWidth="1"/>
    <col min="2161" max="2161" width="13.125" style="58" customWidth="1"/>
    <col min="2162" max="2163" width="12.375" style="58" customWidth="1"/>
    <col min="2164" max="2164" width="13" style="58" customWidth="1"/>
    <col min="2165" max="2165" width="12.375" style="58" customWidth="1"/>
    <col min="2166" max="2166" width="12.25" style="58" customWidth="1"/>
    <col min="2167" max="2167" width="12.125" style="58" customWidth="1"/>
    <col min="2168" max="2168" width="11.625" style="58" customWidth="1"/>
    <col min="2169" max="2169" width="12" style="58" customWidth="1"/>
    <col min="2170" max="2170" width="13" style="58" customWidth="1"/>
    <col min="2171" max="2171" width="11.625" style="58" customWidth="1"/>
    <col min="2172" max="2173" width="12" style="58" customWidth="1"/>
    <col min="2174" max="2176" width="11.625" style="58" customWidth="1"/>
    <col min="2177" max="2177" width="11.125" style="58" customWidth="1"/>
    <col min="2178" max="2178" width="12" style="58" customWidth="1"/>
    <col min="2179" max="2179" width="13" style="58" customWidth="1"/>
    <col min="2180" max="2180" width="13.625" style="58" customWidth="1"/>
    <col min="2181" max="2181" width="11.875" style="58" customWidth="1"/>
    <col min="2182" max="2183" width="11.625" style="58" customWidth="1"/>
    <col min="2184" max="2184" width="12" style="58" customWidth="1"/>
    <col min="2185" max="2185" width="12.75" style="58" customWidth="1"/>
    <col min="2186" max="2186" width="11.625" style="58" customWidth="1"/>
    <col min="2187" max="2187" width="12.125" style="58" customWidth="1"/>
    <col min="2188" max="2189" width="11.625" style="58" customWidth="1"/>
    <col min="2190" max="2190" width="12.5" style="58" customWidth="1"/>
    <col min="2191" max="2365" width="11.625" style="58" customWidth="1"/>
    <col min="2366" max="2366" width="17.75" style="58" customWidth="1"/>
    <col min="2367" max="2368" width="9" style="58" customWidth="1"/>
    <col min="2369" max="2369" width="16.25" style="58" customWidth="1"/>
    <col min="2370" max="2370" width="24" style="58" customWidth="1"/>
    <col min="2371" max="2371" width="9" style="58"/>
    <col min="2372" max="2372" width="11.75" style="58" customWidth="1"/>
    <col min="2373" max="2373" width="8.875" style="58" customWidth="1"/>
    <col min="2374" max="2374" width="17.375" style="58" customWidth="1"/>
    <col min="2375" max="2375" width="13.25" style="58" customWidth="1"/>
    <col min="2376" max="2376" width="25.75" style="58" customWidth="1"/>
    <col min="2377" max="2377" width="11.125" style="58" customWidth="1"/>
    <col min="2378" max="2378" width="10.75" style="58" customWidth="1"/>
    <col min="2379" max="2379" width="9" style="58" customWidth="1"/>
    <col min="2380" max="2380" width="9.75" style="58" customWidth="1"/>
    <col min="2381" max="2381" width="7.5" style="58" customWidth="1"/>
    <col min="2382" max="2382" width="13.25" style="58" customWidth="1"/>
    <col min="2383" max="2383" width="11.75" style="58" customWidth="1"/>
    <col min="2384" max="2384" width="8.875" style="58" customWidth="1"/>
    <col min="2385" max="2385" width="9.625" style="58" customWidth="1"/>
    <col min="2386" max="2387" width="11.875" style="58" customWidth="1"/>
    <col min="2388" max="2388" width="11.5" style="58" customWidth="1"/>
    <col min="2389" max="2404" width="12.25" style="58" customWidth="1"/>
    <col min="2405" max="2405" width="13" style="58" customWidth="1"/>
    <col min="2406" max="2410" width="12.375" style="58" customWidth="1"/>
    <col min="2411" max="2411" width="13" style="58" customWidth="1"/>
    <col min="2412" max="2413" width="12.375" style="58" customWidth="1"/>
    <col min="2414" max="2414" width="13" style="58" customWidth="1"/>
    <col min="2415" max="2415" width="13.125" style="58" customWidth="1"/>
    <col min="2416" max="2416" width="13" style="58" customWidth="1"/>
    <col min="2417" max="2417" width="13.125" style="58" customWidth="1"/>
    <col min="2418" max="2419" width="12.375" style="58" customWidth="1"/>
    <col min="2420" max="2420" width="13" style="58" customWidth="1"/>
    <col min="2421" max="2421" width="12.375" style="58" customWidth="1"/>
    <col min="2422" max="2422" width="12.25" style="58" customWidth="1"/>
    <col min="2423" max="2423" width="12.125" style="58" customWidth="1"/>
    <col min="2424" max="2424" width="11.625" style="58" customWidth="1"/>
    <col min="2425" max="2425" width="12" style="58" customWidth="1"/>
    <col min="2426" max="2426" width="13" style="58" customWidth="1"/>
    <col min="2427" max="2427" width="11.625" style="58" customWidth="1"/>
    <col min="2428" max="2429" width="12" style="58" customWidth="1"/>
    <col min="2430" max="2432" width="11.625" style="58" customWidth="1"/>
    <col min="2433" max="2433" width="11.125" style="58" customWidth="1"/>
    <col min="2434" max="2434" width="12" style="58" customWidth="1"/>
    <col min="2435" max="2435" width="13" style="58" customWidth="1"/>
    <col min="2436" max="2436" width="13.625" style="58" customWidth="1"/>
    <col min="2437" max="2437" width="11.875" style="58" customWidth="1"/>
    <col min="2438" max="2439" width="11.625" style="58" customWidth="1"/>
    <col min="2440" max="2440" width="12" style="58" customWidth="1"/>
    <col min="2441" max="2441" width="12.75" style="58" customWidth="1"/>
    <col min="2442" max="2442" width="11.625" style="58" customWidth="1"/>
    <col min="2443" max="2443" width="12.125" style="58" customWidth="1"/>
    <col min="2444" max="2445" width="11.625" style="58" customWidth="1"/>
    <col min="2446" max="2446" width="12.5" style="58" customWidth="1"/>
    <col min="2447" max="2621" width="11.625" style="58" customWidth="1"/>
    <col min="2622" max="2622" width="17.75" style="58" customWidth="1"/>
    <col min="2623" max="2624" width="9" style="58" customWidth="1"/>
    <col min="2625" max="2625" width="16.25" style="58" customWidth="1"/>
    <col min="2626" max="2626" width="24" style="58" customWidth="1"/>
    <col min="2627" max="2627" width="9" style="58"/>
    <col min="2628" max="2628" width="11.75" style="58" customWidth="1"/>
    <col min="2629" max="2629" width="8.875" style="58" customWidth="1"/>
    <col min="2630" max="2630" width="17.375" style="58" customWidth="1"/>
    <col min="2631" max="2631" width="13.25" style="58" customWidth="1"/>
    <col min="2632" max="2632" width="25.75" style="58" customWidth="1"/>
    <col min="2633" max="2633" width="11.125" style="58" customWidth="1"/>
    <col min="2634" max="2634" width="10.75" style="58" customWidth="1"/>
    <col min="2635" max="2635" width="9" style="58" customWidth="1"/>
    <col min="2636" max="2636" width="9.75" style="58" customWidth="1"/>
    <col min="2637" max="2637" width="7.5" style="58" customWidth="1"/>
    <col min="2638" max="2638" width="13.25" style="58" customWidth="1"/>
    <col min="2639" max="2639" width="11.75" style="58" customWidth="1"/>
    <col min="2640" max="2640" width="8.875" style="58" customWidth="1"/>
    <col min="2641" max="2641" width="9.625" style="58" customWidth="1"/>
    <col min="2642" max="2643" width="11.875" style="58" customWidth="1"/>
    <col min="2644" max="2644" width="11.5" style="58" customWidth="1"/>
    <col min="2645" max="2660" width="12.25" style="58" customWidth="1"/>
    <col min="2661" max="2661" width="13" style="58" customWidth="1"/>
    <col min="2662" max="2666" width="12.375" style="58" customWidth="1"/>
    <col min="2667" max="2667" width="13" style="58" customWidth="1"/>
    <col min="2668" max="2669" width="12.375" style="58" customWidth="1"/>
    <col min="2670" max="2670" width="13" style="58" customWidth="1"/>
    <col min="2671" max="2671" width="13.125" style="58" customWidth="1"/>
    <col min="2672" max="2672" width="13" style="58" customWidth="1"/>
    <col min="2673" max="2673" width="13.125" style="58" customWidth="1"/>
    <col min="2674" max="2675" width="12.375" style="58" customWidth="1"/>
    <col min="2676" max="2676" width="13" style="58" customWidth="1"/>
    <col min="2677" max="2677" width="12.375" style="58" customWidth="1"/>
    <col min="2678" max="2678" width="12.25" style="58" customWidth="1"/>
    <col min="2679" max="2679" width="12.125" style="58" customWidth="1"/>
    <col min="2680" max="2680" width="11.625" style="58" customWidth="1"/>
    <col min="2681" max="2681" width="12" style="58" customWidth="1"/>
    <col min="2682" max="2682" width="13" style="58" customWidth="1"/>
    <col min="2683" max="2683" width="11.625" style="58" customWidth="1"/>
    <col min="2684" max="2685" width="12" style="58" customWidth="1"/>
    <col min="2686" max="2688" width="11.625" style="58" customWidth="1"/>
    <col min="2689" max="2689" width="11.125" style="58" customWidth="1"/>
    <col min="2690" max="2690" width="12" style="58" customWidth="1"/>
    <col min="2691" max="2691" width="13" style="58" customWidth="1"/>
    <col min="2692" max="2692" width="13.625" style="58" customWidth="1"/>
    <col min="2693" max="2693" width="11.875" style="58" customWidth="1"/>
    <col min="2694" max="2695" width="11.625" style="58" customWidth="1"/>
    <col min="2696" max="2696" width="12" style="58" customWidth="1"/>
    <col min="2697" max="2697" width="12.75" style="58" customWidth="1"/>
    <col min="2698" max="2698" width="11.625" style="58" customWidth="1"/>
    <col min="2699" max="2699" width="12.125" style="58" customWidth="1"/>
    <col min="2700" max="2701" width="11.625" style="58" customWidth="1"/>
    <col min="2702" max="2702" width="12.5" style="58" customWidth="1"/>
    <col min="2703" max="2877" width="11.625" style="58" customWidth="1"/>
    <col min="2878" max="2878" width="17.75" style="58" customWidth="1"/>
    <col min="2879" max="2880" width="9" style="58" customWidth="1"/>
    <col min="2881" max="2881" width="16.25" style="58" customWidth="1"/>
    <col min="2882" max="2882" width="24" style="58" customWidth="1"/>
    <col min="2883" max="2883" width="9" style="58"/>
    <col min="2884" max="2884" width="11.75" style="58" customWidth="1"/>
    <col min="2885" max="2885" width="8.875" style="58" customWidth="1"/>
    <col min="2886" max="2886" width="17.375" style="58" customWidth="1"/>
    <col min="2887" max="2887" width="13.25" style="58" customWidth="1"/>
    <col min="2888" max="2888" width="25.75" style="58" customWidth="1"/>
    <col min="2889" max="2889" width="11.125" style="58" customWidth="1"/>
    <col min="2890" max="2890" width="10.75" style="58" customWidth="1"/>
    <col min="2891" max="2891" width="9" style="58" customWidth="1"/>
    <col min="2892" max="2892" width="9.75" style="58" customWidth="1"/>
    <col min="2893" max="2893" width="7.5" style="58" customWidth="1"/>
    <col min="2894" max="2894" width="13.25" style="58" customWidth="1"/>
    <col min="2895" max="2895" width="11.75" style="58" customWidth="1"/>
    <col min="2896" max="2896" width="8.875" style="58" customWidth="1"/>
    <col min="2897" max="2897" width="9.625" style="58" customWidth="1"/>
    <col min="2898" max="2899" width="11.875" style="58" customWidth="1"/>
    <col min="2900" max="2900" width="11.5" style="58" customWidth="1"/>
    <col min="2901" max="2916" width="12.25" style="58" customWidth="1"/>
    <col min="2917" max="2917" width="13" style="58" customWidth="1"/>
    <col min="2918" max="2922" width="12.375" style="58" customWidth="1"/>
    <col min="2923" max="2923" width="13" style="58" customWidth="1"/>
    <col min="2924" max="2925" width="12.375" style="58" customWidth="1"/>
    <col min="2926" max="2926" width="13" style="58" customWidth="1"/>
    <col min="2927" max="2927" width="13.125" style="58" customWidth="1"/>
    <col min="2928" max="2928" width="13" style="58" customWidth="1"/>
    <col min="2929" max="2929" width="13.125" style="58" customWidth="1"/>
    <col min="2930" max="2931" width="12.375" style="58" customWidth="1"/>
    <col min="2932" max="2932" width="13" style="58" customWidth="1"/>
    <col min="2933" max="2933" width="12.375" style="58" customWidth="1"/>
    <col min="2934" max="2934" width="12.25" style="58" customWidth="1"/>
    <col min="2935" max="2935" width="12.125" style="58" customWidth="1"/>
    <col min="2936" max="2936" width="11.625" style="58" customWidth="1"/>
    <col min="2937" max="2937" width="12" style="58" customWidth="1"/>
    <col min="2938" max="2938" width="13" style="58" customWidth="1"/>
    <col min="2939" max="2939" width="11.625" style="58" customWidth="1"/>
    <col min="2940" max="2941" width="12" style="58" customWidth="1"/>
    <col min="2942" max="2944" width="11.625" style="58" customWidth="1"/>
    <col min="2945" max="2945" width="11.125" style="58" customWidth="1"/>
    <col min="2946" max="2946" width="12" style="58" customWidth="1"/>
    <col min="2947" max="2947" width="13" style="58" customWidth="1"/>
    <col min="2948" max="2948" width="13.625" style="58" customWidth="1"/>
    <col min="2949" max="2949" width="11.875" style="58" customWidth="1"/>
    <col min="2950" max="2951" width="11.625" style="58" customWidth="1"/>
    <col min="2952" max="2952" width="12" style="58" customWidth="1"/>
    <col min="2953" max="2953" width="12.75" style="58" customWidth="1"/>
    <col min="2954" max="2954" width="11.625" style="58" customWidth="1"/>
    <col min="2955" max="2955" width="12.125" style="58" customWidth="1"/>
    <col min="2956" max="2957" width="11.625" style="58" customWidth="1"/>
    <col min="2958" max="2958" width="12.5" style="58" customWidth="1"/>
    <col min="2959" max="3133" width="11.625" style="58" customWidth="1"/>
    <col min="3134" max="3134" width="17.75" style="58" customWidth="1"/>
    <col min="3135" max="3136" width="9" style="58" customWidth="1"/>
    <col min="3137" max="3137" width="16.25" style="58" customWidth="1"/>
    <col min="3138" max="3138" width="24" style="58" customWidth="1"/>
    <col min="3139" max="3139" width="9" style="58"/>
    <col min="3140" max="3140" width="11.75" style="58" customWidth="1"/>
    <col min="3141" max="3141" width="8.875" style="58" customWidth="1"/>
    <col min="3142" max="3142" width="17.375" style="58" customWidth="1"/>
    <col min="3143" max="3143" width="13.25" style="58" customWidth="1"/>
    <col min="3144" max="3144" width="25.75" style="58" customWidth="1"/>
    <col min="3145" max="3145" width="11.125" style="58" customWidth="1"/>
    <col min="3146" max="3146" width="10.75" style="58" customWidth="1"/>
    <col min="3147" max="3147" width="9" style="58" customWidth="1"/>
    <col min="3148" max="3148" width="9.75" style="58" customWidth="1"/>
    <col min="3149" max="3149" width="7.5" style="58" customWidth="1"/>
    <col min="3150" max="3150" width="13.25" style="58" customWidth="1"/>
    <col min="3151" max="3151" width="11.75" style="58" customWidth="1"/>
    <col min="3152" max="3152" width="8.875" style="58" customWidth="1"/>
    <col min="3153" max="3153" width="9.625" style="58" customWidth="1"/>
    <col min="3154" max="3155" width="11.875" style="58" customWidth="1"/>
    <col min="3156" max="3156" width="11.5" style="58" customWidth="1"/>
    <col min="3157" max="3172" width="12.25" style="58" customWidth="1"/>
    <col min="3173" max="3173" width="13" style="58" customWidth="1"/>
    <col min="3174" max="3178" width="12.375" style="58" customWidth="1"/>
    <col min="3179" max="3179" width="13" style="58" customWidth="1"/>
    <col min="3180" max="3181" width="12.375" style="58" customWidth="1"/>
    <col min="3182" max="3182" width="13" style="58" customWidth="1"/>
    <col min="3183" max="3183" width="13.125" style="58" customWidth="1"/>
    <col min="3184" max="3184" width="13" style="58" customWidth="1"/>
    <col min="3185" max="3185" width="13.125" style="58" customWidth="1"/>
    <col min="3186" max="3187" width="12.375" style="58" customWidth="1"/>
    <col min="3188" max="3188" width="13" style="58" customWidth="1"/>
    <col min="3189" max="3189" width="12.375" style="58" customWidth="1"/>
    <col min="3190" max="3190" width="12.25" style="58" customWidth="1"/>
    <col min="3191" max="3191" width="12.125" style="58" customWidth="1"/>
    <col min="3192" max="3192" width="11.625" style="58" customWidth="1"/>
    <col min="3193" max="3193" width="12" style="58" customWidth="1"/>
    <col min="3194" max="3194" width="13" style="58" customWidth="1"/>
    <col min="3195" max="3195" width="11.625" style="58" customWidth="1"/>
    <col min="3196" max="3197" width="12" style="58" customWidth="1"/>
    <col min="3198" max="3200" width="11.625" style="58" customWidth="1"/>
    <col min="3201" max="3201" width="11.125" style="58" customWidth="1"/>
    <col min="3202" max="3202" width="12" style="58" customWidth="1"/>
    <col min="3203" max="3203" width="13" style="58" customWidth="1"/>
    <col min="3204" max="3204" width="13.625" style="58" customWidth="1"/>
    <col min="3205" max="3205" width="11.875" style="58" customWidth="1"/>
    <col min="3206" max="3207" width="11.625" style="58" customWidth="1"/>
    <col min="3208" max="3208" width="12" style="58" customWidth="1"/>
    <col min="3209" max="3209" width="12.75" style="58" customWidth="1"/>
    <col min="3210" max="3210" width="11.625" style="58" customWidth="1"/>
    <col min="3211" max="3211" width="12.125" style="58" customWidth="1"/>
    <col min="3212" max="3213" width="11.625" style="58" customWidth="1"/>
    <col min="3214" max="3214" width="12.5" style="58" customWidth="1"/>
    <col min="3215" max="3389" width="11.625" style="58" customWidth="1"/>
    <col min="3390" max="3390" width="17.75" style="58" customWidth="1"/>
    <col min="3391" max="3392" width="9" style="58" customWidth="1"/>
    <col min="3393" max="3393" width="16.25" style="58" customWidth="1"/>
    <col min="3394" max="3394" width="24" style="58" customWidth="1"/>
    <col min="3395" max="3395" width="9" style="58"/>
    <col min="3396" max="3396" width="11.75" style="58" customWidth="1"/>
    <col min="3397" max="3397" width="8.875" style="58" customWidth="1"/>
    <col min="3398" max="3398" width="17.375" style="58" customWidth="1"/>
    <col min="3399" max="3399" width="13.25" style="58" customWidth="1"/>
    <col min="3400" max="3400" width="25.75" style="58" customWidth="1"/>
    <col min="3401" max="3401" width="11.125" style="58" customWidth="1"/>
    <col min="3402" max="3402" width="10.75" style="58" customWidth="1"/>
    <col min="3403" max="3403" width="9" style="58" customWidth="1"/>
    <col min="3404" max="3404" width="9.75" style="58" customWidth="1"/>
    <col min="3405" max="3405" width="7.5" style="58" customWidth="1"/>
    <col min="3406" max="3406" width="13.25" style="58" customWidth="1"/>
    <col min="3407" max="3407" width="11.75" style="58" customWidth="1"/>
    <col min="3408" max="3408" width="8.875" style="58" customWidth="1"/>
    <col min="3409" max="3409" width="9.625" style="58" customWidth="1"/>
    <col min="3410" max="3411" width="11.875" style="58" customWidth="1"/>
    <col min="3412" max="3412" width="11.5" style="58" customWidth="1"/>
    <col min="3413" max="3428" width="12.25" style="58" customWidth="1"/>
    <col min="3429" max="3429" width="13" style="58" customWidth="1"/>
    <col min="3430" max="3434" width="12.375" style="58" customWidth="1"/>
    <col min="3435" max="3435" width="13" style="58" customWidth="1"/>
    <col min="3436" max="3437" width="12.375" style="58" customWidth="1"/>
    <col min="3438" max="3438" width="13" style="58" customWidth="1"/>
    <col min="3439" max="3439" width="13.125" style="58" customWidth="1"/>
    <col min="3440" max="3440" width="13" style="58" customWidth="1"/>
    <col min="3441" max="3441" width="13.125" style="58" customWidth="1"/>
    <col min="3442" max="3443" width="12.375" style="58" customWidth="1"/>
    <col min="3444" max="3444" width="13" style="58" customWidth="1"/>
    <col min="3445" max="3445" width="12.375" style="58" customWidth="1"/>
    <col min="3446" max="3446" width="12.25" style="58" customWidth="1"/>
    <col min="3447" max="3447" width="12.125" style="58" customWidth="1"/>
    <col min="3448" max="3448" width="11.625" style="58" customWidth="1"/>
    <col min="3449" max="3449" width="12" style="58" customWidth="1"/>
    <col min="3450" max="3450" width="13" style="58" customWidth="1"/>
    <col min="3451" max="3451" width="11.625" style="58" customWidth="1"/>
    <col min="3452" max="3453" width="12" style="58" customWidth="1"/>
    <col min="3454" max="3456" width="11.625" style="58" customWidth="1"/>
    <col min="3457" max="3457" width="11.125" style="58" customWidth="1"/>
    <col min="3458" max="3458" width="12" style="58" customWidth="1"/>
    <col min="3459" max="3459" width="13" style="58" customWidth="1"/>
    <col min="3460" max="3460" width="13.625" style="58" customWidth="1"/>
    <col min="3461" max="3461" width="11.875" style="58" customWidth="1"/>
    <col min="3462" max="3463" width="11.625" style="58" customWidth="1"/>
    <col min="3464" max="3464" width="12" style="58" customWidth="1"/>
    <col min="3465" max="3465" width="12.75" style="58" customWidth="1"/>
    <col min="3466" max="3466" width="11.625" style="58" customWidth="1"/>
    <col min="3467" max="3467" width="12.125" style="58" customWidth="1"/>
    <col min="3468" max="3469" width="11.625" style="58" customWidth="1"/>
    <col min="3470" max="3470" width="12.5" style="58" customWidth="1"/>
    <col min="3471" max="3645" width="11.625" style="58" customWidth="1"/>
    <col min="3646" max="3646" width="17.75" style="58" customWidth="1"/>
    <col min="3647" max="3648" width="9" style="58" customWidth="1"/>
    <col min="3649" max="3649" width="16.25" style="58" customWidth="1"/>
    <col min="3650" max="3650" width="24" style="58" customWidth="1"/>
    <col min="3651" max="3651" width="9" style="58"/>
    <col min="3652" max="3652" width="11.75" style="58" customWidth="1"/>
    <col min="3653" max="3653" width="8.875" style="58" customWidth="1"/>
    <col min="3654" max="3654" width="17.375" style="58" customWidth="1"/>
    <col min="3655" max="3655" width="13.25" style="58" customWidth="1"/>
    <col min="3656" max="3656" width="25.75" style="58" customWidth="1"/>
    <col min="3657" max="3657" width="11.125" style="58" customWidth="1"/>
    <col min="3658" max="3658" width="10.75" style="58" customWidth="1"/>
    <col min="3659" max="3659" width="9" style="58" customWidth="1"/>
    <col min="3660" max="3660" width="9.75" style="58" customWidth="1"/>
    <col min="3661" max="3661" width="7.5" style="58" customWidth="1"/>
    <col min="3662" max="3662" width="13.25" style="58" customWidth="1"/>
    <col min="3663" max="3663" width="11.75" style="58" customWidth="1"/>
    <col min="3664" max="3664" width="8.875" style="58" customWidth="1"/>
    <col min="3665" max="3665" width="9.625" style="58" customWidth="1"/>
    <col min="3666" max="3667" width="11.875" style="58" customWidth="1"/>
    <col min="3668" max="3668" width="11.5" style="58" customWidth="1"/>
    <col min="3669" max="3684" width="12.25" style="58" customWidth="1"/>
    <col min="3685" max="3685" width="13" style="58" customWidth="1"/>
    <col min="3686" max="3690" width="12.375" style="58" customWidth="1"/>
    <col min="3691" max="3691" width="13" style="58" customWidth="1"/>
    <col min="3692" max="3693" width="12.375" style="58" customWidth="1"/>
    <col min="3694" max="3694" width="13" style="58" customWidth="1"/>
    <col min="3695" max="3695" width="13.125" style="58" customWidth="1"/>
    <col min="3696" max="3696" width="13" style="58" customWidth="1"/>
    <col min="3697" max="3697" width="13.125" style="58" customWidth="1"/>
    <col min="3698" max="3699" width="12.375" style="58" customWidth="1"/>
    <col min="3700" max="3700" width="13" style="58" customWidth="1"/>
    <col min="3701" max="3701" width="12.375" style="58" customWidth="1"/>
    <col min="3702" max="3702" width="12.25" style="58" customWidth="1"/>
    <col min="3703" max="3703" width="12.125" style="58" customWidth="1"/>
    <col min="3704" max="3704" width="11.625" style="58" customWidth="1"/>
    <col min="3705" max="3705" width="12" style="58" customWidth="1"/>
    <col min="3706" max="3706" width="13" style="58" customWidth="1"/>
    <col min="3707" max="3707" width="11.625" style="58" customWidth="1"/>
    <col min="3708" max="3709" width="12" style="58" customWidth="1"/>
    <col min="3710" max="3712" width="11.625" style="58" customWidth="1"/>
    <col min="3713" max="3713" width="11.125" style="58" customWidth="1"/>
    <col min="3714" max="3714" width="12" style="58" customWidth="1"/>
    <col min="3715" max="3715" width="13" style="58" customWidth="1"/>
    <col min="3716" max="3716" width="13.625" style="58" customWidth="1"/>
    <col min="3717" max="3717" width="11.875" style="58" customWidth="1"/>
    <col min="3718" max="3719" width="11.625" style="58" customWidth="1"/>
    <col min="3720" max="3720" width="12" style="58" customWidth="1"/>
    <col min="3721" max="3721" width="12.75" style="58" customWidth="1"/>
    <col min="3722" max="3722" width="11.625" style="58" customWidth="1"/>
    <col min="3723" max="3723" width="12.125" style="58" customWidth="1"/>
    <col min="3724" max="3725" width="11.625" style="58" customWidth="1"/>
    <col min="3726" max="3726" width="12.5" style="58" customWidth="1"/>
    <col min="3727" max="3901" width="11.625" style="58" customWidth="1"/>
    <col min="3902" max="3902" width="17.75" style="58" customWidth="1"/>
    <col min="3903" max="3904" width="9" style="58" customWidth="1"/>
    <col min="3905" max="3905" width="16.25" style="58" customWidth="1"/>
    <col min="3906" max="3906" width="24" style="58" customWidth="1"/>
    <col min="3907" max="3907" width="9" style="58"/>
    <col min="3908" max="3908" width="11.75" style="58" customWidth="1"/>
    <col min="3909" max="3909" width="8.875" style="58" customWidth="1"/>
    <col min="3910" max="3910" width="17.375" style="58" customWidth="1"/>
    <col min="3911" max="3911" width="13.25" style="58" customWidth="1"/>
    <col min="3912" max="3912" width="25.75" style="58" customWidth="1"/>
    <col min="3913" max="3913" width="11.125" style="58" customWidth="1"/>
    <col min="3914" max="3914" width="10.75" style="58" customWidth="1"/>
    <col min="3915" max="3915" width="9" style="58" customWidth="1"/>
    <col min="3916" max="3916" width="9.75" style="58" customWidth="1"/>
    <col min="3917" max="3917" width="7.5" style="58" customWidth="1"/>
    <col min="3918" max="3918" width="13.25" style="58" customWidth="1"/>
    <col min="3919" max="3919" width="11.75" style="58" customWidth="1"/>
    <col min="3920" max="3920" width="8.875" style="58" customWidth="1"/>
    <col min="3921" max="3921" width="9.625" style="58" customWidth="1"/>
    <col min="3922" max="3923" width="11.875" style="58" customWidth="1"/>
    <col min="3924" max="3924" width="11.5" style="58" customWidth="1"/>
    <col min="3925" max="3940" width="12.25" style="58" customWidth="1"/>
    <col min="3941" max="3941" width="13" style="58" customWidth="1"/>
    <col min="3942" max="3946" width="12.375" style="58" customWidth="1"/>
    <col min="3947" max="3947" width="13" style="58" customWidth="1"/>
    <col min="3948" max="3949" width="12.375" style="58" customWidth="1"/>
    <col min="3950" max="3950" width="13" style="58" customWidth="1"/>
    <col min="3951" max="3951" width="13.125" style="58" customWidth="1"/>
    <col min="3952" max="3952" width="13" style="58" customWidth="1"/>
    <col min="3953" max="3953" width="13.125" style="58" customWidth="1"/>
    <col min="3954" max="3955" width="12.375" style="58" customWidth="1"/>
    <col min="3956" max="3956" width="13" style="58" customWidth="1"/>
    <col min="3957" max="3957" width="12.375" style="58" customWidth="1"/>
    <col min="3958" max="3958" width="12.25" style="58" customWidth="1"/>
    <col min="3959" max="3959" width="12.125" style="58" customWidth="1"/>
    <col min="3960" max="3960" width="11.625" style="58" customWidth="1"/>
    <col min="3961" max="3961" width="12" style="58" customWidth="1"/>
    <col min="3962" max="3962" width="13" style="58" customWidth="1"/>
    <col min="3963" max="3963" width="11.625" style="58" customWidth="1"/>
    <col min="3964" max="3965" width="12" style="58" customWidth="1"/>
    <col min="3966" max="3968" width="11.625" style="58" customWidth="1"/>
    <col min="3969" max="3969" width="11.125" style="58" customWidth="1"/>
    <col min="3970" max="3970" width="12" style="58" customWidth="1"/>
    <col min="3971" max="3971" width="13" style="58" customWidth="1"/>
    <col min="3972" max="3972" width="13.625" style="58" customWidth="1"/>
    <col min="3973" max="3973" width="11.875" style="58" customWidth="1"/>
    <col min="3974" max="3975" width="11.625" style="58" customWidth="1"/>
    <col min="3976" max="3976" width="12" style="58" customWidth="1"/>
    <col min="3977" max="3977" width="12.75" style="58" customWidth="1"/>
    <col min="3978" max="3978" width="11.625" style="58" customWidth="1"/>
    <col min="3979" max="3979" width="12.125" style="58" customWidth="1"/>
    <col min="3980" max="3981" width="11.625" style="58" customWidth="1"/>
    <col min="3982" max="3982" width="12.5" style="58" customWidth="1"/>
    <col min="3983" max="4157" width="11.625" style="58" customWidth="1"/>
    <col min="4158" max="4158" width="17.75" style="58" customWidth="1"/>
    <col min="4159" max="4160" width="9" style="58" customWidth="1"/>
    <col min="4161" max="4161" width="16.25" style="58" customWidth="1"/>
    <col min="4162" max="4162" width="24" style="58" customWidth="1"/>
    <col min="4163" max="4163" width="9" style="58"/>
    <col min="4164" max="4164" width="11.75" style="58" customWidth="1"/>
    <col min="4165" max="4165" width="8.875" style="58" customWidth="1"/>
    <col min="4166" max="4166" width="17.375" style="58" customWidth="1"/>
    <col min="4167" max="4167" width="13.25" style="58" customWidth="1"/>
    <col min="4168" max="4168" width="25.75" style="58" customWidth="1"/>
    <col min="4169" max="4169" width="11.125" style="58" customWidth="1"/>
    <col min="4170" max="4170" width="10.75" style="58" customWidth="1"/>
    <col min="4171" max="4171" width="9" style="58" customWidth="1"/>
    <col min="4172" max="4172" width="9.75" style="58" customWidth="1"/>
    <col min="4173" max="4173" width="7.5" style="58" customWidth="1"/>
    <col min="4174" max="4174" width="13.25" style="58" customWidth="1"/>
    <col min="4175" max="4175" width="11.75" style="58" customWidth="1"/>
    <col min="4176" max="4176" width="8.875" style="58" customWidth="1"/>
    <col min="4177" max="4177" width="9.625" style="58" customWidth="1"/>
    <col min="4178" max="4179" width="11.875" style="58" customWidth="1"/>
    <col min="4180" max="4180" width="11.5" style="58" customWidth="1"/>
    <col min="4181" max="4196" width="12.25" style="58" customWidth="1"/>
    <col min="4197" max="4197" width="13" style="58" customWidth="1"/>
    <col min="4198" max="4202" width="12.375" style="58" customWidth="1"/>
    <col min="4203" max="4203" width="13" style="58" customWidth="1"/>
    <col min="4204" max="4205" width="12.375" style="58" customWidth="1"/>
    <col min="4206" max="4206" width="13" style="58" customWidth="1"/>
    <col min="4207" max="4207" width="13.125" style="58" customWidth="1"/>
    <col min="4208" max="4208" width="13" style="58" customWidth="1"/>
    <col min="4209" max="4209" width="13.125" style="58" customWidth="1"/>
    <col min="4210" max="4211" width="12.375" style="58" customWidth="1"/>
    <col min="4212" max="4212" width="13" style="58" customWidth="1"/>
    <col min="4213" max="4213" width="12.375" style="58" customWidth="1"/>
    <col min="4214" max="4214" width="12.25" style="58" customWidth="1"/>
    <col min="4215" max="4215" width="12.125" style="58" customWidth="1"/>
    <col min="4216" max="4216" width="11.625" style="58" customWidth="1"/>
    <col min="4217" max="4217" width="12" style="58" customWidth="1"/>
    <col min="4218" max="4218" width="13" style="58" customWidth="1"/>
    <col min="4219" max="4219" width="11.625" style="58" customWidth="1"/>
    <col min="4220" max="4221" width="12" style="58" customWidth="1"/>
    <col min="4222" max="4224" width="11.625" style="58" customWidth="1"/>
    <col min="4225" max="4225" width="11.125" style="58" customWidth="1"/>
    <col min="4226" max="4226" width="12" style="58" customWidth="1"/>
    <col min="4227" max="4227" width="13" style="58" customWidth="1"/>
    <col min="4228" max="4228" width="13.625" style="58" customWidth="1"/>
    <col min="4229" max="4229" width="11.875" style="58" customWidth="1"/>
    <col min="4230" max="4231" width="11.625" style="58" customWidth="1"/>
    <col min="4232" max="4232" width="12" style="58" customWidth="1"/>
    <col min="4233" max="4233" width="12.75" style="58" customWidth="1"/>
    <col min="4234" max="4234" width="11.625" style="58" customWidth="1"/>
    <col min="4235" max="4235" width="12.125" style="58" customWidth="1"/>
    <col min="4236" max="4237" width="11.625" style="58" customWidth="1"/>
    <col min="4238" max="4238" width="12.5" style="58" customWidth="1"/>
    <col min="4239" max="4413" width="11.625" style="58" customWidth="1"/>
    <col min="4414" max="4414" width="17.75" style="58" customWidth="1"/>
    <col min="4415" max="4416" width="9" style="58" customWidth="1"/>
    <col min="4417" max="4417" width="16.25" style="58" customWidth="1"/>
    <col min="4418" max="4418" width="24" style="58" customWidth="1"/>
    <col min="4419" max="4419" width="9" style="58"/>
    <col min="4420" max="4420" width="11.75" style="58" customWidth="1"/>
    <col min="4421" max="4421" width="8.875" style="58" customWidth="1"/>
    <col min="4422" max="4422" width="17.375" style="58" customWidth="1"/>
    <col min="4423" max="4423" width="13.25" style="58" customWidth="1"/>
    <col min="4424" max="4424" width="25.75" style="58" customWidth="1"/>
    <col min="4425" max="4425" width="11.125" style="58" customWidth="1"/>
    <col min="4426" max="4426" width="10.75" style="58" customWidth="1"/>
    <col min="4427" max="4427" width="9" style="58" customWidth="1"/>
    <col min="4428" max="4428" width="9.75" style="58" customWidth="1"/>
    <col min="4429" max="4429" width="7.5" style="58" customWidth="1"/>
    <col min="4430" max="4430" width="13.25" style="58" customWidth="1"/>
    <col min="4431" max="4431" width="11.75" style="58" customWidth="1"/>
    <col min="4432" max="4432" width="8.875" style="58" customWidth="1"/>
    <col min="4433" max="4433" width="9.625" style="58" customWidth="1"/>
    <col min="4434" max="4435" width="11.875" style="58" customWidth="1"/>
    <col min="4436" max="4436" width="11.5" style="58" customWidth="1"/>
    <col min="4437" max="4452" width="12.25" style="58" customWidth="1"/>
    <col min="4453" max="4453" width="13" style="58" customWidth="1"/>
    <col min="4454" max="4458" width="12.375" style="58" customWidth="1"/>
    <col min="4459" max="4459" width="13" style="58" customWidth="1"/>
    <col min="4460" max="4461" width="12.375" style="58" customWidth="1"/>
    <col min="4462" max="4462" width="13" style="58" customWidth="1"/>
    <col min="4463" max="4463" width="13.125" style="58" customWidth="1"/>
    <col min="4464" max="4464" width="13" style="58" customWidth="1"/>
    <col min="4465" max="4465" width="13.125" style="58" customWidth="1"/>
    <col min="4466" max="4467" width="12.375" style="58" customWidth="1"/>
    <col min="4468" max="4468" width="13" style="58" customWidth="1"/>
    <col min="4469" max="4469" width="12.375" style="58" customWidth="1"/>
    <col min="4470" max="4470" width="12.25" style="58" customWidth="1"/>
    <col min="4471" max="4471" width="12.125" style="58" customWidth="1"/>
    <col min="4472" max="4472" width="11.625" style="58" customWidth="1"/>
    <col min="4473" max="4473" width="12" style="58" customWidth="1"/>
    <col min="4474" max="4474" width="13" style="58" customWidth="1"/>
    <col min="4475" max="4475" width="11.625" style="58" customWidth="1"/>
    <col min="4476" max="4477" width="12" style="58" customWidth="1"/>
    <col min="4478" max="4480" width="11.625" style="58" customWidth="1"/>
    <col min="4481" max="4481" width="11.125" style="58" customWidth="1"/>
    <col min="4482" max="4482" width="12" style="58" customWidth="1"/>
    <col min="4483" max="4483" width="13" style="58" customWidth="1"/>
    <col min="4484" max="4484" width="13.625" style="58" customWidth="1"/>
    <col min="4485" max="4485" width="11.875" style="58" customWidth="1"/>
    <col min="4486" max="4487" width="11.625" style="58" customWidth="1"/>
    <col min="4488" max="4488" width="12" style="58" customWidth="1"/>
    <col min="4489" max="4489" width="12.75" style="58" customWidth="1"/>
    <col min="4490" max="4490" width="11.625" style="58" customWidth="1"/>
    <col min="4491" max="4491" width="12.125" style="58" customWidth="1"/>
    <col min="4492" max="4493" width="11.625" style="58" customWidth="1"/>
    <col min="4494" max="4494" width="12.5" style="58" customWidth="1"/>
    <col min="4495" max="4669" width="11.625" style="58" customWidth="1"/>
    <col min="4670" max="4670" width="17.75" style="58" customWidth="1"/>
    <col min="4671" max="4672" width="9" style="58" customWidth="1"/>
    <col min="4673" max="4673" width="16.25" style="58" customWidth="1"/>
    <col min="4674" max="4674" width="24" style="58" customWidth="1"/>
    <col min="4675" max="4675" width="9" style="58"/>
    <col min="4676" max="4676" width="11.75" style="58" customWidth="1"/>
    <col min="4677" max="4677" width="8.875" style="58" customWidth="1"/>
    <col min="4678" max="4678" width="17.375" style="58" customWidth="1"/>
    <col min="4679" max="4679" width="13.25" style="58" customWidth="1"/>
    <col min="4680" max="4680" width="25.75" style="58" customWidth="1"/>
    <col min="4681" max="4681" width="11.125" style="58" customWidth="1"/>
    <col min="4682" max="4682" width="10.75" style="58" customWidth="1"/>
    <col min="4683" max="4683" width="9" style="58" customWidth="1"/>
    <col min="4684" max="4684" width="9.75" style="58" customWidth="1"/>
    <col min="4685" max="4685" width="7.5" style="58" customWidth="1"/>
    <col min="4686" max="4686" width="13.25" style="58" customWidth="1"/>
    <col min="4687" max="4687" width="11.75" style="58" customWidth="1"/>
    <col min="4688" max="4688" width="8.875" style="58" customWidth="1"/>
    <col min="4689" max="4689" width="9.625" style="58" customWidth="1"/>
    <col min="4690" max="4691" width="11.875" style="58" customWidth="1"/>
    <col min="4692" max="4692" width="11.5" style="58" customWidth="1"/>
    <col min="4693" max="4708" width="12.25" style="58" customWidth="1"/>
    <col min="4709" max="4709" width="13" style="58" customWidth="1"/>
    <col min="4710" max="4714" width="12.375" style="58" customWidth="1"/>
    <col min="4715" max="4715" width="13" style="58" customWidth="1"/>
    <col min="4716" max="4717" width="12.375" style="58" customWidth="1"/>
    <col min="4718" max="4718" width="13" style="58" customWidth="1"/>
    <col min="4719" max="4719" width="13.125" style="58" customWidth="1"/>
    <col min="4720" max="4720" width="13" style="58" customWidth="1"/>
    <col min="4721" max="4721" width="13.125" style="58" customWidth="1"/>
    <col min="4722" max="4723" width="12.375" style="58" customWidth="1"/>
    <col min="4724" max="4724" width="13" style="58" customWidth="1"/>
    <col min="4725" max="4725" width="12.375" style="58" customWidth="1"/>
    <col min="4726" max="4726" width="12.25" style="58" customWidth="1"/>
    <col min="4727" max="4727" width="12.125" style="58" customWidth="1"/>
    <col min="4728" max="4728" width="11.625" style="58" customWidth="1"/>
    <col min="4729" max="4729" width="12" style="58" customWidth="1"/>
    <col min="4730" max="4730" width="13" style="58" customWidth="1"/>
    <col min="4731" max="4731" width="11.625" style="58" customWidth="1"/>
    <col min="4732" max="4733" width="12" style="58" customWidth="1"/>
    <col min="4734" max="4736" width="11.625" style="58" customWidth="1"/>
    <col min="4737" max="4737" width="11.125" style="58" customWidth="1"/>
    <col min="4738" max="4738" width="12" style="58" customWidth="1"/>
    <col min="4739" max="4739" width="13" style="58" customWidth="1"/>
    <col min="4740" max="4740" width="13.625" style="58" customWidth="1"/>
    <col min="4741" max="4741" width="11.875" style="58" customWidth="1"/>
    <col min="4742" max="4743" width="11.625" style="58" customWidth="1"/>
    <col min="4744" max="4744" width="12" style="58" customWidth="1"/>
    <col min="4745" max="4745" width="12.75" style="58" customWidth="1"/>
    <col min="4746" max="4746" width="11.625" style="58" customWidth="1"/>
    <col min="4747" max="4747" width="12.125" style="58" customWidth="1"/>
    <col min="4748" max="4749" width="11.625" style="58" customWidth="1"/>
    <col min="4750" max="4750" width="12.5" style="58" customWidth="1"/>
    <col min="4751" max="4925" width="11.625" style="58" customWidth="1"/>
    <col min="4926" max="4926" width="17.75" style="58" customWidth="1"/>
    <col min="4927" max="4928" width="9" style="58" customWidth="1"/>
    <col min="4929" max="4929" width="16.25" style="58" customWidth="1"/>
    <col min="4930" max="4930" width="24" style="58" customWidth="1"/>
    <col min="4931" max="4931" width="9" style="58"/>
    <col min="4932" max="4932" width="11.75" style="58" customWidth="1"/>
    <col min="4933" max="4933" width="8.875" style="58" customWidth="1"/>
    <col min="4934" max="4934" width="17.375" style="58" customWidth="1"/>
    <col min="4935" max="4935" width="13.25" style="58" customWidth="1"/>
    <col min="4936" max="4936" width="25.75" style="58" customWidth="1"/>
    <col min="4937" max="4937" width="11.125" style="58" customWidth="1"/>
    <col min="4938" max="4938" width="10.75" style="58" customWidth="1"/>
    <col min="4939" max="4939" width="9" style="58" customWidth="1"/>
    <col min="4940" max="4940" width="9.75" style="58" customWidth="1"/>
    <col min="4941" max="4941" width="7.5" style="58" customWidth="1"/>
    <col min="4942" max="4942" width="13.25" style="58" customWidth="1"/>
    <col min="4943" max="4943" width="11.75" style="58" customWidth="1"/>
    <col min="4944" max="4944" width="8.875" style="58" customWidth="1"/>
    <col min="4945" max="4945" width="9.625" style="58" customWidth="1"/>
    <col min="4946" max="4947" width="11.875" style="58" customWidth="1"/>
    <col min="4948" max="4948" width="11.5" style="58" customWidth="1"/>
    <col min="4949" max="4964" width="12.25" style="58" customWidth="1"/>
    <col min="4965" max="4965" width="13" style="58" customWidth="1"/>
    <col min="4966" max="4970" width="12.375" style="58" customWidth="1"/>
    <col min="4971" max="4971" width="13" style="58" customWidth="1"/>
    <col min="4972" max="4973" width="12.375" style="58" customWidth="1"/>
    <col min="4974" max="4974" width="13" style="58" customWidth="1"/>
    <col min="4975" max="4975" width="13.125" style="58" customWidth="1"/>
    <col min="4976" max="4976" width="13" style="58" customWidth="1"/>
    <col min="4977" max="4977" width="13.125" style="58" customWidth="1"/>
    <col min="4978" max="4979" width="12.375" style="58" customWidth="1"/>
    <col min="4980" max="4980" width="13" style="58" customWidth="1"/>
    <col min="4981" max="4981" width="12.375" style="58" customWidth="1"/>
    <col min="4982" max="4982" width="12.25" style="58" customWidth="1"/>
    <col min="4983" max="4983" width="12.125" style="58" customWidth="1"/>
    <col min="4984" max="4984" width="11.625" style="58" customWidth="1"/>
    <col min="4985" max="4985" width="12" style="58" customWidth="1"/>
    <col min="4986" max="4986" width="13" style="58" customWidth="1"/>
    <col min="4987" max="4987" width="11.625" style="58" customWidth="1"/>
    <col min="4988" max="4989" width="12" style="58" customWidth="1"/>
    <col min="4990" max="4992" width="11.625" style="58" customWidth="1"/>
    <col min="4993" max="4993" width="11.125" style="58" customWidth="1"/>
    <col min="4994" max="4994" width="12" style="58" customWidth="1"/>
    <col min="4995" max="4995" width="13" style="58" customWidth="1"/>
    <col min="4996" max="4996" width="13.625" style="58" customWidth="1"/>
    <col min="4997" max="4997" width="11.875" style="58" customWidth="1"/>
    <col min="4998" max="4999" width="11.625" style="58" customWidth="1"/>
    <col min="5000" max="5000" width="12" style="58" customWidth="1"/>
    <col min="5001" max="5001" width="12.75" style="58" customWidth="1"/>
    <col min="5002" max="5002" width="11.625" style="58" customWidth="1"/>
    <col min="5003" max="5003" width="12.125" style="58" customWidth="1"/>
    <col min="5004" max="5005" width="11.625" style="58" customWidth="1"/>
    <col min="5006" max="5006" width="12.5" style="58" customWidth="1"/>
    <col min="5007" max="5181" width="11.625" style="58" customWidth="1"/>
    <col min="5182" max="5182" width="17.75" style="58" customWidth="1"/>
    <col min="5183" max="5184" width="9" style="58" customWidth="1"/>
    <col min="5185" max="5185" width="16.25" style="58" customWidth="1"/>
    <col min="5186" max="5186" width="24" style="58" customWidth="1"/>
    <col min="5187" max="5187" width="9" style="58"/>
    <col min="5188" max="5188" width="11.75" style="58" customWidth="1"/>
    <col min="5189" max="5189" width="8.875" style="58" customWidth="1"/>
    <col min="5190" max="5190" width="17.375" style="58" customWidth="1"/>
    <col min="5191" max="5191" width="13.25" style="58" customWidth="1"/>
    <col min="5192" max="5192" width="25.75" style="58" customWidth="1"/>
    <col min="5193" max="5193" width="11.125" style="58" customWidth="1"/>
    <col min="5194" max="5194" width="10.75" style="58" customWidth="1"/>
    <col min="5195" max="5195" width="9" style="58" customWidth="1"/>
    <col min="5196" max="5196" width="9.75" style="58" customWidth="1"/>
    <col min="5197" max="5197" width="7.5" style="58" customWidth="1"/>
    <col min="5198" max="5198" width="13.25" style="58" customWidth="1"/>
    <col min="5199" max="5199" width="11.75" style="58" customWidth="1"/>
    <col min="5200" max="5200" width="8.875" style="58" customWidth="1"/>
    <col min="5201" max="5201" width="9.625" style="58" customWidth="1"/>
    <col min="5202" max="5203" width="11.875" style="58" customWidth="1"/>
    <col min="5204" max="5204" width="11.5" style="58" customWidth="1"/>
    <col min="5205" max="5220" width="12.25" style="58" customWidth="1"/>
    <col min="5221" max="5221" width="13" style="58" customWidth="1"/>
    <col min="5222" max="5226" width="12.375" style="58" customWidth="1"/>
    <col min="5227" max="5227" width="13" style="58" customWidth="1"/>
    <col min="5228" max="5229" width="12.375" style="58" customWidth="1"/>
    <col min="5230" max="5230" width="13" style="58" customWidth="1"/>
    <col min="5231" max="5231" width="13.125" style="58" customWidth="1"/>
    <col min="5232" max="5232" width="13" style="58" customWidth="1"/>
    <col min="5233" max="5233" width="13.125" style="58" customWidth="1"/>
    <col min="5234" max="5235" width="12.375" style="58" customWidth="1"/>
    <col min="5236" max="5236" width="13" style="58" customWidth="1"/>
    <col min="5237" max="5237" width="12.375" style="58" customWidth="1"/>
    <col min="5238" max="5238" width="12.25" style="58" customWidth="1"/>
    <col min="5239" max="5239" width="12.125" style="58" customWidth="1"/>
    <col min="5240" max="5240" width="11.625" style="58" customWidth="1"/>
    <col min="5241" max="5241" width="12" style="58" customWidth="1"/>
    <col min="5242" max="5242" width="13" style="58" customWidth="1"/>
    <col min="5243" max="5243" width="11.625" style="58" customWidth="1"/>
    <col min="5244" max="5245" width="12" style="58" customWidth="1"/>
    <col min="5246" max="5248" width="11.625" style="58" customWidth="1"/>
    <col min="5249" max="5249" width="11.125" style="58" customWidth="1"/>
    <col min="5250" max="5250" width="12" style="58" customWidth="1"/>
    <col min="5251" max="5251" width="13" style="58" customWidth="1"/>
    <col min="5252" max="5252" width="13.625" style="58" customWidth="1"/>
    <col min="5253" max="5253" width="11.875" style="58" customWidth="1"/>
    <col min="5254" max="5255" width="11.625" style="58" customWidth="1"/>
    <col min="5256" max="5256" width="12" style="58" customWidth="1"/>
    <col min="5257" max="5257" width="12.75" style="58" customWidth="1"/>
    <col min="5258" max="5258" width="11.625" style="58" customWidth="1"/>
    <col min="5259" max="5259" width="12.125" style="58" customWidth="1"/>
    <col min="5260" max="5261" width="11.625" style="58" customWidth="1"/>
    <col min="5262" max="5262" width="12.5" style="58" customWidth="1"/>
    <col min="5263" max="5437" width="11.625" style="58" customWidth="1"/>
    <col min="5438" max="5438" width="17.75" style="58" customWidth="1"/>
    <col min="5439" max="5440" width="9" style="58" customWidth="1"/>
    <col min="5441" max="5441" width="16.25" style="58" customWidth="1"/>
    <col min="5442" max="5442" width="24" style="58" customWidth="1"/>
    <col min="5443" max="5443" width="9" style="58"/>
    <col min="5444" max="5444" width="11.75" style="58" customWidth="1"/>
    <col min="5445" max="5445" width="8.875" style="58" customWidth="1"/>
    <col min="5446" max="5446" width="17.375" style="58" customWidth="1"/>
    <col min="5447" max="5447" width="13.25" style="58" customWidth="1"/>
    <col min="5448" max="5448" width="25.75" style="58" customWidth="1"/>
    <col min="5449" max="5449" width="11.125" style="58" customWidth="1"/>
    <col min="5450" max="5450" width="10.75" style="58" customWidth="1"/>
    <col min="5451" max="5451" width="9" style="58" customWidth="1"/>
    <col min="5452" max="5452" width="9.75" style="58" customWidth="1"/>
    <col min="5453" max="5453" width="7.5" style="58" customWidth="1"/>
    <col min="5454" max="5454" width="13.25" style="58" customWidth="1"/>
    <col min="5455" max="5455" width="11.75" style="58" customWidth="1"/>
    <col min="5456" max="5456" width="8.875" style="58" customWidth="1"/>
    <col min="5457" max="5457" width="9.625" style="58" customWidth="1"/>
    <col min="5458" max="5459" width="11.875" style="58" customWidth="1"/>
    <col min="5460" max="5460" width="11.5" style="58" customWidth="1"/>
    <col min="5461" max="5476" width="12.25" style="58" customWidth="1"/>
    <col min="5477" max="5477" width="13" style="58" customWidth="1"/>
    <col min="5478" max="5482" width="12.375" style="58" customWidth="1"/>
    <col min="5483" max="5483" width="13" style="58" customWidth="1"/>
    <col min="5484" max="5485" width="12.375" style="58" customWidth="1"/>
    <col min="5486" max="5486" width="13" style="58" customWidth="1"/>
    <col min="5487" max="5487" width="13.125" style="58" customWidth="1"/>
    <col min="5488" max="5488" width="13" style="58" customWidth="1"/>
    <col min="5489" max="5489" width="13.125" style="58" customWidth="1"/>
    <col min="5490" max="5491" width="12.375" style="58" customWidth="1"/>
    <col min="5492" max="5492" width="13" style="58" customWidth="1"/>
    <col min="5493" max="5493" width="12.375" style="58" customWidth="1"/>
    <col min="5494" max="5494" width="12.25" style="58" customWidth="1"/>
    <col min="5495" max="5495" width="12.125" style="58" customWidth="1"/>
    <col min="5496" max="5496" width="11.625" style="58" customWidth="1"/>
    <col min="5497" max="5497" width="12" style="58" customWidth="1"/>
    <col min="5498" max="5498" width="13" style="58" customWidth="1"/>
    <col min="5499" max="5499" width="11.625" style="58" customWidth="1"/>
    <col min="5500" max="5501" width="12" style="58" customWidth="1"/>
    <col min="5502" max="5504" width="11.625" style="58" customWidth="1"/>
    <col min="5505" max="5505" width="11.125" style="58" customWidth="1"/>
    <col min="5506" max="5506" width="12" style="58" customWidth="1"/>
    <col min="5507" max="5507" width="13" style="58" customWidth="1"/>
    <col min="5508" max="5508" width="13.625" style="58" customWidth="1"/>
    <col min="5509" max="5509" width="11.875" style="58" customWidth="1"/>
    <col min="5510" max="5511" width="11.625" style="58" customWidth="1"/>
    <col min="5512" max="5512" width="12" style="58" customWidth="1"/>
    <col min="5513" max="5513" width="12.75" style="58" customWidth="1"/>
    <col min="5514" max="5514" width="11.625" style="58" customWidth="1"/>
    <col min="5515" max="5515" width="12.125" style="58" customWidth="1"/>
    <col min="5516" max="5517" width="11.625" style="58" customWidth="1"/>
    <col min="5518" max="5518" width="12.5" style="58" customWidth="1"/>
    <col min="5519" max="5693" width="11.625" style="58" customWidth="1"/>
    <col min="5694" max="5694" width="17.75" style="58" customWidth="1"/>
    <col min="5695" max="5696" width="9" style="58" customWidth="1"/>
    <col min="5697" max="5697" width="16.25" style="58" customWidth="1"/>
    <col min="5698" max="5698" width="24" style="58" customWidth="1"/>
    <col min="5699" max="5699" width="9" style="58"/>
    <col min="5700" max="5700" width="11.75" style="58" customWidth="1"/>
    <col min="5701" max="5701" width="8.875" style="58" customWidth="1"/>
    <col min="5702" max="5702" width="17.375" style="58" customWidth="1"/>
    <col min="5703" max="5703" width="13.25" style="58" customWidth="1"/>
    <col min="5704" max="5704" width="25.75" style="58" customWidth="1"/>
    <col min="5705" max="5705" width="11.125" style="58" customWidth="1"/>
    <col min="5706" max="5706" width="10.75" style="58" customWidth="1"/>
    <col min="5707" max="5707" width="9" style="58" customWidth="1"/>
    <col min="5708" max="5708" width="9.75" style="58" customWidth="1"/>
    <col min="5709" max="5709" width="7.5" style="58" customWidth="1"/>
    <col min="5710" max="5710" width="13.25" style="58" customWidth="1"/>
    <col min="5711" max="5711" width="11.75" style="58" customWidth="1"/>
    <col min="5712" max="5712" width="8.875" style="58" customWidth="1"/>
    <col min="5713" max="5713" width="9.625" style="58" customWidth="1"/>
    <col min="5714" max="5715" width="11.875" style="58" customWidth="1"/>
    <col min="5716" max="5716" width="11.5" style="58" customWidth="1"/>
    <col min="5717" max="5732" width="12.25" style="58" customWidth="1"/>
    <col min="5733" max="5733" width="13" style="58" customWidth="1"/>
    <col min="5734" max="5738" width="12.375" style="58" customWidth="1"/>
    <col min="5739" max="5739" width="13" style="58" customWidth="1"/>
    <col min="5740" max="5741" width="12.375" style="58" customWidth="1"/>
    <col min="5742" max="5742" width="13" style="58" customWidth="1"/>
    <col min="5743" max="5743" width="13.125" style="58" customWidth="1"/>
    <col min="5744" max="5744" width="13" style="58" customWidth="1"/>
    <col min="5745" max="5745" width="13.125" style="58" customWidth="1"/>
    <col min="5746" max="5747" width="12.375" style="58" customWidth="1"/>
    <col min="5748" max="5748" width="13" style="58" customWidth="1"/>
    <col min="5749" max="5749" width="12.375" style="58" customWidth="1"/>
    <col min="5750" max="5750" width="12.25" style="58" customWidth="1"/>
    <col min="5751" max="5751" width="12.125" style="58" customWidth="1"/>
    <col min="5752" max="5752" width="11.625" style="58" customWidth="1"/>
    <col min="5753" max="5753" width="12" style="58" customWidth="1"/>
    <col min="5754" max="5754" width="13" style="58" customWidth="1"/>
    <col min="5755" max="5755" width="11.625" style="58" customWidth="1"/>
    <col min="5756" max="5757" width="12" style="58" customWidth="1"/>
    <col min="5758" max="5760" width="11.625" style="58" customWidth="1"/>
    <col min="5761" max="5761" width="11.125" style="58" customWidth="1"/>
    <col min="5762" max="5762" width="12" style="58" customWidth="1"/>
    <col min="5763" max="5763" width="13" style="58" customWidth="1"/>
    <col min="5764" max="5764" width="13.625" style="58" customWidth="1"/>
    <col min="5765" max="5765" width="11.875" style="58" customWidth="1"/>
    <col min="5766" max="5767" width="11.625" style="58" customWidth="1"/>
    <col min="5768" max="5768" width="12" style="58" customWidth="1"/>
    <col min="5769" max="5769" width="12.75" style="58" customWidth="1"/>
    <col min="5770" max="5770" width="11.625" style="58" customWidth="1"/>
    <col min="5771" max="5771" width="12.125" style="58" customWidth="1"/>
    <col min="5772" max="5773" width="11.625" style="58" customWidth="1"/>
    <col min="5774" max="5774" width="12.5" style="58" customWidth="1"/>
    <col min="5775" max="5949" width="11.625" style="58" customWidth="1"/>
    <col min="5950" max="5950" width="17.75" style="58" customWidth="1"/>
    <col min="5951" max="5952" width="9" style="58" customWidth="1"/>
    <col min="5953" max="5953" width="16.25" style="58" customWidth="1"/>
    <col min="5954" max="5954" width="24" style="58" customWidth="1"/>
    <col min="5955" max="5955" width="9" style="58"/>
    <col min="5956" max="5956" width="11.75" style="58" customWidth="1"/>
    <col min="5957" max="5957" width="8.875" style="58" customWidth="1"/>
    <col min="5958" max="5958" width="17.375" style="58" customWidth="1"/>
    <col min="5959" max="5959" width="13.25" style="58" customWidth="1"/>
    <col min="5960" max="5960" width="25.75" style="58" customWidth="1"/>
    <col min="5961" max="5961" width="11.125" style="58" customWidth="1"/>
    <col min="5962" max="5962" width="10.75" style="58" customWidth="1"/>
    <col min="5963" max="5963" width="9" style="58" customWidth="1"/>
    <col min="5964" max="5964" width="9.75" style="58" customWidth="1"/>
    <col min="5965" max="5965" width="7.5" style="58" customWidth="1"/>
    <col min="5966" max="5966" width="13.25" style="58" customWidth="1"/>
    <col min="5967" max="5967" width="11.75" style="58" customWidth="1"/>
    <col min="5968" max="5968" width="8.875" style="58" customWidth="1"/>
    <col min="5969" max="5969" width="9.625" style="58" customWidth="1"/>
    <col min="5970" max="5971" width="11.875" style="58" customWidth="1"/>
    <col min="5972" max="5972" width="11.5" style="58" customWidth="1"/>
    <col min="5973" max="5988" width="12.25" style="58" customWidth="1"/>
    <col min="5989" max="5989" width="13" style="58" customWidth="1"/>
    <col min="5990" max="5994" width="12.375" style="58" customWidth="1"/>
    <col min="5995" max="5995" width="13" style="58" customWidth="1"/>
    <col min="5996" max="5997" width="12.375" style="58" customWidth="1"/>
    <col min="5998" max="5998" width="13" style="58" customWidth="1"/>
    <col min="5999" max="5999" width="13.125" style="58" customWidth="1"/>
    <col min="6000" max="6000" width="13" style="58" customWidth="1"/>
    <col min="6001" max="6001" width="13.125" style="58" customWidth="1"/>
    <col min="6002" max="6003" width="12.375" style="58" customWidth="1"/>
    <col min="6004" max="6004" width="13" style="58" customWidth="1"/>
    <col min="6005" max="6005" width="12.375" style="58" customWidth="1"/>
    <col min="6006" max="6006" width="12.25" style="58" customWidth="1"/>
    <col min="6007" max="6007" width="12.125" style="58" customWidth="1"/>
    <col min="6008" max="6008" width="11.625" style="58" customWidth="1"/>
    <col min="6009" max="6009" width="12" style="58" customWidth="1"/>
    <col min="6010" max="6010" width="13" style="58" customWidth="1"/>
    <col min="6011" max="6011" width="11.625" style="58" customWidth="1"/>
    <col min="6012" max="6013" width="12" style="58" customWidth="1"/>
    <col min="6014" max="6016" width="11.625" style="58" customWidth="1"/>
    <col min="6017" max="6017" width="11.125" style="58" customWidth="1"/>
    <col min="6018" max="6018" width="12" style="58" customWidth="1"/>
    <col min="6019" max="6019" width="13" style="58" customWidth="1"/>
    <col min="6020" max="6020" width="13.625" style="58" customWidth="1"/>
    <col min="6021" max="6021" width="11.875" style="58" customWidth="1"/>
    <col min="6022" max="6023" width="11.625" style="58" customWidth="1"/>
    <col min="6024" max="6024" width="12" style="58" customWidth="1"/>
    <col min="6025" max="6025" width="12.75" style="58" customWidth="1"/>
    <col min="6026" max="6026" width="11.625" style="58" customWidth="1"/>
    <col min="6027" max="6027" width="12.125" style="58" customWidth="1"/>
    <col min="6028" max="6029" width="11.625" style="58" customWidth="1"/>
    <col min="6030" max="6030" width="12.5" style="58" customWidth="1"/>
    <col min="6031" max="6205" width="11.625" style="58" customWidth="1"/>
    <col min="6206" max="6206" width="17.75" style="58" customWidth="1"/>
    <col min="6207" max="6208" width="9" style="58" customWidth="1"/>
    <col min="6209" max="6209" width="16.25" style="58" customWidth="1"/>
    <col min="6210" max="6210" width="24" style="58" customWidth="1"/>
    <col min="6211" max="6211" width="9" style="58"/>
    <col min="6212" max="6212" width="11.75" style="58" customWidth="1"/>
    <col min="6213" max="6213" width="8.875" style="58" customWidth="1"/>
    <col min="6214" max="6214" width="17.375" style="58" customWidth="1"/>
    <col min="6215" max="6215" width="13.25" style="58" customWidth="1"/>
    <col min="6216" max="6216" width="25.75" style="58" customWidth="1"/>
    <col min="6217" max="6217" width="11.125" style="58" customWidth="1"/>
    <col min="6218" max="6218" width="10.75" style="58" customWidth="1"/>
    <col min="6219" max="6219" width="9" style="58" customWidth="1"/>
    <col min="6220" max="6220" width="9.75" style="58" customWidth="1"/>
    <col min="6221" max="6221" width="7.5" style="58" customWidth="1"/>
    <col min="6222" max="6222" width="13.25" style="58" customWidth="1"/>
    <col min="6223" max="6223" width="11.75" style="58" customWidth="1"/>
    <col min="6224" max="6224" width="8.875" style="58" customWidth="1"/>
    <col min="6225" max="6225" width="9.625" style="58" customWidth="1"/>
    <col min="6226" max="6227" width="11.875" style="58" customWidth="1"/>
    <col min="6228" max="6228" width="11.5" style="58" customWidth="1"/>
    <col min="6229" max="6244" width="12.25" style="58" customWidth="1"/>
    <col min="6245" max="6245" width="13" style="58" customWidth="1"/>
    <col min="6246" max="6250" width="12.375" style="58" customWidth="1"/>
    <col min="6251" max="6251" width="13" style="58" customWidth="1"/>
    <col min="6252" max="6253" width="12.375" style="58" customWidth="1"/>
    <col min="6254" max="6254" width="13" style="58" customWidth="1"/>
    <col min="6255" max="6255" width="13.125" style="58" customWidth="1"/>
    <col min="6256" max="6256" width="13" style="58" customWidth="1"/>
    <col min="6257" max="6257" width="13.125" style="58" customWidth="1"/>
    <col min="6258" max="6259" width="12.375" style="58" customWidth="1"/>
    <col min="6260" max="6260" width="13" style="58" customWidth="1"/>
    <col min="6261" max="6261" width="12.375" style="58" customWidth="1"/>
    <col min="6262" max="6262" width="12.25" style="58" customWidth="1"/>
    <col min="6263" max="6263" width="12.125" style="58" customWidth="1"/>
    <col min="6264" max="6264" width="11.625" style="58" customWidth="1"/>
    <col min="6265" max="6265" width="12" style="58" customWidth="1"/>
    <col min="6266" max="6266" width="13" style="58" customWidth="1"/>
    <col min="6267" max="6267" width="11.625" style="58" customWidth="1"/>
    <col min="6268" max="6269" width="12" style="58" customWidth="1"/>
    <col min="6270" max="6272" width="11.625" style="58" customWidth="1"/>
    <col min="6273" max="6273" width="11.125" style="58" customWidth="1"/>
    <col min="6274" max="6274" width="12" style="58" customWidth="1"/>
    <col min="6275" max="6275" width="13" style="58" customWidth="1"/>
    <col min="6276" max="6276" width="13.625" style="58" customWidth="1"/>
    <col min="6277" max="6277" width="11.875" style="58" customWidth="1"/>
    <col min="6278" max="6279" width="11.625" style="58" customWidth="1"/>
    <col min="6280" max="6280" width="12" style="58" customWidth="1"/>
    <col min="6281" max="6281" width="12.75" style="58" customWidth="1"/>
    <col min="6282" max="6282" width="11.625" style="58" customWidth="1"/>
    <col min="6283" max="6283" width="12.125" style="58" customWidth="1"/>
    <col min="6284" max="6285" width="11.625" style="58" customWidth="1"/>
    <col min="6286" max="6286" width="12.5" style="58" customWidth="1"/>
    <col min="6287" max="6461" width="11.625" style="58" customWidth="1"/>
    <col min="6462" max="6462" width="17.75" style="58" customWidth="1"/>
    <col min="6463" max="6464" width="9" style="58" customWidth="1"/>
    <col min="6465" max="6465" width="16.25" style="58" customWidth="1"/>
    <col min="6466" max="6466" width="24" style="58" customWidth="1"/>
    <col min="6467" max="6467" width="9" style="58"/>
    <col min="6468" max="6468" width="11.75" style="58" customWidth="1"/>
    <col min="6469" max="6469" width="8.875" style="58" customWidth="1"/>
    <col min="6470" max="6470" width="17.375" style="58" customWidth="1"/>
    <col min="6471" max="6471" width="13.25" style="58" customWidth="1"/>
    <col min="6472" max="6472" width="25.75" style="58" customWidth="1"/>
    <col min="6473" max="6473" width="11.125" style="58" customWidth="1"/>
    <col min="6474" max="6474" width="10.75" style="58" customWidth="1"/>
    <col min="6475" max="6475" width="9" style="58" customWidth="1"/>
    <col min="6476" max="6476" width="9.75" style="58" customWidth="1"/>
    <col min="6477" max="6477" width="7.5" style="58" customWidth="1"/>
    <col min="6478" max="6478" width="13.25" style="58" customWidth="1"/>
    <col min="6479" max="6479" width="11.75" style="58" customWidth="1"/>
    <col min="6480" max="6480" width="8.875" style="58" customWidth="1"/>
    <col min="6481" max="6481" width="9.625" style="58" customWidth="1"/>
    <col min="6482" max="6483" width="11.875" style="58" customWidth="1"/>
    <col min="6484" max="6484" width="11.5" style="58" customWidth="1"/>
    <col min="6485" max="6500" width="12.25" style="58" customWidth="1"/>
    <col min="6501" max="6501" width="13" style="58" customWidth="1"/>
    <col min="6502" max="6506" width="12.375" style="58" customWidth="1"/>
    <col min="6507" max="6507" width="13" style="58" customWidth="1"/>
    <col min="6508" max="6509" width="12.375" style="58" customWidth="1"/>
    <col min="6510" max="6510" width="13" style="58" customWidth="1"/>
    <col min="6511" max="6511" width="13.125" style="58" customWidth="1"/>
    <col min="6512" max="6512" width="13" style="58" customWidth="1"/>
    <col min="6513" max="6513" width="13.125" style="58" customWidth="1"/>
    <col min="6514" max="6515" width="12.375" style="58" customWidth="1"/>
    <col min="6516" max="6516" width="13" style="58" customWidth="1"/>
    <col min="6517" max="6517" width="12.375" style="58" customWidth="1"/>
    <col min="6518" max="6518" width="12.25" style="58" customWidth="1"/>
    <col min="6519" max="6519" width="12.125" style="58" customWidth="1"/>
    <col min="6520" max="6520" width="11.625" style="58" customWidth="1"/>
    <col min="6521" max="6521" width="12" style="58" customWidth="1"/>
    <col min="6522" max="6522" width="13" style="58" customWidth="1"/>
    <col min="6523" max="6523" width="11.625" style="58" customWidth="1"/>
    <col min="6524" max="6525" width="12" style="58" customWidth="1"/>
    <col min="6526" max="6528" width="11.625" style="58" customWidth="1"/>
    <col min="6529" max="6529" width="11.125" style="58" customWidth="1"/>
    <col min="6530" max="6530" width="12" style="58" customWidth="1"/>
    <col min="6531" max="6531" width="13" style="58" customWidth="1"/>
    <col min="6532" max="6532" width="13.625" style="58" customWidth="1"/>
    <col min="6533" max="6533" width="11.875" style="58" customWidth="1"/>
    <col min="6534" max="6535" width="11.625" style="58" customWidth="1"/>
    <col min="6536" max="6536" width="12" style="58" customWidth="1"/>
    <col min="6537" max="6537" width="12.75" style="58" customWidth="1"/>
    <col min="6538" max="6538" width="11.625" style="58" customWidth="1"/>
    <col min="6539" max="6539" width="12.125" style="58" customWidth="1"/>
    <col min="6540" max="6541" width="11.625" style="58" customWidth="1"/>
    <col min="6542" max="6542" width="12.5" style="58" customWidth="1"/>
    <col min="6543" max="6717" width="11.625" style="58" customWidth="1"/>
    <col min="6718" max="6718" width="17.75" style="58" customWidth="1"/>
    <col min="6719" max="6720" width="9" style="58" customWidth="1"/>
    <col min="6721" max="6721" width="16.25" style="58" customWidth="1"/>
    <col min="6722" max="6722" width="24" style="58" customWidth="1"/>
    <col min="6723" max="6723" width="9" style="58"/>
    <col min="6724" max="6724" width="11.75" style="58" customWidth="1"/>
    <col min="6725" max="6725" width="8.875" style="58" customWidth="1"/>
    <col min="6726" max="6726" width="17.375" style="58" customWidth="1"/>
    <col min="6727" max="6727" width="13.25" style="58" customWidth="1"/>
    <col min="6728" max="6728" width="25.75" style="58" customWidth="1"/>
    <col min="6729" max="6729" width="11.125" style="58" customWidth="1"/>
    <col min="6730" max="6730" width="10.75" style="58" customWidth="1"/>
    <col min="6731" max="6731" width="9" style="58" customWidth="1"/>
    <col min="6732" max="6732" width="9.75" style="58" customWidth="1"/>
    <col min="6733" max="6733" width="7.5" style="58" customWidth="1"/>
    <col min="6734" max="6734" width="13.25" style="58" customWidth="1"/>
    <col min="6735" max="6735" width="11.75" style="58" customWidth="1"/>
    <col min="6736" max="6736" width="8.875" style="58" customWidth="1"/>
    <col min="6737" max="6737" width="9.625" style="58" customWidth="1"/>
    <col min="6738" max="6739" width="11.875" style="58" customWidth="1"/>
    <col min="6740" max="6740" width="11.5" style="58" customWidth="1"/>
    <col min="6741" max="6756" width="12.25" style="58" customWidth="1"/>
    <col min="6757" max="6757" width="13" style="58" customWidth="1"/>
    <col min="6758" max="6762" width="12.375" style="58" customWidth="1"/>
    <col min="6763" max="6763" width="13" style="58" customWidth="1"/>
    <col min="6764" max="6765" width="12.375" style="58" customWidth="1"/>
    <col min="6766" max="6766" width="13" style="58" customWidth="1"/>
    <col min="6767" max="6767" width="13.125" style="58" customWidth="1"/>
    <col min="6768" max="6768" width="13" style="58" customWidth="1"/>
    <col min="6769" max="6769" width="13.125" style="58" customWidth="1"/>
    <col min="6770" max="6771" width="12.375" style="58" customWidth="1"/>
    <col min="6772" max="6772" width="13" style="58" customWidth="1"/>
    <col min="6773" max="6773" width="12.375" style="58" customWidth="1"/>
    <col min="6774" max="6774" width="12.25" style="58" customWidth="1"/>
    <col min="6775" max="6775" width="12.125" style="58" customWidth="1"/>
    <col min="6776" max="6776" width="11.625" style="58" customWidth="1"/>
    <col min="6777" max="6777" width="12" style="58" customWidth="1"/>
    <col min="6778" max="6778" width="13" style="58" customWidth="1"/>
    <col min="6779" max="6779" width="11.625" style="58" customWidth="1"/>
    <col min="6780" max="6781" width="12" style="58" customWidth="1"/>
    <col min="6782" max="6784" width="11.625" style="58" customWidth="1"/>
    <col min="6785" max="6785" width="11.125" style="58" customWidth="1"/>
    <col min="6786" max="6786" width="12" style="58" customWidth="1"/>
    <col min="6787" max="6787" width="13" style="58" customWidth="1"/>
    <col min="6788" max="6788" width="13.625" style="58" customWidth="1"/>
    <col min="6789" max="6789" width="11.875" style="58" customWidth="1"/>
    <col min="6790" max="6791" width="11.625" style="58" customWidth="1"/>
    <col min="6792" max="6792" width="12" style="58" customWidth="1"/>
    <col min="6793" max="6793" width="12.75" style="58" customWidth="1"/>
    <col min="6794" max="6794" width="11.625" style="58" customWidth="1"/>
    <col min="6795" max="6795" width="12.125" style="58" customWidth="1"/>
    <col min="6796" max="6797" width="11.625" style="58" customWidth="1"/>
    <col min="6798" max="6798" width="12.5" style="58" customWidth="1"/>
    <col min="6799" max="6973" width="11.625" style="58" customWidth="1"/>
    <col min="6974" max="6974" width="17.75" style="58" customWidth="1"/>
    <col min="6975" max="6976" width="9" style="58" customWidth="1"/>
    <col min="6977" max="6977" width="16.25" style="58" customWidth="1"/>
    <col min="6978" max="6978" width="24" style="58" customWidth="1"/>
    <col min="6979" max="6979" width="9" style="58"/>
    <col min="6980" max="6980" width="11.75" style="58" customWidth="1"/>
    <col min="6981" max="6981" width="8.875" style="58" customWidth="1"/>
    <col min="6982" max="6982" width="17.375" style="58" customWidth="1"/>
    <col min="6983" max="6983" width="13.25" style="58" customWidth="1"/>
    <col min="6984" max="6984" width="25.75" style="58" customWidth="1"/>
    <col min="6985" max="6985" width="11.125" style="58" customWidth="1"/>
    <col min="6986" max="6986" width="10.75" style="58" customWidth="1"/>
    <col min="6987" max="6987" width="9" style="58" customWidth="1"/>
    <col min="6988" max="6988" width="9.75" style="58" customWidth="1"/>
    <col min="6989" max="6989" width="7.5" style="58" customWidth="1"/>
    <col min="6990" max="6990" width="13.25" style="58" customWidth="1"/>
    <col min="6991" max="6991" width="11.75" style="58" customWidth="1"/>
    <col min="6992" max="6992" width="8.875" style="58" customWidth="1"/>
    <col min="6993" max="6993" width="9.625" style="58" customWidth="1"/>
    <col min="6994" max="6995" width="11.875" style="58" customWidth="1"/>
    <col min="6996" max="6996" width="11.5" style="58" customWidth="1"/>
    <col min="6997" max="7012" width="12.25" style="58" customWidth="1"/>
    <col min="7013" max="7013" width="13" style="58" customWidth="1"/>
    <col min="7014" max="7018" width="12.375" style="58" customWidth="1"/>
    <col min="7019" max="7019" width="13" style="58" customWidth="1"/>
    <col min="7020" max="7021" width="12.375" style="58" customWidth="1"/>
    <col min="7022" max="7022" width="13" style="58" customWidth="1"/>
    <col min="7023" max="7023" width="13.125" style="58" customWidth="1"/>
    <col min="7024" max="7024" width="13" style="58" customWidth="1"/>
    <col min="7025" max="7025" width="13.125" style="58" customWidth="1"/>
    <col min="7026" max="7027" width="12.375" style="58" customWidth="1"/>
    <col min="7028" max="7028" width="13" style="58" customWidth="1"/>
    <col min="7029" max="7029" width="12.375" style="58" customWidth="1"/>
    <col min="7030" max="7030" width="12.25" style="58" customWidth="1"/>
    <col min="7031" max="7031" width="12.125" style="58" customWidth="1"/>
    <col min="7032" max="7032" width="11.625" style="58" customWidth="1"/>
    <col min="7033" max="7033" width="12" style="58" customWidth="1"/>
    <col min="7034" max="7034" width="13" style="58" customWidth="1"/>
    <col min="7035" max="7035" width="11.625" style="58" customWidth="1"/>
    <col min="7036" max="7037" width="12" style="58" customWidth="1"/>
    <col min="7038" max="7040" width="11.625" style="58" customWidth="1"/>
    <col min="7041" max="7041" width="11.125" style="58" customWidth="1"/>
    <col min="7042" max="7042" width="12" style="58" customWidth="1"/>
    <col min="7043" max="7043" width="13" style="58" customWidth="1"/>
    <col min="7044" max="7044" width="13.625" style="58" customWidth="1"/>
    <col min="7045" max="7045" width="11.875" style="58" customWidth="1"/>
    <col min="7046" max="7047" width="11.625" style="58" customWidth="1"/>
    <col min="7048" max="7048" width="12" style="58" customWidth="1"/>
    <col min="7049" max="7049" width="12.75" style="58" customWidth="1"/>
    <col min="7050" max="7050" width="11.625" style="58" customWidth="1"/>
    <col min="7051" max="7051" width="12.125" style="58" customWidth="1"/>
    <col min="7052" max="7053" width="11.625" style="58" customWidth="1"/>
    <col min="7054" max="7054" width="12.5" style="58" customWidth="1"/>
    <col min="7055" max="7229" width="11.625" style="58" customWidth="1"/>
    <col min="7230" max="7230" width="17.75" style="58" customWidth="1"/>
    <col min="7231" max="7232" width="9" style="58" customWidth="1"/>
    <col min="7233" max="7233" width="16.25" style="58" customWidth="1"/>
    <col min="7234" max="7234" width="24" style="58" customWidth="1"/>
    <col min="7235" max="7235" width="9" style="58"/>
    <col min="7236" max="7236" width="11.75" style="58" customWidth="1"/>
    <col min="7237" max="7237" width="8.875" style="58" customWidth="1"/>
    <col min="7238" max="7238" width="17.375" style="58" customWidth="1"/>
    <col min="7239" max="7239" width="13.25" style="58" customWidth="1"/>
    <col min="7240" max="7240" width="25.75" style="58" customWidth="1"/>
    <col min="7241" max="7241" width="11.125" style="58" customWidth="1"/>
    <col min="7242" max="7242" width="10.75" style="58" customWidth="1"/>
    <col min="7243" max="7243" width="9" style="58" customWidth="1"/>
    <col min="7244" max="7244" width="9.75" style="58" customWidth="1"/>
    <col min="7245" max="7245" width="7.5" style="58" customWidth="1"/>
    <col min="7246" max="7246" width="13.25" style="58" customWidth="1"/>
    <col min="7247" max="7247" width="11.75" style="58" customWidth="1"/>
    <col min="7248" max="7248" width="8.875" style="58" customWidth="1"/>
    <col min="7249" max="7249" width="9.625" style="58" customWidth="1"/>
    <col min="7250" max="7251" width="11.875" style="58" customWidth="1"/>
    <col min="7252" max="7252" width="11.5" style="58" customWidth="1"/>
    <col min="7253" max="7268" width="12.25" style="58" customWidth="1"/>
    <col min="7269" max="7269" width="13" style="58" customWidth="1"/>
    <col min="7270" max="7274" width="12.375" style="58" customWidth="1"/>
    <col min="7275" max="7275" width="13" style="58" customWidth="1"/>
    <col min="7276" max="7277" width="12.375" style="58" customWidth="1"/>
    <col min="7278" max="7278" width="13" style="58" customWidth="1"/>
    <col min="7279" max="7279" width="13.125" style="58" customWidth="1"/>
    <col min="7280" max="7280" width="13" style="58" customWidth="1"/>
    <col min="7281" max="7281" width="13.125" style="58" customWidth="1"/>
    <col min="7282" max="7283" width="12.375" style="58" customWidth="1"/>
    <col min="7284" max="7284" width="13" style="58" customWidth="1"/>
    <col min="7285" max="7285" width="12.375" style="58" customWidth="1"/>
    <col min="7286" max="7286" width="12.25" style="58" customWidth="1"/>
    <col min="7287" max="7287" width="12.125" style="58" customWidth="1"/>
    <col min="7288" max="7288" width="11.625" style="58" customWidth="1"/>
    <col min="7289" max="7289" width="12" style="58" customWidth="1"/>
    <col min="7290" max="7290" width="13" style="58" customWidth="1"/>
    <col min="7291" max="7291" width="11.625" style="58" customWidth="1"/>
    <col min="7292" max="7293" width="12" style="58" customWidth="1"/>
    <col min="7294" max="7296" width="11.625" style="58" customWidth="1"/>
    <col min="7297" max="7297" width="11.125" style="58" customWidth="1"/>
    <col min="7298" max="7298" width="12" style="58" customWidth="1"/>
    <col min="7299" max="7299" width="13" style="58" customWidth="1"/>
    <col min="7300" max="7300" width="13.625" style="58" customWidth="1"/>
    <col min="7301" max="7301" width="11.875" style="58" customWidth="1"/>
    <col min="7302" max="7303" width="11.625" style="58" customWidth="1"/>
    <col min="7304" max="7304" width="12" style="58" customWidth="1"/>
    <col min="7305" max="7305" width="12.75" style="58" customWidth="1"/>
    <col min="7306" max="7306" width="11.625" style="58" customWidth="1"/>
    <col min="7307" max="7307" width="12.125" style="58" customWidth="1"/>
    <col min="7308" max="7309" width="11.625" style="58" customWidth="1"/>
    <col min="7310" max="7310" width="12.5" style="58" customWidth="1"/>
    <col min="7311" max="7485" width="11.625" style="58" customWidth="1"/>
    <col min="7486" max="7486" width="17.75" style="58" customWidth="1"/>
    <col min="7487" max="7488" width="9" style="58" customWidth="1"/>
    <col min="7489" max="7489" width="16.25" style="58" customWidth="1"/>
    <col min="7490" max="7490" width="24" style="58" customWidth="1"/>
    <col min="7491" max="7491" width="9" style="58"/>
    <col min="7492" max="7492" width="11.75" style="58" customWidth="1"/>
    <col min="7493" max="7493" width="8.875" style="58" customWidth="1"/>
    <col min="7494" max="7494" width="17.375" style="58" customWidth="1"/>
    <col min="7495" max="7495" width="13.25" style="58" customWidth="1"/>
    <col min="7496" max="7496" width="25.75" style="58" customWidth="1"/>
    <col min="7497" max="7497" width="11.125" style="58" customWidth="1"/>
    <col min="7498" max="7498" width="10.75" style="58" customWidth="1"/>
    <col min="7499" max="7499" width="9" style="58" customWidth="1"/>
    <col min="7500" max="7500" width="9.75" style="58" customWidth="1"/>
    <col min="7501" max="7501" width="7.5" style="58" customWidth="1"/>
    <col min="7502" max="7502" width="13.25" style="58" customWidth="1"/>
    <col min="7503" max="7503" width="11.75" style="58" customWidth="1"/>
    <col min="7504" max="7504" width="8.875" style="58" customWidth="1"/>
    <col min="7505" max="7505" width="9.625" style="58" customWidth="1"/>
    <col min="7506" max="7507" width="11.875" style="58" customWidth="1"/>
    <col min="7508" max="7508" width="11.5" style="58" customWidth="1"/>
    <col min="7509" max="7524" width="12.25" style="58" customWidth="1"/>
    <col min="7525" max="7525" width="13" style="58" customWidth="1"/>
    <col min="7526" max="7530" width="12.375" style="58" customWidth="1"/>
    <col min="7531" max="7531" width="13" style="58" customWidth="1"/>
    <col min="7532" max="7533" width="12.375" style="58" customWidth="1"/>
    <col min="7534" max="7534" width="13" style="58" customWidth="1"/>
    <col min="7535" max="7535" width="13.125" style="58" customWidth="1"/>
    <col min="7536" max="7536" width="13" style="58" customWidth="1"/>
    <col min="7537" max="7537" width="13.125" style="58" customWidth="1"/>
    <col min="7538" max="7539" width="12.375" style="58" customWidth="1"/>
    <col min="7540" max="7540" width="13" style="58" customWidth="1"/>
    <col min="7541" max="7541" width="12.375" style="58" customWidth="1"/>
    <col min="7542" max="7542" width="12.25" style="58" customWidth="1"/>
    <col min="7543" max="7543" width="12.125" style="58" customWidth="1"/>
    <col min="7544" max="7544" width="11.625" style="58" customWidth="1"/>
    <col min="7545" max="7545" width="12" style="58" customWidth="1"/>
    <col min="7546" max="7546" width="13" style="58" customWidth="1"/>
    <col min="7547" max="7547" width="11.625" style="58" customWidth="1"/>
    <col min="7548" max="7549" width="12" style="58" customWidth="1"/>
    <col min="7550" max="7552" width="11.625" style="58" customWidth="1"/>
    <col min="7553" max="7553" width="11.125" style="58" customWidth="1"/>
    <col min="7554" max="7554" width="12" style="58" customWidth="1"/>
    <col min="7555" max="7555" width="13" style="58" customWidth="1"/>
    <col min="7556" max="7556" width="13.625" style="58" customWidth="1"/>
    <col min="7557" max="7557" width="11.875" style="58" customWidth="1"/>
    <col min="7558" max="7559" width="11.625" style="58" customWidth="1"/>
    <col min="7560" max="7560" width="12" style="58" customWidth="1"/>
    <col min="7561" max="7561" width="12.75" style="58" customWidth="1"/>
    <col min="7562" max="7562" width="11.625" style="58" customWidth="1"/>
    <col min="7563" max="7563" width="12.125" style="58" customWidth="1"/>
    <col min="7564" max="7565" width="11.625" style="58" customWidth="1"/>
    <col min="7566" max="7566" width="12.5" style="58" customWidth="1"/>
    <col min="7567" max="7741" width="11.625" style="58" customWidth="1"/>
    <col min="7742" max="7742" width="17.75" style="58" customWidth="1"/>
    <col min="7743" max="7744" width="9" style="58" customWidth="1"/>
    <col min="7745" max="7745" width="16.25" style="58" customWidth="1"/>
    <col min="7746" max="7746" width="24" style="58" customWidth="1"/>
    <col min="7747" max="7747" width="9" style="58"/>
    <col min="7748" max="7748" width="11.75" style="58" customWidth="1"/>
    <col min="7749" max="7749" width="8.875" style="58" customWidth="1"/>
    <col min="7750" max="7750" width="17.375" style="58" customWidth="1"/>
    <col min="7751" max="7751" width="13.25" style="58" customWidth="1"/>
    <col min="7752" max="7752" width="25.75" style="58" customWidth="1"/>
    <col min="7753" max="7753" width="11.125" style="58" customWidth="1"/>
    <col min="7754" max="7754" width="10.75" style="58" customWidth="1"/>
    <col min="7755" max="7755" width="9" style="58" customWidth="1"/>
    <col min="7756" max="7756" width="9.75" style="58" customWidth="1"/>
    <col min="7757" max="7757" width="7.5" style="58" customWidth="1"/>
    <col min="7758" max="7758" width="13.25" style="58" customWidth="1"/>
    <col min="7759" max="7759" width="11.75" style="58" customWidth="1"/>
    <col min="7760" max="7760" width="8.875" style="58" customWidth="1"/>
    <col min="7761" max="7761" width="9.625" style="58" customWidth="1"/>
    <col min="7762" max="7763" width="11.875" style="58" customWidth="1"/>
    <col min="7764" max="7764" width="11.5" style="58" customWidth="1"/>
    <col min="7765" max="7780" width="12.25" style="58" customWidth="1"/>
    <col min="7781" max="7781" width="13" style="58" customWidth="1"/>
    <col min="7782" max="7786" width="12.375" style="58" customWidth="1"/>
    <col min="7787" max="7787" width="13" style="58" customWidth="1"/>
    <col min="7788" max="7789" width="12.375" style="58" customWidth="1"/>
    <col min="7790" max="7790" width="13" style="58" customWidth="1"/>
    <col min="7791" max="7791" width="13.125" style="58" customWidth="1"/>
    <col min="7792" max="7792" width="13" style="58" customWidth="1"/>
    <col min="7793" max="7793" width="13.125" style="58" customWidth="1"/>
    <col min="7794" max="7795" width="12.375" style="58" customWidth="1"/>
    <col min="7796" max="7796" width="13" style="58" customWidth="1"/>
    <col min="7797" max="7797" width="12.375" style="58" customWidth="1"/>
    <col min="7798" max="7798" width="12.25" style="58" customWidth="1"/>
    <col min="7799" max="7799" width="12.125" style="58" customWidth="1"/>
    <col min="7800" max="7800" width="11.625" style="58" customWidth="1"/>
    <col min="7801" max="7801" width="12" style="58" customWidth="1"/>
    <col min="7802" max="7802" width="13" style="58" customWidth="1"/>
    <col min="7803" max="7803" width="11.625" style="58" customWidth="1"/>
    <col min="7804" max="7805" width="12" style="58" customWidth="1"/>
    <col min="7806" max="7808" width="11.625" style="58" customWidth="1"/>
    <col min="7809" max="7809" width="11.125" style="58" customWidth="1"/>
    <col min="7810" max="7810" width="12" style="58" customWidth="1"/>
    <col min="7811" max="7811" width="13" style="58" customWidth="1"/>
    <col min="7812" max="7812" width="13.625" style="58" customWidth="1"/>
    <col min="7813" max="7813" width="11.875" style="58" customWidth="1"/>
    <col min="7814" max="7815" width="11.625" style="58" customWidth="1"/>
    <col min="7816" max="7816" width="12" style="58" customWidth="1"/>
    <col min="7817" max="7817" width="12.75" style="58" customWidth="1"/>
    <col min="7818" max="7818" width="11.625" style="58" customWidth="1"/>
    <col min="7819" max="7819" width="12.125" style="58" customWidth="1"/>
    <col min="7820" max="7821" width="11.625" style="58" customWidth="1"/>
    <col min="7822" max="7822" width="12.5" style="58" customWidth="1"/>
    <col min="7823" max="7997" width="11.625" style="58" customWidth="1"/>
    <col min="7998" max="7998" width="17.75" style="58" customWidth="1"/>
    <col min="7999" max="8000" width="9" style="58" customWidth="1"/>
    <col min="8001" max="8001" width="16.25" style="58" customWidth="1"/>
    <col min="8002" max="8002" width="24" style="58" customWidth="1"/>
    <col min="8003" max="8003" width="9" style="58"/>
    <col min="8004" max="8004" width="11.75" style="58" customWidth="1"/>
    <col min="8005" max="8005" width="8.875" style="58" customWidth="1"/>
    <col min="8006" max="8006" width="17.375" style="58" customWidth="1"/>
    <col min="8007" max="8007" width="13.25" style="58" customWidth="1"/>
    <col min="8008" max="8008" width="25.75" style="58" customWidth="1"/>
    <col min="8009" max="8009" width="11.125" style="58" customWidth="1"/>
    <col min="8010" max="8010" width="10.75" style="58" customWidth="1"/>
    <col min="8011" max="8011" width="9" style="58" customWidth="1"/>
    <col min="8012" max="8012" width="9.75" style="58" customWidth="1"/>
    <col min="8013" max="8013" width="7.5" style="58" customWidth="1"/>
    <col min="8014" max="8014" width="13.25" style="58" customWidth="1"/>
    <col min="8015" max="8015" width="11.75" style="58" customWidth="1"/>
    <col min="8016" max="8016" width="8.875" style="58" customWidth="1"/>
    <col min="8017" max="8017" width="9.625" style="58" customWidth="1"/>
    <col min="8018" max="8019" width="11.875" style="58" customWidth="1"/>
    <col min="8020" max="8020" width="11.5" style="58" customWidth="1"/>
    <col min="8021" max="8036" width="12.25" style="58" customWidth="1"/>
    <col min="8037" max="8037" width="13" style="58" customWidth="1"/>
    <col min="8038" max="8042" width="12.375" style="58" customWidth="1"/>
    <col min="8043" max="8043" width="13" style="58" customWidth="1"/>
    <col min="8044" max="8045" width="12.375" style="58" customWidth="1"/>
    <col min="8046" max="8046" width="13" style="58" customWidth="1"/>
    <col min="8047" max="8047" width="13.125" style="58" customWidth="1"/>
    <col min="8048" max="8048" width="13" style="58" customWidth="1"/>
    <col min="8049" max="8049" width="13.125" style="58" customWidth="1"/>
    <col min="8050" max="8051" width="12.375" style="58" customWidth="1"/>
    <col min="8052" max="8052" width="13" style="58" customWidth="1"/>
    <col min="8053" max="8053" width="12.375" style="58" customWidth="1"/>
    <col min="8054" max="8054" width="12.25" style="58" customWidth="1"/>
    <col min="8055" max="8055" width="12.125" style="58" customWidth="1"/>
    <col min="8056" max="8056" width="11.625" style="58" customWidth="1"/>
    <col min="8057" max="8057" width="12" style="58" customWidth="1"/>
    <col min="8058" max="8058" width="13" style="58" customWidth="1"/>
    <col min="8059" max="8059" width="11.625" style="58" customWidth="1"/>
    <col min="8060" max="8061" width="12" style="58" customWidth="1"/>
    <col min="8062" max="8064" width="11.625" style="58" customWidth="1"/>
    <col min="8065" max="8065" width="11.125" style="58" customWidth="1"/>
    <col min="8066" max="8066" width="12" style="58" customWidth="1"/>
    <col min="8067" max="8067" width="13" style="58" customWidth="1"/>
    <col min="8068" max="8068" width="13.625" style="58" customWidth="1"/>
    <col min="8069" max="8069" width="11.875" style="58" customWidth="1"/>
    <col min="8070" max="8071" width="11.625" style="58" customWidth="1"/>
    <col min="8072" max="8072" width="12" style="58" customWidth="1"/>
    <col min="8073" max="8073" width="12.75" style="58" customWidth="1"/>
    <col min="8074" max="8074" width="11.625" style="58" customWidth="1"/>
    <col min="8075" max="8075" width="12.125" style="58" customWidth="1"/>
    <col min="8076" max="8077" width="11.625" style="58" customWidth="1"/>
    <col min="8078" max="8078" width="12.5" style="58" customWidth="1"/>
    <col min="8079" max="8253" width="11.625" style="58" customWidth="1"/>
    <col min="8254" max="8254" width="17.75" style="58" customWidth="1"/>
    <col min="8255" max="8256" width="9" style="58" customWidth="1"/>
    <col min="8257" max="8257" width="16.25" style="58" customWidth="1"/>
    <col min="8258" max="8258" width="24" style="58" customWidth="1"/>
    <col min="8259" max="8259" width="9" style="58"/>
    <col min="8260" max="8260" width="11.75" style="58" customWidth="1"/>
    <col min="8261" max="8261" width="8.875" style="58" customWidth="1"/>
    <col min="8262" max="8262" width="17.375" style="58" customWidth="1"/>
    <col min="8263" max="8263" width="13.25" style="58" customWidth="1"/>
    <col min="8264" max="8264" width="25.75" style="58" customWidth="1"/>
    <col min="8265" max="8265" width="11.125" style="58" customWidth="1"/>
    <col min="8266" max="8266" width="10.75" style="58" customWidth="1"/>
    <col min="8267" max="8267" width="9" style="58" customWidth="1"/>
    <col min="8268" max="8268" width="9.75" style="58" customWidth="1"/>
    <col min="8269" max="8269" width="7.5" style="58" customWidth="1"/>
    <col min="8270" max="8270" width="13.25" style="58" customWidth="1"/>
    <col min="8271" max="8271" width="11.75" style="58" customWidth="1"/>
    <col min="8272" max="8272" width="8.875" style="58" customWidth="1"/>
    <col min="8273" max="8273" width="9.625" style="58" customWidth="1"/>
    <col min="8274" max="8275" width="11.875" style="58" customWidth="1"/>
    <col min="8276" max="8276" width="11.5" style="58" customWidth="1"/>
    <col min="8277" max="8292" width="12.25" style="58" customWidth="1"/>
    <col min="8293" max="8293" width="13" style="58" customWidth="1"/>
    <col min="8294" max="8298" width="12.375" style="58" customWidth="1"/>
    <col min="8299" max="8299" width="13" style="58" customWidth="1"/>
    <col min="8300" max="8301" width="12.375" style="58" customWidth="1"/>
    <col min="8302" max="8302" width="13" style="58" customWidth="1"/>
    <col min="8303" max="8303" width="13.125" style="58" customWidth="1"/>
    <col min="8304" max="8304" width="13" style="58" customWidth="1"/>
    <col min="8305" max="8305" width="13.125" style="58" customWidth="1"/>
    <col min="8306" max="8307" width="12.375" style="58" customWidth="1"/>
    <col min="8308" max="8308" width="13" style="58" customWidth="1"/>
    <col min="8309" max="8309" width="12.375" style="58" customWidth="1"/>
    <col min="8310" max="8310" width="12.25" style="58" customWidth="1"/>
    <col min="8311" max="8311" width="12.125" style="58" customWidth="1"/>
    <col min="8312" max="8312" width="11.625" style="58" customWidth="1"/>
    <col min="8313" max="8313" width="12" style="58" customWidth="1"/>
    <col min="8314" max="8314" width="13" style="58" customWidth="1"/>
    <col min="8315" max="8315" width="11.625" style="58" customWidth="1"/>
    <col min="8316" max="8317" width="12" style="58" customWidth="1"/>
    <col min="8318" max="8320" width="11.625" style="58" customWidth="1"/>
    <col min="8321" max="8321" width="11.125" style="58" customWidth="1"/>
    <col min="8322" max="8322" width="12" style="58" customWidth="1"/>
    <col min="8323" max="8323" width="13" style="58" customWidth="1"/>
    <col min="8324" max="8324" width="13.625" style="58" customWidth="1"/>
    <col min="8325" max="8325" width="11.875" style="58" customWidth="1"/>
    <col min="8326" max="8327" width="11.625" style="58" customWidth="1"/>
    <col min="8328" max="8328" width="12" style="58" customWidth="1"/>
    <col min="8329" max="8329" width="12.75" style="58" customWidth="1"/>
    <col min="8330" max="8330" width="11.625" style="58" customWidth="1"/>
    <col min="8331" max="8331" width="12.125" style="58" customWidth="1"/>
    <col min="8332" max="8333" width="11.625" style="58" customWidth="1"/>
    <col min="8334" max="8334" width="12.5" style="58" customWidth="1"/>
    <col min="8335" max="8509" width="11.625" style="58" customWidth="1"/>
    <col min="8510" max="8510" width="17.75" style="58" customWidth="1"/>
    <col min="8511" max="8512" width="9" style="58" customWidth="1"/>
    <col min="8513" max="8513" width="16.25" style="58" customWidth="1"/>
    <col min="8514" max="8514" width="24" style="58" customWidth="1"/>
    <col min="8515" max="8515" width="9" style="58"/>
    <col min="8516" max="8516" width="11.75" style="58" customWidth="1"/>
    <col min="8517" max="8517" width="8.875" style="58" customWidth="1"/>
    <col min="8518" max="8518" width="17.375" style="58" customWidth="1"/>
    <col min="8519" max="8519" width="13.25" style="58" customWidth="1"/>
    <col min="8520" max="8520" width="25.75" style="58" customWidth="1"/>
    <col min="8521" max="8521" width="11.125" style="58" customWidth="1"/>
    <col min="8522" max="8522" width="10.75" style="58" customWidth="1"/>
    <col min="8523" max="8523" width="9" style="58" customWidth="1"/>
    <col min="8524" max="8524" width="9.75" style="58" customWidth="1"/>
    <col min="8525" max="8525" width="7.5" style="58" customWidth="1"/>
    <col min="8526" max="8526" width="13.25" style="58" customWidth="1"/>
    <col min="8527" max="8527" width="11.75" style="58" customWidth="1"/>
    <col min="8528" max="8528" width="8.875" style="58" customWidth="1"/>
    <col min="8529" max="8529" width="9.625" style="58" customWidth="1"/>
    <col min="8530" max="8531" width="11.875" style="58" customWidth="1"/>
    <col min="8532" max="8532" width="11.5" style="58" customWidth="1"/>
    <col min="8533" max="8548" width="12.25" style="58" customWidth="1"/>
    <col min="8549" max="8549" width="13" style="58" customWidth="1"/>
    <col min="8550" max="8554" width="12.375" style="58" customWidth="1"/>
    <col min="8555" max="8555" width="13" style="58" customWidth="1"/>
    <col min="8556" max="8557" width="12.375" style="58" customWidth="1"/>
    <col min="8558" max="8558" width="13" style="58" customWidth="1"/>
    <col min="8559" max="8559" width="13.125" style="58" customWidth="1"/>
    <col min="8560" max="8560" width="13" style="58" customWidth="1"/>
    <col min="8561" max="8561" width="13.125" style="58" customWidth="1"/>
    <col min="8562" max="8563" width="12.375" style="58" customWidth="1"/>
    <col min="8564" max="8564" width="13" style="58" customWidth="1"/>
    <col min="8565" max="8565" width="12.375" style="58" customWidth="1"/>
    <col min="8566" max="8566" width="12.25" style="58" customWidth="1"/>
    <col min="8567" max="8567" width="12.125" style="58" customWidth="1"/>
    <col min="8568" max="8568" width="11.625" style="58" customWidth="1"/>
    <col min="8569" max="8569" width="12" style="58" customWidth="1"/>
    <col min="8570" max="8570" width="13" style="58" customWidth="1"/>
    <col min="8571" max="8571" width="11.625" style="58" customWidth="1"/>
    <col min="8572" max="8573" width="12" style="58" customWidth="1"/>
    <col min="8574" max="8576" width="11.625" style="58" customWidth="1"/>
    <col min="8577" max="8577" width="11.125" style="58" customWidth="1"/>
    <col min="8578" max="8578" width="12" style="58" customWidth="1"/>
    <col min="8579" max="8579" width="13" style="58" customWidth="1"/>
    <col min="8580" max="8580" width="13.625" style="58" customWidth="1"/>
    <col min="8581" max="8581" width="11.875" style="58" customWidth="1"/>
    <col min="8582" max="8583" width="11.625" style="58" customWidth="1"/>
    <col min="8584" max="8584" width="12" style="58" customWidth="1"/>
    <col min="8585" max="8585" width="12.75" style="58" customWidth="1"/>
    <col min="8586" max="8586" width="11.625" style="58" customWidth="1"/>
    <col min="8587" max="8587" width="12.125" style="58" customWidth="1"/>
    <col min="8588" max="8589" width="11.625" style="58" customWidth="1"/>
    <col min="8590" max="8590" width="12.5" style="58" customWidth="1"/>
    <col min="8591" max="8765" width="11.625" style="58" customWidth="1"/>
    <col min="8766" max="8766" width="17.75" style="58" customWidth="1"/>
    <col min="8767" max="8768" width="9" style="58" customWidth="1"/>
    <col min="8769" max="8769" width="16.25" style="58" customWidth="1"/>
    <col min="8770" max="8770" width="24" style="58" customWidth="1"/>
    <col min="8771" max="8771" width="9" style="58"/>
    <col min="8772" max="8772" width="11.75" style="58" customWidth="1"/>
    <col min="8773" max="8773" width="8.875" style="58" customWidth="1"/>
    <col min="8774" max="8774" width="17.375" style="58" customWidth="1"/>
    <col min="8775" max="8775" width="13.25" style="58" customWidth="1"/>
    <col min="8776" max="8776" width="25.75" style="58" customWidth="1"/>
    <col min="8777" max="8777" width="11.125" style="58" customWidth="1"/>
    <col min="8778" max="8778" width="10.75" style="58" customWidth="1"/>
    <col min="8779" max="8779" width="9" style="58" customWidth="1"/>
    <col min="8780" max="8780" width="9.75" style="58" customWidth="1"/>
    <col min="8781" max="8781" width="7.5" style="58" customWidth="1"/>
    <col min="8782" max="8782" width="13.25" style="58" customWidth="1"/>
    <col min="8783" max="8783" width="11.75" style="58" customWidth="1"/>
    <col min="8784" max="8784" width="8.875" style="58" customWidth="1"/>
    <col min="8785" max="8785" width="9.625" style="58" customWidth="1"/>
    <col min="8786" max="8787" width="11.875" style="58" customWidth="1"/>
    <col min="8788" max="8788" width="11.5" style="58" customWidth="1"/>
    <col min="8789" max="8804" width="12.25" style="58" customWidth="1"/>
    <col min="8805" max="8805" width="13" style="58" customWidth="1"/>
    <col min="8806" max="8810" width="12.375" style="58" customWidth="1"/>
    <col min="8811" max="8811" width="13" style="58" customWidth="1"/>
    <col min="8812" max="8813" width="12.375" style="58" customWidth="1"/>
    <col min="8814" max="8814" width="13" style="58" customWidth="1"/>
    <col min="8815" max="8815" width="13.125" style="58" customWidth="1"/>
    <col min="8816" max="8816" width="13" style="58" customWidth="1"/>
    <col min="8817" max="8817" width="13.125" style="58" customWidth="1"/>
    <col min="8818" max="8819" width="12.375" style="58" customWidth="1"/>
    <col min="8820" max="8820" width="13" style="58" customWidth="1"/>
    <col min="8821" max="8821" width="12.375" style="58" customWidth="1"/>
    <col min="8822" max="8822" width="12.25" style="58" customWidth="1"/>
    <col min="8823" max="8823" width="12.125" style="58" customWidth="1"/>
    <col min="8824" max="8824" width="11.625" style="58" customWidth="1"/>
    <col min="8825" max="8825" width="12" style="58" customWidth="1"/>
    <col min="8826" max="8826" width="13" style="58" customWidth="1"/>
    <col min="8827" max="8827" width="11.625" style="58" customWidth="1"/>
    <col min="8828" max="8829" width="12" style="58" customWidth="1"/>
    <col min="8830" max="8832" width="11.625" style="58" customWidth="1"/>
    <col min="8833" max="8833" width="11.125" style="58" customWidth="1"/>
    <col min="8834" max="8834" width="12" style="58" customWidth="1"/>
    <col min="8835" max="8835" width="13" style="58" customWidth="1"/>
    <col min="8836" max="8836" width="13.625" style="58" customWidth="1"/>
    <col min="8837" max="8837" width="11.875" style="58" customWidth="1"/>
    <col min="8838" max="8839" width="11.625" style="58" customWidth="1"/>
    <col min="8840" max="8840" width="12" style="58" customWidth="1"/>
    <col min="8841" max="8841" width="12.75" style="58" customWidth="1"/>
    <col min="8842" max="8842" width="11.625" style="58" customWidth="1"/>
    <col min="8843" max="8843" width="12.125" style="58" customWidth="1"/>
    <col min="8844" max="8845" width="11.625" style="58" customWidth="1"/>
    <col min="8846" max="8846" width="12.5" style="58" customWidth="1"/>
    <col min="8847" max="9021" width="11.625" style="58" customWidth="1"/>
    <col min="9022" max="9022" width="17.75" style="58" customWidth="1"/>
    <col min="9023" max="9024" width="9" style="58" customWidth="1"/>
    <col min="9025" max="9025" width="16.25" style="58" customWidth="1"/>
    <col min="9026" max="9026" width="24" style="58" customWidth="1"/>
    <col min="9027" max="9027" width="9" style="58"/>
    <col min="9028" max="9028" width="11.75" style="58" customWidth="1"/>
    <col min="9029" max="9029" width="8.875" style="58" customWidth="1"/>
    <col min="9030" max="9030" width="17.375" style="58" customWidth="1"/>
    <col min="9031" max="9031" width="13.25" style="58" customWidth="1"/>
    <col min="9032" max="9032" width="25.75" style="58" customWidth="1"/>
    <col min="9033" max="9033" width="11.125" style="58" customWidth="1"/>
    <col min="9034" max="9034" width="10.75" style="58" customWidth="1"/>
    <col min="9035" max="9035" width="9" style="58" customWidth="1"/>
    <col min="9036" max="9036" width="9.75" style="58" customWidth="1"/>
    <col min="9037" max="9037" width="7.5" style="58" customWidth="1"/>
    <col min="9038" max="9038" width="13.25" style="58" customWidth="1"/>
    <col min="9039" max="9039" width="11.75" style="58" customWidth="1"/>
    <col min="9040" max="9040" width="8.875" style="58" customWidth="1"/>
    <col min="9041" max="9041" width="9.625" style="58" customWidth="1"/>
    <col min="9042" max="9043" width="11.875" style="58" customWidth="1"/>
    <col min="9044" max="9044" width="11.5" style="58" customWidth="1"/>
    <col min="9045" max="9060" width="12.25" style="58" customWidth="1"/>
    <col min="9061" max="9061" width="13" style="58" customWidth="1"/>
    <col min="9062" max="9066" width="12.375" style="58" customWidth="1"/>
    <col min="9067" max="9067" width="13" style="58" customWidth="1"/>
    <col min="9068" max="9069" width="12.375" style="58" customWidth="1"/>
    <col min="9070" max="9070" width="13" style="58" customWidth="1"/>
    <col min="9071" max="9071" width="13.125" style="58" customWidth="1"/>
    <col min="9072" max="9072" width="13" style="58" customWidth="1"/>
    <col min="9073" max="9073" width="13.125" style="58" customWidth="1"/>
    <col min="9074" max="9075" width="12.375" style="58" customWidth="1"/>
    <col min="9076" max="9076" width="13" style="58" customWidth="1"/>
    <col min="9077" max="9077" width="12.375" style="58" customWidth="1"/>
    <col min="9078" max="9078" width="12.25" style="58" customWidth="1"/>
    <col min="9079" max="9079" width="12.125" style="58" customWidth="1"/>
    <col min="9080" max="9080" width="11.625" style="58" customWidth="1"/>
    <col min="9081" max="9081" width="12" style="58" customWidth="1"/>
    <col min="9082" max="9082" width="13" style="58" customWidth="1"/>
    <col min="9083" max="9083" width="11.625" style="58" customWidth="1"/>
    <col min="9084" max="9085" width="12" style="58" customWidth="1"/>
    <col min="9086" max="9088" width="11.625" style="58" customWidth="1"/>
    <col min="9089" max="9089" width="11.125" style="58" customWidth="1"/>
    <col min="9090" max="9090" width="12" style="58" customWidth="1"/>
    <col min="9091" max="9091" width="13" style="58" customWidth="1"/>
    <col min="9092" max="9092" width="13.625" style="58" customWidth="1"/>
    <col min="9093" max="9093" width="11.875" style="58" customWidth="1"/>
    <col min="9094" max="9095" width="11.625" style="58" customWidth="1"/>
    <col min="9096" max="9096" width="12" style="58" customWidth="1"/>
    <col min="9097" max="9097" width="12.75" style="58" customWidth="1"/>
    <col min="9098" max="9098" width="11.625" style="58" customWidth="1"/>
    <col min="9099" max="9099" width="12.125" style="58" customWidth="1"/>
    <col min="9100" max="9101" width="11.625" style="58" customWidth="1"/>
    <col min="9102" max="9102" width="12.5" style="58" customWidth="1"/>
    <col min="9103" max="9277" width="11.625" style="58" customWidth="1"/>
    <col min="9278" max="9278" width="17.75" style="58" customWidth="1"/>
    <col min="9279" max="9280" width="9" style="58" customWidth="1"/>
    <col min="9281" max="9281" width="16.25" style="58" customWidth="1"/>
    <col min="9282" max="9282" width="24" style="58" customWidth="1"/>
    <col min="9283" max="9283" width="9" style="58"/>
    <col min="9284" max="9284" width="11.75" style="58" customWidth="1"/>
    <col min="9285" max="9285" width="8.875" style="58" customWidth="1"/>
    <col min="9286" max="9286" width="17.375" style="58" customWidth="1"/>
    <col min="9287" max="9287" width="13.25" style="58" customWidth="1"/>
    <col min="9288" max="9288" width="25.75" style="58" customWidth="1"/>
    <col min="9289" max="9289" width="11.125" style="58" customWidth="1"/>
    <col min="9290" max="9290" width="10.75" style="58" customWidth="1"/>
    <col min="9291" max="9291" width="9" style="58" customWidth="1"/>
    <col min="9292" max="9292" width="9.75" style="58" customWidth="1"/>
    <col min="9293" max="9293" width="7.5" style="58" customWidth="1"/>
    <col min="9294" max="9294" width="13.25" style="58" customWidth="1"/>
    <col min="9295" max="9295" width="11.75" style="58" customWidth="1"/>
    <col min="9296" max="9296" width="8.875" style="58" customWidth="1"/>
    <col min="9297" max="9297" width="9.625" style="58" customWidth="1"/>
    <col min="9298" max="9299" width="11.875" style="58" customWidth="1"/>
    <col min="9300" max="9300" width="11.5" style="58" customWidth="1"/>
    <col min="9301" max="9316" width="12.25" style="58" customWidth="1"/>
    <col min="9317" max="9317" width="13" style="58" customWidth="1"/>
    <col min="9318" max="9322" width="12.375" style="58" customWidth="1"/>
    <col min="9323" max="9323" width="13" style="58" customWidth="1"/>
    <col min="9324" max="9325" width="12.375" style="58" customWidth="1"/>
    <col min="9326" max="9326" width="13" style="58" customWidth="1"/>
    <col min="9327" max="9327" width="13.125" style="58" customWidth="1"/>
    <col min="9328" max="9328" width="13" style="58" customWidth="1"/>
    <col min="9329" max="9329" width="13.125" style="58" customWidth="1"/>
    <col min="9330" max="9331" width="12.375" style="58" customWidth="1"/>
    <col min="9332" max="9332" width="13" style="58" customWidth="1"/>
    <col min="9333" max="9333" width="12.375" style="58" customWidth="1"/>
    <col min="9334" max="9334" width="12.25" style="58" customWidth="1"/>
    <col min="9335" max="9335" width="12.125" style="58" customWidth="1"/>
    <col min="9336" max="9336" width="11.625" style="58" customWidth="1"/>
    <col min="9337" max="9337" width="12" style="58" customWidth="1"/>
    <col min="9338" max="9338" width="13" style="58" customWidth="1"/>
    <col min="9339" max="9339" width="11.625" style="58" customWidth="1"/>
    <col min="9340" max="9341" width="12" style="58" customWidth="1"/>
    <col min="9342" max="9344" width="11.625" style="58" customWidth="1"/>
    <col min="9345" max="9345" width="11.125" style="58" customWidth="1"/>
    <col min="9346" max="9346" width="12" style="58" customWidth="1"/>
    <col min="9347" max="9347" width="13" style="58" customWidth="1"/>
    <col min="9348" max="9348" width="13.625" style="58" customWidth="1"/>
    <col min="9349" max="9349" width="11.875" style="58" customWidth="1"/>
    <col min="9350" max="9351" width="11.625" style="58" customWidth="1"/>
    <col min="9352" max="9352" width="12" style="58" customWidth="1"/>
    <col min="9353" max="9353" width="12.75" style="58" customWidth="1"/>
    <col min="9354" max="9354" width="11.625" style="58" customWidth="1"/>
    <col min="9355" max="9355" width="12.125" style="58" customWidth="1"/>
    <col min="9356" max="9357" width="11.625" style="58" customWidth="1"/>
    <col min="9358" max="9358" width="12.5" style="58" customWidth="1"/>
    <col min="9359" max="9533" width="11.625" style="58" customWidth="1"/>
    <col min="9534" max="9534" width="17.75" style="58" customWidth="1"/>
    <col min="9535" max="9536" width="9" style="58" customWidth="1"/>
    <col min="9537" max="9537" width="16.25" style="58" customWidth="1"/>
    <col min="9538" max="9538" width="24" style="58" customWidth="1"/>
    <col min="9539" max="9539" width="9" style="58"/>
    <col min="9540" max="9540" width="11.75" style="58" customWidth="1"/>
    <col min="9541" max="9541" width="8.875" style="58" customWidth="1"/>
    <col min="9542" max="9542" width="17.375" style="58" customWidth="1"/>
    <col min="9543" max="9543" width="13.25" style="58" customWidth="1"/>
    <col min="9544" max="9544" width="25.75" style="58" customWidth="1"/>
    <col min="9545" max="9545" width="11.125" style="58" customWidth="1"/>
    <col min="9546" max="9546" width="10.75" style="58" customWidth="1"/>
    <col min="9547" max="9547" width="9" style="58" customWidth="1"/>
    <col min="9548" max="9548" width="9.75" style="58" customWidth="1"/>
    <col min="9549" max="9549" width="7.5" style="58" customWidth="1"/>
    <col min="9550" max="9550" width="13.25" style="58" customWidth="1"/>
    <col min="9551" max="9551" width="11.75" style="58" customWidth="1"/>
    <col min="9552" max="9552" width="8.875" style="58" customWidth="1"/>
    <col min="9553" max="9553" width="9.625" style="58" customWidth="1"/>
    <col min="9554" max="9555" width="11.875" style="58" customWidth="1"/>
    <col min="9556" max="9556" width="11.5" style="58" customWidth="1"/>
    <col min="9557" max="9572" width="12.25" style="58" customWidth="1"/>
    <col min="9573" max="9573" width="13" style="58" customWidth="1"/>
    <col min="9574" max="9578" width="12.375" style="58" customWidth="1"/>
    <col min="9579" max="9579" width="13" style="58" customWidth="1"/>
    <col min="9580" max="9581" width="12.375" style="58" customWidth="1"/>
    <col min="9582" max="9582" width="13" style="58" customWidth="1"/>
    <col min="9583" max="9583" width="13.125" style="58" customWidth="1"/>
    <col min="9584" max="9584" width="13" style="58" customWidth="1"/>
    <col min="9585" max="9585" width="13.125" style="58" customWidth="1"/>
    <col min="9586" max="9587" width="12.375" style="58" customWidth="1"/>
    <col min="9588" max="9588" width="13" style="58" customWidth="1"/>
    <col min="9589" max="9589" width="12.375" style="58" customWidth="1"/>
    <col min="9590" max="9590" width="12.25" style="58" customWidth="1"/>
    <col min="9591" max="9591" width="12.125" style="58" customWidth="1"/>
    <col min="9592" max="9592" width="11.625" style="58" customWidth="1"/>
    <col min="9593" max="9593" width="12" style="58" customWidth="1"/>
    <col min="9594" max="9594" width="13" style="58" customWidth="1"/>
    <col min="9595" max="9595" width="11.625" style="58" customWidth="1"/>
    <col min="9596" max="9597" width="12" style="58" customWidth="1"/>
    <col min="9598" max="9600" width="11.625" style="58" customWidth="1"/>
    <col min="9601" max="9601" width="11.125" style="58" customWidth="1"/>
    <col min="9602" max="9602" width="12" style="58" customWidth="1"/>
    <col min="9603" max="9603" width="13" style="58" customWidth="1"/>
    <col min="9604" max="9604" width="13.625" style="58" customWidth="1"/>
    <col min="9605" max="9605" width="11.875" style="58" customWidth="1"/>
    <col min="9606" max="9607" width="11.625" style="58" customWidth="1"/>
    <col min="9608" max="9608" width="12" style="58" customWidth="1"/>
    <col min="9609" max="9609" width="12.75" style="58" customWidth="1"/>
    <col min="9610" max="9610" width="11.625" style="58" customWidth="1"/>
    <col min="9611" max="9611" width="12.125" style="58" customWidth="1"/>
    <col min="9612" max="9613" width="11.625" style="58" customWidth="1"/>
    <col min="9614" max="9614" width="12.5" style="58" customWidth="1"/>
    <col min="9615" max="9789" width="11.625" style="58" customWidth="1"/>
    <col min="9790" max="9790" width="17.75" style="58" customWidth="1"/>
    <col min="9791" max="9792" width="9" style="58" customWidth="1"/>
    <col min="9793" max="9793" width="16.25" style="58" customWidth="1"/>
    <col min="9794" max="9794" width="24" style="58" customWidth="1"/>
    <col min="9795" max="9795" width="9" style="58"/>
    <col min="9796" max="9796" width="11.75" style="58" customWidth="1"/>
    <col min="9797" max="9797" width="8.875" style="58" customWidth="1"/>
    <col min="9798" max="9798" width="17.375" style="58" customWidth="1"/>
    <col min="9799" max="9799" width="13.25" style="58" customWidth="1"/>
    <col min="9800" max="9800" width="25.75" style="58" customWidth="1"/>
    <col min="9801" max="9801" width="11.125" style="58" customWidth="1"/>
    <col min="9802" max="9802" width="10.75" style="58" customWidth="1"/>
    <col min="9803" max="9803" width="9" style="58" customWidth="1"/>
    <col min="9804" max="9804" width="9.75" style="58" customWidth="1"/>
    <col min="9805" max="9805" width="7.5" style="58" customWidth="1"/>
    <col min="9806" max="9806" width="13.25" style="58" customWidth="1"/>
    <col min="9807" max="9807" width="11.75" style="58" customWidth="1"/>
    <col min="9808" max="9808" width="8.875" style="58" customWidth="1"/>
    <col min="9809" max="9809" width="9.625" style="58" customWidth="1"/>
    <col min="9810" max="9811" width="11.875" style="58" customWidth="1"/>
    <col min="9812" max="9812" width="11.5" style="58" customWidth="1"/>
    <col min="9813" max="9828" width="12.25" style="58" customWidth="1"/>
    <col min="9829" max="9829" width="13" style="58" customWidth="1"/>
    <col min="9830" max="9834" width="12.375" style="58" customWidth="1"/>
    <col min="9835" max="9835" width="13" style="58" customWidth="1"/>
    <col min="9836" max="9837" width="12.375" style="58" customWidth="1"/>
    <col min="9838" max="9838" width="13" style="58" customWidth="1"/>
    <col min="9839" max="9839" width="13.125" style="58" customWidth="1"/>
    <col min="9840" max="9840" width="13" style="58" customWidth="1"/>
    <col min="9841" max="9841" width="13.125" style="58" customWidth="1"/>
    <col min="9842" max="9843" width="12.375" style="58" customWidth="1"/>
    <col min="9844" max="9844" width="13" style="58" customWidth="1"/>
    <col min="9845" max="9845" width="12.375" style="58" customWidth="1"/>
    <col min="9846" max="9846" width="12.25" style="58" customWidth="1"/>
    <col min="9847" max="9847" width="12.125" style="58" customWidth="1"/>
    <col min="9848" max="9848" width="11.625" style="58" customWidth="1"/>
    <col min="9849" max="9849" width="12" style="58" customWidth="1"/>
    <col min="9850" max="9850" width="13" style="58" customWidth="1"/>
    <col min="9851" max="9851" width="11.625" style="58" customWidth="1"/>
    <col min="9852" max="9853" width="12" style="58" customWidth="1"/>
    <col min="9854" max="9856" width="11.625" style="58" customWidth="1"/>
    <col min="9857" max="9857" width="11.125" style="58" customWidth="1"/>
    <col min="9858" max="9858" width="12" style="58" customWidth="1"/>
    <col min="9859" max="9859" width="13" style="58" customWidth="1"/>
    <col min="9860" max="9860" width="13.625" style="58" customWidth="1"/>
    <col min="9861" max="9861" width="11.875" style="58" customWidth="1"/>
    <col min="9862" max="9863" width="11.625" style="58" customWidth="1"/>
    <col min="9864" max="9864" width="12" style="58" customWidth="1"/>
    <col min="9865" max="9865" width="12.75" style="58" customWidth="1"/>
    <col min="9866" max="9866" width="11.625" style="58" customWidth="1"/>
    <col min="9867" max="9867" width="12.125" style="58" customWidth="1"/>
    <col min="9868" max="9869" width="11.625" style="58" customWidth="1"/>
    <col min="9870" max="9870" width="12.5" style="58" customWidth="1"/>
    <col min="9871" max="10045" width="11.625" style="58" customWidth="1"/>
    <col min="10046" max="10046" width="17.75" style="58" customWidth="1"/>
    <col min="10047" max="10048" width="9" style="58" customWidth="1"/>
    <col min="10049" max="10049" width="16.25" style="58" customWidth="1"/>
    <col min="10050" max="10050" width="24" style="58" customWidth="1"/>
    <col min="10051" max="10051" width="9" style="58"/>
    <col min="10052" max="10052" width="11.75" style="58" customWidth="1"/>
    <col min="10053" max="10053" width="8.875" style="58" customWidth="1"/>
    <col min="10054" max="10054" width="17.375" style="58" customWidth="1"/>
    <col min="10055" max="10055" width="13.25" style="58" customWidth="1"/>
    <col min="10056" max="10056" width="25.75" style="58" customWidth="1"/>
    <col min="10057" max="10057" width="11.125" style="58" customWidth="1"/>
    <col min="10058" max="10058" width="10.75" style="58" customWidth="1"/>
    <col min="10059" max="10059" width="9" style="58" customWidth="1"/>
    <col min="10060" max="10060" width="9.75" style="58" customWidth="1"/>
    <col min="10061" max="10061" width="7.5" style="58" customWidth="1"/>
    <col min="10062" max="10062" width="13.25" style="58" customWidth="1"/>
    <col min="10063" max="10063" width="11.75" style="58" customWidth="1"/>
    <col min="10064" max="10064" width="8.875" style="58" customWidth="1"/>
    <col min="10065" max="10065" width="9.625" style="58" customWidth="1"/>
    <col min="10066" max="10067" width="11.875" style="58" customWidth="1"/>
    <col min="10068" max="10068" width="11.5" style="58" customWidth="1"/>
    <col min="10069" max="10084" width="12.25" style="58" customWidth="1"/>
    <col min="10085" max="10085" width="13" style="58" customWidth="1"/>
    <col min="10086" max="10090" width="12.375" style="58" customWidth="1"/>
    <col min="10091" max="10091" width="13" style="58" customWidth="1"/>
    <col min="10092" max="10093" width="12.375" style="58" customWidth="1"/>
    <col min="10094" max="10094" width="13" style="58" customWidth="1"/>
    <col min="10095" max="10095" width="13.125" style="58" customWidth="1"/>
    <col min="10096" max="10096" width="13" style="58" customWidth="1"/>
    <col min="10097" max="10097" width="13.125" style="58" customWidth="1"/>
    <col min="10098" max="10099" width="12.375" style="58" customWidth="1"/>
    <col min="10100" max="10100" width="13" style="58" customWidth="1"/>
    <col min="10101" max="10101" width="12.375" style="58" customWidth="1"/>
    <col min="10102" max="10102" width="12.25" style="58" customWidth="1"/>
    <col min="10103" max="10103" width="12.125" style="58" customWidth="1"/>
    <col min="10104" max="10104" width="11.625" style="58" customWidth="1"/>
    <col min="10105" max="10105" width="12" style="58" customWidth="1"/>
    <col min="10106" max="10106" width="13" style="58" customWidth="1"/>
    <col min="10107" max="10107" width="11.625" style="58" customWidth="1"/>
    <col min="10108" max="10109" width="12" style="58" customWidth="1"/>
    <col min="10110" max="10112" width="11.625" style="58" customWidth="1"/>
    <col min="10113" max="10113" width="11.125" style="58" customWidth="1"/>
    <col min="10114" max="10114" width="12" style="58" customWidth="1"/>
    <col min="10115" max="10115" width="13" style="58" customWidth="1"/>
    <col min="10116" max="10116" width="13.625" style="58" customWidth="1"/>
    <col min="10117" max="10117" width="11.875" style="58" customWidth="1"/>
    <col min="10118" max="10119" width="11.625" style="58" customWidth="1"/>
    <col min="10120" max="10120" width="12" style="58" customWidth="1"/>
    <col min="10121" max="10121" width="12.75" style="58" customWidth="1"/>
    <col min="10122" max="10122" width="11.625" style="58" customWidth="1"/>
    <col min="10123" max="10123" width="12.125" style="58" customWidth="1"/>
    <col min="10124" max="10125" width="11.625" style="58" customWidth="1"/>
    <col min="10126" max="10126" width="12.5" style="58" customWidth="1"/>
    <col min="10127" max="10301" width="11.625" style="58" customWidth="1"/>
    <col min="10302" max="10302" width="17.75" style="58" customWidth="1"/>
    <col min="10303" max="10304" width="9" style="58" customWidth="1"/>
    <col min="10305" max="10305" width="16.25" style="58" customWidth="1"/>
    <col min="10306" max="10306" width="24" style="58" customWidth="1"/>
    <col min="10307" max="10307" width="9" style="58"/>
    <col min="10308" max="10308" width="11.75" style="58" customWidth="1"/>
    <col min="10309" max="10309" width="8.875" style="58" customWidth="1"/>
    <col min="10310" max="10310" width="17.375" style="58" customWidth="1"/>
    <col min="10311" max="10311" width="13.25" style="58" customWidth="1"/>
    <col min="10312" max="10312" width="25.75" style="58" customWidth="1"/>
    <col min="10313" max="10313" width="11.125" style="58" customWidth="1"/>
    <col min="10314" max="10314" width="10.75" style="58" customWidth="1"/>
    <col min="10315" max="10315" width="9" style="58" customWidth="1"/>
    <col min="10316" max="10316" width="9.75" style="58" customWidth="1"/>
    <col min="10317" max="10317" width="7.5" style="58" customWidth="1"/>
    <col min="10318" max="10318" width="13.25" style="58" customWidth="1"/>
    <col min="10319" max="10319" width="11.75" style="58" customWidth="1"/>
    <col min="10320" max="10320" width="8.875" style="58" customWidth="1"/>
    <col min="10321" max="10321" width="9.625" style="58" customWidth="1"/>
    <col min="10322" max="10323" width="11.875" style="58" customWidth="1"/>
    <col min="10324" max="10324" width="11.5" style="58" customWidth="1"/>
    <col min="10325" max="10340" width="12.25" style="58" customWidth="1"/>
    <col min="10341" max="10341" width="13" style="58" customWidth="1"/>
    <col min="10342" max="10346" width="12.375" style="58" customWidth="1"/>
    <col min="10347" max="10347" width="13" style="58" customWidth="1"/>
    <col min="10348" max="10349" width="12.375" style="58" customWidth="1"/>
    <col min="10350" max="10350" width="13" style="58" customWidth="1"/>
    <col min="10351" max="10351" width="13.125" style="58" customWidth="1"/>
    <col min="10352" max="10352" width="13" style="58" customWidth="1"/>
    <col min="10353" max="10353" width="13.125" style="58" customWidth="1"/>
    <col min="10354" max="10355" width="12.375" style="58" customWidth="1"/>
    <col min="10356" max="10356" width="13" style="58" customWidth="1"/>
    <col min="10357" max="10357" width="12.375" style="58" customWidth="1"/>
    <col min="10358" max="10358" width="12.25" style="58" customWidth="1"/>
    <col min="10359" max="10359" width="12.125" style="58" customWidth="1"/>
    <col min="10360" max="10360" width="11.625" style="58" customWidth="1"/>
    <col min="10361" max="10361" width="12" style="58" customWidth="1"/>
    <col min="10362" max="10362" width="13" style="58" customWidth="1"/>
    <col min="10363" max="10363" width="11.625" style="58" customWidth="1"/>
    <col min="10364" max="10365" width="12" style="58" customWidth="1"/>
    <col min="10366" max="10368" width="11.625" style="58" customWidth="1"/>
    <col min="10369" max="10369" width="11.125" style="58" customWidth="1"/>
    <col min="10370" max="10370" width="12" style="58" customWidth="1"/>
    <col min="10371" max="10371" width="13" style="58" customWidth="1"/>
    <col min="10372" max="10372" width="13.625" style="58" customWidth="1"/>
    <col min="10373" max="10373" width="11.875" style="58" customWidth="1"/>
    <col min="10374" max="10375" width="11.625" style="58" customWidth="1"/>
    <col min="10376" max="10376" width="12" style="58" customWidth="1"/>
    <col min="10377" max="10377" width="12.75" style="58" customWidth="1"/>
    <col min="10378" max="10378" width="11.625" style="58" customWidth="1"/>
    <col min="10379" max="10379" width="12.125" style="58" customWidth="1"/>
    <col min="10380" max="10381" width="11.625" style="58" customWidth="1"/>
    <col min="10382" max="10382" width="12.5" style="58" customWidth="1"/>
    <col min="10383" max="10557" width="11.625" style="58" customWidth="1"/>
    <col min="10558" max="10558" width="17.75" style="58" customWidth="1"/>
    <col min="10559" max="10560" width="9" style="58" customWidth="1"/>
    <col min="10561" max="10561" width="16.25" style="58" customWidth="1"/>
    <col min="10562" max="10562" width="24" style="58" customWidth="1"/>
    <col min="10563" max="10563" width="9" style="58"/>
    <col min="10564" max="10564" width="11.75" style="58" customWidth="1"/>
    <col min="10565" max="10565" width="8.875" style="58" customWidth="1"/>
    <col min="10566" max="10566" width="17.375" style="58" customWidth="1"/>
    <col min="10567" max="10567" width="13.25" style="58" customWidth="1"/>
    <col min="10568" max="10568" width="25.75" style="58" customWidth="1"/>
    <col min="10569" max="10569" width="11.125" style="58" customWidth="1"/>
    <col min="10570" max="10570" width="10.75" style="58" customWidth="1"/>
    <col min="10571" max="10571" width="9" style="58" customWidth="1"/>
    <col min="10572" max="10572" width="9.75" style="58" customWidth="1"/>
    <col min="10573" max="10573" width="7.5" style="58" customWidth="1"/>
    <col min="10574" max="10574" width="13.25" style="58" customWidth="1"/>
    <col min="10575" max="10575" width="11.75" style="58" customWidth="1"/>
    <col min="10576" max="10576" width="8.875" style="58" customWidth="1"/>
    <col min="10577" max="10577" width="9.625" style="58" customWidth="1"/>
    <col min="10578" max="10579" width="11.875" style="58" customWidth="1"/>
    <col min="10580" max="10580" width="11.5" style="58" customWidth="1"/>
    <col min="10581" max="10596" width="12.25" style="58" customWidth="1"/>
    <col min="10597" max="10597" width="13" style="58" customWidth="1"/>
    <col min="10598" max="10602" width="12.375" style="58" customWidth="1"/>
    <col min="10603" max="10603" width="13" style="58" customWidth="1"/>
    <col min="10604" max="10605" width="12.375" style="58" customWidth="1"/>
    <col min="10606" max="10606" width="13" style="58" customWidth="1"/>
    <col min="10607" max="10607" width="13.125" style="58" customWidth="1"/>
    <col min="10608" max="10608" width="13" style="58" customWidth="1"/>
    <col min="10609" max="10609" width="13.125" style="58" customWidth="1"/>
    <col min="10610" max="10611" width="12.375" style="58" customWidth="1"/>
    <col min="10612" max="10612" width="13" style="58" customWidth="1"/>
    <col min="10613" max="10613" width="12.375" style="58" customWidth="1"/>
    <col min="10614" max="10614" width="12.25" style="58" customWidth="1"/>
    <col min="10615" max="10615" width="12.125" style="58" customWidth="1"/>
    <col min="10616" max="10616" width="11.625" style="58" customWidth="1"/>
    <col min="10617" max="10617" width="12" style="58" customWidth="1"/>
    <col min="10618" max="10618" width="13" style="58" customWidth="1"/>
    <col min="10619" max="10619" width="11.625" style="58" customWidth="1"/>
    <col min="10620" max="10621" width="12" style="58" customWidth="1"/>
    <col min="10622" max="10624" width="11.625" style="58" customWidth="1"/>
    <col min="10625" max="10625" width="11.125" style="58" customWidth="1"/>
    <col min="10626" max="10626" width="12" style="58" customWidth="1"/>
    <col min="10627" max="10627" width="13" style="58" customWidth="1"/>
    <col min="10628" max="10628" width="13.625" style="58" customWidth="1"/>
    <col min="10629" max="10629" width="11.875" style="58" customWidth="1"/>
    <col min="10630" max="10631" width="11.625" style="58" customWidth="1"/>
    <col min="10632" max="10632" width="12" style="58" customWidth="1"/>
    <col min="10633" max="10633" width="12.75" style="58" customWidth="1"/>
    <col min="10634" max="10634" width="11.625" style="58" customWidth="1"/>
    <col min="10635" max="10635" width="12.125" style="58" customWidth="1"/>
    <col min="10636" max="10637" width="11.625" style="58" customWidth="1"/>
    <col min="10638" max="10638" width="12.5" style="58" customWidth="1"/>
    <col min="10639" max="10813" width="11.625" style="58" customWidth="1"/>
    <col min="10814" max="10814" width="17.75" style="58" customWidth="1"/>
    <col min="10815" max="10816" width="9" style="58" customWidth="1"/>
    <col min="10817" max="10817" width="16.25" style="58" customWidth="1"/>
    <col min="10818" max="10818" width="24" style="58" customWidth="1"/>
    <col min="10819" max="10819" width="9" style="58"/>
    <col min="10820" max="10820" width="11.75" style="58" customWidth="1"/>
    <col min="10821" max="10821" width="8.875" style="58" customWidth="1"/>
    <col min="10822" max="10822" width="17.375" style="58" customWidth="1"/>
    <col min="10823" max="10823" width="13.25" style="58" customWidth="1"/>
    <col min="10824" max="10824" width="25.75" style="58" customWidth="1"/>
    <col min="10825" max="10825" width="11.125" style="58" customWidth="1"/>
    <col min="10826" max="10826" width="10.75" style="58" customWidth="1"/>
    <col min="10827" max="10827" width="9" style="58" customWidth="1"/>
    <col min="10828" max="10828" width="9.75" style="58" customWidth="1"/>
    <col min="10829" max="10829" width="7.5" style="58" customWidth="1"/>
    <col min="10830" max="10830" width="13.25" style="58" customWidth="1"/>
    <col min="10831" max="10831" width="11.75" style="58" customWidth="1"/>
    <col min="10832" max="10832" width="8.875" style="58" customWidth="1"/>
    <col min="10833" max="10833" width="9.625" style="58" customWidth="1"/>
    <col min="10834" max="10835" width="11.875" style="58" customWidth="1"/>
    <col min="10836" max="10836" width="11.5" style="58" customWidth="1"/>
    <col min="10837" max="10852" width="12.25" style="58" customWidth="1"/>
    <col min="10853" max="10853" width="13" style="58" customWidth="1"/>
    <col min="10854" max="10858" width="12.375" style="58" customWidth="1"/>
    <col min="10859" max="10859" width="13" style="58" customWidth="1"/>
    <col min="10860" max="10861" width="12.375" style="58" customWidth="1"/>
    <col min="10862" max="10862" width="13" style="58" customWidth="1"/>
    <col min="10863" max="10863" width="13.125" style="58" customWidth="1"/>
    <col min="10864" max="10864" width="13" style="58" customWidth="1"/>
    <col min="10865" max="10865" width="13.125" style="58" customWidth="1"/>
    <col min="10866" max="10867" width="12.375" style="58" customWidth="1"/>
    <col min="10868" max="10868" width="13" style="58" customWidth="1"/>
    <col min="10869" max="10869" width="12.375" style="58" customWidth="1"/>
    <col min="10870" max="10870" width="12.25" style="58" customWidth="1"/>
    <col min="10871" max="10871" width="12.125" style="58" customWidth="1"/>
    <col min="10872" max="10872" width="11.625" style="58" customWidth="1"/>
    <col min="10873" max="10873" width="12" style="58" customWidth="1"/>
    <col min="10874" max="10874" width="13" style="58" customWidth="1"/>
    <col min="10875" max="10875" width="11.625" style="58" customWidth="1"/>
    <col min="10876" max="10877" width="12" style="58" customWidth="1"/>
    <col min="10878" max="10880" width="11.625" style="58" customWidth="1"/>
    <col min="10881" max="10881" width="11.125" style="58" customWidth="1"/>
    <col min="10882" max="10882" width="12" style="58" customWidth="1"/>
    <col min="10883" max="10883" width="13" style="58" customWidth="1"/>
    <col min="10884" max="10884" width="13.625" style="58" customWidth="1"/>
    <col min="10885" max="10885" width="11.875" style="58" customWidth="1"/>
    <col min="10886" max="10887" width="11.625" style="58" customWidth="1"/>
    <col min="10888" max="10888" width="12" style="58" customWidth="1"/>
    <col min="10889" max="10889" width="12.75" style="58" customWidth="1"/>
    <col min="10890" max="10890" width="11.625" style="58" customWidth="1"/>
    <col min="10891" max="10891" width="12.125" style="58" customWidth="1"/>
    <col min="10892" max="10893" width="11.625" style="58" customWidth="1"/>
    <col min="10894" max="10894" width="12.5" style="58" customWidth="1"/>
    <col min="10895" max="11069" width="11.625" style="58" customWidth="1"/>
    <col min="11070" max="11070" width="17.75" style="58" customWidth="1"/>
    <col min="11071" max="11072" width="9" style="58" customWidth="1"/>
    <col min="11073" max="11073" width="16.25" style="58" customWidth="1"/>
    <col min="11074" max="11074" width="24" style="58" customWidth="1"/>
    <col min="11075" max="11075" width="9" style="58"/>
    <col min="11076" max="11076" width="11.75" style="58" customWidth="1"/>
    <col min="11077" max="11077" width="8.875" style="58" customWidth="1"/>
    <col min="11078" max="11078" width="17.375" style="58" customWidth="1"/>
    <col min="11079" max="11079" width="13.25" style="58" customWidth="1"/>
    <col min="11080" max="11080" width="25.75" style="58" customWidth="1"/>
    <col min="11081" max="11081" width="11.125" style="58" customWidth="1"/>
    <col min="11082" max="11082" width="10.75" style="58" customWidth="1"/>
    <col min="11083" max="11083" width="9" style="58" customWidth="1"/>
    <col min="11084" max="11084" width="9.75" style="58" customWidth="1"/>
    <col min="11085" max="11085" width="7.5" style="58" customWidth="1"/>
    <col min="11086" max="11086" width="13.25" style="58" customWidth="1"/>
    <col min="11087" max="11087" width="11.75" style="58" customWidth="1"/>
    <col min="11088" max="11088" width="8.875" style="58" customWidth="1"/>
    <col min="11089" max="11089" width="9.625" style="58" customWidth="1"/>
    <col min="11090" max="11091" width="11.875" style="58" customWidth="1"/>
    <col min="11092" max="11092" width="11.5" style="58" customWidth="1"/>
    <col min="11093" max="11108" width="12.25" style="58" customWidth="1"/>
    <col min="11109" max="11109" width="13" style="58" customWidth="1"/>
    <col min="11110" max="11114" width="12.375" style="58" customWidth="1"/>
    <col min="11115" max="11115" width="13" style="58" customWidth="1"/>
    <col min="11116" max="11117" width="12.375" style="58" customWidth="1"/>
    <col min="11118" max="11118" width="13" style="58" customWidth="1"/>
    <col min="11119" max="11119" width="13.125" style="58" customWidth="1"/>
    <col min="11120" max="11120" width="13" style="58" customWidth="1"/>
    <col min="11121" max="11121" width="13.125" style="58" customWidth="1"/>
    <col min="11122" max="11123" width="12.375" style="58" customWidth="1"/>
    <col min="11124" max="11124" width="13" style="58" customWidth="1"/>
    <col min="11125" max="11125" width="12.375" style="58" customWidth="1"/>
    <col min="11126" max="11126" width="12.25" style="58" customWidth="1"/>
    <col min="11127" max="11127" width="12.125" style="58" customWidth="1"/>
    <col min="11128" max="11128" width="11.625" style="58" customWidth="1"/>
    <col min="11129" max="11129" width="12" style="58" customWidth="1"/>
    <col min="11130" max="11130" width="13" style="58" customWidth="1"/>
    <col min="11131" max="11131" width="11.625" style="58" customWidth="1"/>
    <col min="11132" max="11133" width="12" style="58" customWidth="1"/>
    <col min="11134" max="11136" width="11.625" style="58" customWidth="1"/>
    <col min="11137" max="11137" width="11.125" style="58" customWidth="1"/>
    <col min="11138" max="11138" width="12" style="58" customWidth="1"/>
    <col min="11139" max="11139" width="13" style="58" customWidth="1"/>
    <col min="11140" max="11140" width="13.625" style="58" customWidth="1"/>
    <col min="11141" max="11141" width="11.875" style="58" customWidth="1"/>
    <col min="11142" max="11143" width="11.625" style="58" customWidth="1"/>
    <col min="11144" max="11144" width="12" style="58" customWidth="1"/>
    <col min="11145" max="11145" width="12.75" style="58" customWidth="1"/>
    <col min="11146" max="11146" width="11.625" style="58" customWidth="1"/>
    <col min="11147" max="11147" width="12.125" style="58" customWidth="1"/>
    <col min="11148" max="11149" width="11.625" style="58" customWidth="1"/>
    <col min="11150" max="11150" width="12.5" style="58" customWidth="1"/>
    <col min="11151" max="11325" width="11.625" style="58" customWidth="1"/>
    <col min="11326" max="11326" width="17.75" style="58" customWidth="1"/>
    <col min="11327" max="11328" width="9" style="58" customWidth="1"/>
    <col min="11329" max="11329" width="16.25" style="58" customWidth="1"/>
    <col min="11330" max="11330" width="24" style="58" customWidth="1"/>
    <col min="11331" max="11331" width="9" style="58"/>
    <col min="11332" max="11332" width="11.75" style="58" customWidth="1"/>
    <col min="11333" max="11333" width="8.875" style="58" customWidth="1"/>
    <col min="11334" max="11334" width="17.375" style="58" customWidth="1"/>
    <col min="11335" max="11335" width="13.25" style="58" customWidth="1"/>
    <col min="11336" max="11336" width="25.75" style="58" customWidth="1"/>
    <col min="11337" max="11337" width="11.125" style="58" customWidth="1"/>
    <col min="11338" max="11338" width="10.75" style="58" customWidth="1"/>
    <col min="11339" max="11339" width="9" style="58" customWidth="1"/>
    <col min="11340" max="11340" width="9.75" style="58" customWidth="1"/>
    <col min="11341" max="11341" width="7.5" style="58" customWidth="1"/>
    <col min="11342" max="11342" width="13.25" style="58" customWidth="1"/>
    <col min="11343" max="11343" width="11.75" style="58" customWidth="1"/>
    <col min="11344" max="11344" width="8.875" style="58" customWidth="1"/>
    <col min="11345" max="11345" width="9.625" style="58" customWidth="1"/>
    <col min="11346" max="11347" width="11.875" style="58" customWidth="1"/>
    <col min="11348" max="11348" width="11.5" style="58" customWidth="1"/>
    <col min="11349" max="11364" width="12.25" style="58" customWidth="1"/>
    <col min="11365" max="11365" width="13" style="58" customWidth="1"/>
    <col min="11366" max="11370" width="12.375" style="58" customWidth="1"/>
    <col min="11371" max="11371" width="13" style="58" customWidth="1"/>
    <col min="11372" max="11373" width="12.375" style="58" customWidth="1"/>
    <col min="11374" max="11374" width="13" style="58" customWidth="1"/>
    <col min="11375" max="11375" width="13.125" style="58" customWidth="1"/>
    <col min="11376" max="11376" width="13" style="58" customWidth="1"/>
    <col min="11377" max="11377" width="13.125" style="58" customWidth="1"/>
    <col min="11378" max="11379" width="12.375" style="58" customWidth="1"/>
    <col min="11380" max="11380" width="13" style="58" customWidth="1"/>
    <col min="11381" max="11381" width="12.375" style="58" customWidth="1"/>
    <col min="11382" max="11382" width="12.25" style="58" customWidth="1"/>
    <col min="11383" max="11383" width="12.125" style="58" customWidth="1"/>
    <col min="11384" max="11384" width="11.625" style="58" customWidth="1"/>
    <col min="11385" max="11385" width="12" style="58" customWidth="1"/>
    <col min="11386" max="11386" width="13" style="58" customWidth="1"/>
    <col min="11387" max="11387" width="11.625" style="58" customWidth="1"/>
    <col min="11388" max="11389" width="12" style="58" customWidth="1"/>
    <col min="11390" max="11392" width="11.625" style="58" customWidth="1"/>
    <col min="11393" max="11393" width="11.125" style="58" customWidth="1"/>
    <col min="11394" max="11394" width="12" style="58" customWidth="1"/>
    <col min="11395" max="11395" width="13" style="58" customWidth="1"/>
    <col min="11396" max="11396" width="13.625" style="58" customWidth="1"/>
    <col min="11397" max="11397" width="11.875" style="58" customWidth="1"/>
    <col min="11398" max="11399" width="11.625" style="58" customWidth="1"/>
    <col min="11400" max="11400" width="12" style="58" customWidth="1"/>
    <col min="11401" max="11401" width="12.75" style="58" customWidth="1"/>
    <col min="11402" max="11402" width="11.625" style="58" customWidth="1"/>
    <col min="11403" max="11403" width="12.125" style="58" customWidth="1"/>
    <col min="11404" max="11405" width="11.625" style="58" customWidth="1"/>
    <col min="11406" max="11406" width="12.5" style="58" customWidth="1"/>
    <col min="11407" max="11581" width="11.625" style="58" customWidth="1"/>
    <col min="11582" max="11582" width="17.75" style="58" customWidth="1"/>
    <col min="11583" max="11584" width="9" style="58" customWidth="1"/>
    <col min="11585" max="11585" width="16.25" style="58" customWidth="1"/>
    <col min="11586" max="11586" width="24" style="58" customWidth="1"/>
    <col min="11587" max="11587" width="9" style="58"/>
    <col min="11588" max="11588" width="11.75" style="58" customWidth="1"/>
    <col min="11589" max="11589" width="8.875" style="58" customWidth="1"/>
    <col min="11590" max="11590" width="17.375" style="58" customWidth="1"/>
    <col min="11591" max="11591" width="13.25" style="58" customWidth="1"/>
    <col min="11592" max="11592" width="25.75" style="58" customWidth="1"/>
    <col min="11593" max="11593" width="11.125" style="58" customWidth="1"/>
    <col min="11594" max="11594" width="10.75" style="58" customWidth="1"/>
    <col min="11595" max="11595" width="9" style="58" customWidth="1"/>
    <col min="11596" max="11596" width="9.75" style="58" customWidth="1"/>
    <col min="11597" max="11597" width="7.5" style="58" customWidth="1"/>
    <col min="11598" max="11598" width="13.25" style="58" customWidth="1"/>
    <col min="11599" max="11599" width="11.75" style="58" customWidth="1"/>
    <col min="11600" max="11600" width="8.875" style="58" customWidth="1"/>
    <col min="11601" max="11601" width="9.625" style="58" customWidth="1"/>
    <col min="11602" max="11603" width="11.875" style="58" customWidth="1"/>
    <col min="11604" max="11604" width="11.5" style="58" customWidth="1"/>
    <col min="11605" max="11620" width="12.25" style="58" customWidth="1"/>
    <col min="11621" max="11621" width="13" style="58" customWidth="1"/>
    <col min="11622" max="11626" width="12.375" style="58" customWidth="1"/>
    <col min="11627" max="11627" width="13" style="58" customWidth="1"/>
    <col min="11628" max="11629" width="12.375" style="58" customWidth="1"/>
    <col min="11630" max="11630" width="13" style="58" customWidth="1"/>
    <col min="11631" max="11631" width="13.125" style="58" customWidth="1"/>
    <col min="11632" max="11632" width="13" style="58" customWidth="1"/>
    <col min="11633" max="11633" width="13.125" style="58" customWidth="1"/>
    <col min="11634" max="11635" width="12.375" style="58" customWidth="1"/>
    <col min="11636" max="11636" width="13" style="58" customWidth="1"/>
    <col min="11637" max="11637" width="12.375" style="58" customWidth="1"/>
    <col min="11638" max="11638" width="12.25" style="58" customWidth="1"/>
    <col min="11639" max="11639" width="12.125" style="58" customWidth="1"/>
    <col min="11640" max="11640" width="11.625" style="58" customWidth="1"/>
    <col min="11641" max="11641" width="12" style="58" customWidth="1"/>
    <col min="11642" max="11642" width="13" style="58" customWidth="1"/>
    <col min="11643" max="11643" width="11.625" style="58" customWidth="1"/>
    <col min="11644" max="11645" width="12" style="58" customWidth="1"/>
    <col min="11646" max="11648" width="11.625" style="58" customWidth="1"/>
    <col min="11649" max="11649" width="11.125" style="58" customWidth="1"/>
    <col min="11650" max="11650" width="12" style="58" customWidth="1"/>
    <col min="11651" max="11651" width="13" style="58" customWidth="1"/>
    <col min="11652" max="11652" width="13.625" style="58" customWidth="1"/>
    <col min="11653" max="11653" width="11.875" style="58" customWidth="1"/>
    <col min="11654" max="11655" width="11.625" style="58" customWidth="1"/>
    <col min="11656" max="11656" width="12" style="58" customWidth="1"/>
    <col min="11657" max="11657" width="12.75" style="58" customWidth="1"/>
    <col min="11658" max="11658" width="11.625" style="58" customWidth="1"/>
    <col min="11659" max="11659" width="12.125" style="58" customWidth="1"/>
    <col min="11660" max="11661" width="11.625" style="58" customWidth="1"/>
    <col min="11662" max="11662" width="12.5" style="58" customWidth="1"/>
    <col min="11663" max="11837" width="11.625" style="58" customWidth="1"/>
    <col min="11838" max="11838" width="17.75" style="58" customWidth="1"/>
    <col min="11839" max="11840" width="9" style="58" customWidth="1"/>
    <col min="11841" max="11841" width="16.25" style="58" customWidth="1"/>
    <col min="11842" max="11842" width="24" style="58" customWidth="1"/>
    <col min="11843" max="11843" width="9" style="58"/>
    <col min="11844" max="11844" width="11.75" style="58" customWidth="1"/>
    <col min="11845" max="11845" width="8.875" style="58" customWidth="1"/>
    <col min="11846" max="11846" width="17.375" style="58" customWidth="1"/>
    <col min="11847" max="11847" width="13.25" style="58" customWidth="1"/>
    <col min="11848" max="11848" width="25.75" style="58" customWidth="1"/>
    <col min="11849" max="11849" width="11.125" style="58" customWidth="1"/>
    <col min="11850" max="11850" width="10.75" style="58" customWidth="1"/>
    <col min="11851" max="11851" width="9" style="58" customWidth="1"/>
    <col min="11852" max="11852" width="9.75" style="58" customWidth="1"/>
    <col min="11853" max="11853" width="7.5" style="58" customWidth="1"/>
    <col min="11854" max="11854" width="13.25" style="58" customWidth="1"/>
    <col min="11855" max="11855" width="11.75" style="58" customWidth="1"/>
    <col min="11856" max="11856" width="8.875" style="58" customWidth="1"/>
    <col min="11857" max="11857" width="9.625" style="58" customWidth="1"/>
    <col min="11858" max="11859" width="11.875" style="58" customWidth="1"/>
    <col min="11860" max="11860" width="11.5" style="58" customWidth="1"/>
    <col min="11861" max="11876" width="12.25" style="58" customWidth="1"/>
    <col min="11877" max="11877" width="13" style="58" customWidth="1"/>
    <col min="11878" max="11882" width="12.375" style="58" customWidth="1"/>
    <col min="11883" max="11883" width="13" style="58" customWidth="1"/>
    <col min="11884" max="11885" width="12.375" style="58" customWidth="1"/>
    <col min="11886" max="11886" width="13" style="58" customWidth="1"/>
    <col min="11887" max="11887" width="13.125" style="58" customWidth="1"/>
    <col min="11888" max="11888" width="13" style="58" customWidth="1"/>
    <col min="11889" max="11889" width="13.125" style="58" customWidth="1"/>
    <col min="11890" max="11891" width="12.375" style="58" customWidth="1"/>
    <col min="11892" max="11892" width="13" style="58" customWidth="1"/>
    <col min="11893" max="11893" width="12.375" style="58" customWidth="1"/>
    <col min="11894" max="11894" width="12.25" style="58" customWidth="1"/>
    <col min="11895" max="11895" width="12.125" style="58" customWidth="1"/>
    <col min="11896" max="11896" width="11.625" style="58" customWidth="1"/>
    <col min="11897" max="11897" width="12" style="58" customWidth="1"/>
    <col min="11898" max="11898" width="13" style="58" customWidth="1"/>
    <col min="11899" max="11899" width="11.625" style="58" customWidth="1"/>
    <col min="11900" max="11901" width="12" style="58" customWidth="1"/>
    <col min="11902" max="11904" width="11.625" style="58" customWidth="1"/>
    <col min="11905" max="11905" width="11.125" style="58" customWidth="1"/>
    <col min="11906" max="11906" width="12" style="58" customWidth="1"/>
    <col min="11907" max="11907" width="13" style="58" customWidth="1"/>
    <col min="11908" max="11908" width="13.625" style="58" customWidth="1"/>
    <col min="11909" max="11909" width="11.875" style="58" customWidth="1"/>
    <col min="11910" max="11911" width="11.625" style="58" customWidth="1"/>
    <col min="11912" max="11912" width="12" style="58" customWidth="1"/>
    <col min="11913" max="11913" width="12.75" style="58" customWidth="1"/>
    <col min="11914" max="11914" width="11.625" style="58" customWidth="1"/>
    <col min="11915" max="11915" width="12.125" style="58" customWidth="1"/>
    <col min="11916" max="11917" width="11.625" style="58" customWidth="1"/>
    <col min="11918" max="11918" width="12.5" style="58" customWidth="1"/>
    <col min="11919" max="12093" width="11.625" style="58" customWidth="1"/>
    <col min="12094" max="12094" width="17.75" style="58" customWidth="1"/>
    <col min="12095" max="12096" width="9" style="58" customWidth="1"/>
    <col min="12097" max="12097" width="16.25" style="58" customWidth="1"/>
    <col min="12098" max="12098" width="24" style="58" customWidth="1"/>
    <col min="12099" max="12099" width="9" style="58"/>
    <col min="12100" max="12100" width="11.75" style="58" customWidth="1"/>
    <col min="12101" max="12101" width="8.875" style="58" customWidth="1"/>
    <col min="12102" max="12102" width="17.375" style="58" customWidth="1"/>
    <col min="12103" max="12103" width="13.25" style="58" customWidth="1"/>
    <col min="12104" max="12104" width="25.75" style="58" customWidth="1"/>
    <col min="12105" max="12105" width="11.125" style="58" customWidth="1"/>
    <col min="12106" max="12106" width="10.75" style="58" customWidth="1"/>
    <col min="12107" max="12107" width="9" style="58" customWidth="1"/>
    <col min="12108" max="12108" width="9.75" style="58" customWidth="1"/>
    <col min="12109" max="12109" width="7.5" style="58" customWidth="1"/>
    <col min="12110" max="12110" width="13.25" style="58" customWidth="1"/>
    <col min="12111" max="12111" width="11.75" style="58" customWidth="1"/>
    <col min="12112" max="12112" width="8.875" style="58" customWidth="1"/>
    <col min="12113" max="12113" width="9.625" style="58" customWidth="1"/>
    <col min="12114" max="12115" width="11.875" style="58" customWidth="1"/>
    <col min="12116" max="12116" width="11.5" style="58" customWidth="1"/>
    <col min="12117" max="12132" width="12.25" style="58" customWidth="1"/>
    <col min="12133" max="12133" width="13" style="58" customWidth="1"/>
    <col min="12134" max="12138" width="12.375" style="58" customWidth="1"/>
    <col min="12139" max="12139" width="13" style="58" customWidth="1"/>
    <col min="12140" max="12141" width="12.375" style="58" customWidth="1"/>
    <col min="12142" max="12142" width="13" style="58" customWidth="1"/>
    <col min="12143" max="12143" width="13.125" style="58" customWidth="1"/>
    <col min="12144" max="12144" width="13" style="58" customWidth="1"/>
    <col min="12145" max="12145" width="13.125" style="58" customWidth="1"/>
    <col min="12146" max="12147" width="12.375" style="58" customWidth="1"/>
    <col min="12148" max="12148" width="13" style="58" customWidth="1"/>
    <col min="12149" max="12149" width="12.375" style="58" customWidth="1"/>
    <col min="12150" max="12150" width="12.25" style="58" customWidth="1"/>
    <col min="12151" max="12151" width="12.125" style="58" customWidth="1"/>
    <col min="12152" max="12152" width="11.625" style="58" customWidth="1"/>
    <col min="12153" max="12153" width="12" style="58" customWidth="1"/>
    <col min="12154" max="12154" width="13" style="58" customWidth="1"/>
    <col min="12155" max="12155" width="11.625" style="58" customWidth="1"/>
    <col min="12156" max="12157" width="12" style="58" customWidth="1"/>
    <col min="12158" max="12160" width="11.625" style="58" customWidth="1"/>
    <col min="12161" max="12161" width="11.125" style="58" customWidth="1"/>
    <col min="12162" max="12162" width="12" style="58" customWidth="1"/>
    <col min="12163" max="12163" width="13" style="58" customWidth="1"/>
    <col min="12164" max="12164" width="13.625" style="58" customWidth="1"/>
    <col min="12165" max="12165" width="11.875" style="58" customWidth="1"/>
    <col min="12166" max="12167" width="11.625" style="58" customWidth="1"/>
    <col min="12168" max="12168" width="12" style="58" customWidth="1"/>
    <col min="12169" max="12169" width="12.75" style="58" customWidth="1"/>
    <col min="12170" max="12170" width="11.625" style="58" customWidth="1"/>
    <col min="12171" max="12171" width="12.125" style="58" customWidth="1"/>
    <col min="12172" max="12173" width="11.625" style="58" customWidth="1"/>
    <col min="12174" max="12174" width="12.5" style="58" customWidth="1"/>
    <col min="12175" max="12349" width="11.625" style="58" customWidth="1"/>
    <col min="12350" max="12350" width="17.75" style="58" customWidth="1"/>
    <col min="12351" max="12352" width="9" style="58" customWidth="1"/>
    <col min="12353" max="12353" width="16.25" style="58" customWidth="1"/>
    <col min="12354" max="12354" width="24" style="58" customWidth="1"/>
    <col min="12355" max="12355" width="9" style="58"/>
    <col min="12356" max="12356" width="11.75" style="58" customWidth="1"/>
    <col min="12357" max="12357" width="8.875" style="58" customWidth="1"/>
    <col min="12358" max="12358" width="17.375" style="58" customWidth="1"/>
    <col min="12359" max="12359" width="13.25" style="58" customWidth="1"/>
    <col min="12360" max="12360" width="25.75" style="58" customWidth="1"/>
    <col min="12361" max="12361" width="11.125" style="58" customWidth="1"/>
    <col min="12362" max="12362" width="10.75" style="58" customWidth="1"/>
    <col min="12363" max="12363" width="9" style="58" customWidth="1"/>
    <col min="12364" max="12364" width="9.75" style="58" customWidth="1"/>
    <col min="12365" max="12365" width="7.5" style="58" customWidth="1"/>
    <col min="12366" max="12366" width="13.25" style="58" customWidth="1"/>
    <col min="12367" max="12367" width="11.75" style="58" customWidth="1"/>
    <col min="12368" max="12368" width="8.875" style="58" customWidth="1"/>
    <col min="12369" max="12369" width="9.625" style="58" customWidth="1"/>
    <col min="12370" max="12371" width="11.875" style="58" customWidth="1"/>
    <col min="12372" max="12372" width="11.5" style="58" customWidth="1"/>
    <col min="12373" max="12388" width="12.25" style="58" customWidth="1"/>
    <col min="12389" max="12389" width="13" style="58" customWidth="1"/>
    <col min="12390" max="12394" width="12.375" style="58" customWidth="1"/>
    <col min="12395" max="12395" width="13" style="58" customWidth="1"/>
    <col min="12396" max="12397" width="12.375" style="58" customWidth="1"/>
    <col min="12398" max="12398" width="13" style="58" customWidth="1"/>
    <col min="12399" max="12399" width="13.125" style="58" customWidth="1"/>
    <col min="12400" max="12400" width="13" style="58" customWidth="1"/>
    <col min="12401" max="12401" width="13.125" style="58" customWidth="1"/>
    <col min="12402" max="12403" width="12.375" style="58" customWidth="1"/>
    <col min="12404" max="12404" width="13" style="58" customWidth="1"/>
    <col min="12405" max="12405" width="12.375" style="58" customWidth="1"/>
    <col min="12406" max="12406" width="12.25" style="58" customWidth="1"/>
    <col min="12407" max="12407" width="12.125" style="58" customWidth="1"/>
    <col min="12408" max="12408" width="11.625" style="58" customWidth="1"/>
    <col min="12409" max="12409" width="12" style="58" customWidth="1"/>
    <col min="12410" max="12410" width="13" style="58" customWidth="1"/>
    <col min="12411" max="12411" width="11.625" style="58" customWidth="1"/>
    <col min="12412" max="12413" width="12" style="58" customWidth="1"/>
    <col min="12414" max="12416" width="11.625" style="58" customWidth="1"/>
    <col min="12417" max="12417" width="11.125" style="58" customWidth="1"/>
    <col min="12418" max="12418" width="12" style="58" customWidth="1"/>
    <col min="12419" max="12419" width="13" style="58" customWidth="1"/>
    <col min="12420" max="12420" width="13.625" style="58" customWidth="1"/>
    <col min="12421" max="12421" width="11.875" style="58" customWidth="1"/>
    <col min="12422" max="12423" width="11.625" style="58" customWidth="1"/>
    <col min="12424" max="12424" width="12" style="58" customWidth="1"/>
    <col min="12425" max="12425" width="12.75" style="58" customWidth="1"/>
    <col min="12426" max="12426" width="11.625" style="58" customWidth="1"/>
    <col min="12427" max="12427" width="12.125" style="58" customWidth="1"/>
    <col min="12428" max="12429" width="11.625" style="58" customWidth="1"/>
    <col min="12430" max="12430" width="12.5" style="58" customWidth="1"/>
    <col min="12431" max="12605" width="11.625" style="58" customWidth="1"/>
    <col min="12606" max="12606" width="17.75" style="58" customWidth="1"/>
    <col min="12607" max="12608" width="9" style="58" customWidth="1"/>
    <col min="12609" max="12609" width="16.25" style="58" customWidth="1"/>
    <col min="12610" max="12610" width="24" style="58" customWidth="1"/>
    <col min="12611" max="12611" width="9" style="58"/>
    <col min="12612" max="12612" width="11.75" style="58" customWidth="1"/>
    <col min="12613" max="12613" width="8.875" style="58" customWidth="1"/>
    <col min="12614" max="12614" width="17.375" style="58" customWidth="1"/>
    <col min="12615" max="12615" width="13.25" style="58" customWidth="1"/>
    <col min="12616" max="12616" width="25.75" style="58" customWidth="1"/>
    <col min="12617" max="12617" width="11.125" style="58" customWidth="1"/>
    <col min="12618" max="12618" width="10.75" style="58" customWidth="1"/>
    <col min="12619" max="12619" width="9" style="58" customWidth="1"/>
    <col min="12620" max="12620" width="9.75" style="58" customWidth="1"/>
    <col min="12621" max="12621" width="7.5" style="58" customWidth="1"/>
    <col min="12622" max="12622" width="13.25" style="58" customWidth="1"/>
    <col min="12623" max="12623" width="11.75" style="58" customWidth="1"/>
    <col min="12624" max="12624" width="8.875" style="58" customWidth="1"/>
    <col min="12625" max="12625" width="9.625" style="58" customWidth="1"/>
    <col min="12626" max="12627" width="11.875" style="58" customWidth="1"/>
    <col min="12628" max="12628" width="11.5" style="58" customWidth="1"/>
    <col min="12629" max="12644" width="12.25" style="58" customWidth="1"/>
    <col min="12645" max="12645" width="13" style="58" customWidth="1"/>
    <col min="12646" max="12650" width="12.375" style="58" customWidth="1"/>
    <col min="12651" max="12651" width="13" style="58" customWidth="1"/>
    <col min="12652" max="12653" width="12.375" style="58" customWidth="1"/>
    <col min="12654" max="12654" width="13" style="58" customWidth="1"/>
    <col min="12655" max="12655" width="13.125" style="58" customWidth="1"/>
    <col min="12656" max="12656" width="13" style="58" customWidth="1"/>
    <col min="12657" max="12657" width="13.125" style="58" customWidth="1"/>
    <col min="12658" max="12659" width="12.375" style="58" customWidth="1"/>
    <col min="12660" max="12660" width="13" style="58" customWidth="1"/>
    <col min="12661" max="12661" width="12.375" style="58" customWidth="1"/>
    <col min="12662" max="12662" width="12.25" style="58" customWidth="1"/>
    <col min="12663" max="12663" width="12.125" style="58" customWidth="1"/>
    <col min="12664" max="12664" width="11.625" style="58" customWidth="1"/>
    <col min="12665" max="12665" width="12" style="58" customWidth="1"/>
    <col min="12666" max="12666" width="13" style="58" customWidth="1"/>
    <col min="12667" max="12667" width="11.625" style="58" customWidth="1"/>
    <col min="12668" max="12669" width="12" style="58" customWidth="1"/>
    <col min="12670" max="12672" width="11.625" style="58" customWidth="1"/>
    <col min="12673" max="12673" width="11.125" style="58" customWidth="1"/>
    <col min="12674" max="12674" width="12" style="58" customWidth="1"/>
    <col min="12675" max="12675" width="13" style="58" customWidth="1"/>
    <col min="12676" max="12676" width="13.625" style="58" customWidth="1"/>
    <col min="12677" max="12677" width="11.875" style="58" customWidth="1"/>
    <col min="12678" max="12679" width="11.625" style="58" customWidth="1"/>
    <col min="12680" max="12680" width="12" style="58" customWidth="1"/>
    <col min="12681" max="12681" width="12.75" style="58" customWidth="1"/>
    <col min="12682" max="12682" width="11.625" style="58" customWidth="1"/>
    <col min="12683" max="12683" width="12.125" style="58" customWidth="1"/>
    <col min="12684" max="12685" width="11.625" style="58" customWidth="1"/>
    <col min="12686" max="12686" width="12.5" style="58" customWidth="1"/>
    <col min="12687" max="12861" width="11.625" style="58" customWidth="1"/>
    <col min="12862" max="12862" width="17.75" style="58" customWidth="1"/>
    <col min="12863" max="12864" width="9" style="58" customWidth="1"/>
    <col min="12865" max="12865" width="16.25" style="58" customWidth="1"/>
    <col min="12866" max="12866" width="24" style="58" customWidth="1"/>
    <col min="12867" max="12867" width="9" style="58"/>
    <col min="12868" max="12868" width="11.75" style="58" customWidth="1"/>
    <col min="12869" max="12869" width="8.875" style="58" customWidth="1"/>
    <col min="12870" max="12870" width="17.375" style="58" customWidth="1"/>
    <col min="12871" max="12871" width="13.25" style="58" customWidth="1"/>
    <col min="12872" max="12872" width="25.75" style="58" customWidth="1"/>
    <col min="12873" max="12873" width="11.125" style="58" customWidth="1"/>
    <col min="12874" max="12874" width="10.75" style="58" customWidth="1"/>
    <col min="12875" max="12875" width="9" style="58" customWidth="1"/>
    <col min="12876" max="12876" width="9.75" style="58" customWidth="1"/>
    <col min="12877" max="12877" width="7.5" style="58" customWidth="1"/>
    <col min="12878" max="12878" width="13.25" style="58" customWidth="1"/>
    <col min="12879" max="12879" width="11.75" style="58" customWidth="1"/>
    <col min="12880" max="12880" width="8.875" style="58" customWidth="1"/>
    <col min="12881" max="12881" width="9.625" style="58" customWidth="1"/>
    <col min="12882" max="12883" width="11.875" style="58" customWidth="1"/>
    <col min="12884" max="12884" width="11.5" style="58" customWidth="1"/>
    <col min="12885" max="12900" width="12.25" style="58" customWidth="1"/>
    <col min="12901" max="12901" width="13" style="58" customWidth="1"/>
    <col min="12902" max="12906" width="12.375" style="58" customWidth="1"/>
    <col min="12907" max="12907" width="13" style="58" customWidth="1"/>
    <col min="12908" max="12909" width="12.375" style="58" customWidth="1"/>
    <col min="12910" max="12910" width="13" style="58" customWidth="1"/>
    <col min="12911" max="12911" width="13.125" style="58" customWidth="1"/>
    <col min="12912" max="12912" width="13" style="58" customWidth="1"/>
    <col min="12913" max="12913" width="13.125" style="58" customWidth="1"/>
    <col min="12914" max="12915" width="12.375" style="58" customWidth="1"/>
    <col min="12916" max="12916" width="13" style="58" customWidth="1"/>
    <col min="12917" max="12917" width="12.375" style="58" customWidth="1"/>
    <col min="12918" max="12918" width="12.25" style="58" customWidth="1"/>
    <col min="12919" max="12919" width="12.125" style="58" customWidth="1"/>
    <col min="12920" max="12920" width="11.625" style="58" customWidth="1"/>
    <col min="12921" max="12921" width="12" style="58" customWidth="1"/>
    <col min="12922" max="12922" width="13" style="58" customWidth="1"/>
    <col min="12923" max="12923" width="11.625" style="58" customWidth="1"/>
    <col min="12924" max="12925" width="12" style="58" customWidth="1"/>
    <col min="12926" max="12928" width="11.625" style="58" customWidth="1"/>
    <col min="12929" max="12929" width="11.125" style="58" customWidth="1"/>
    <col min="12930" max="12930" width="12" style="58" customWidth="1"/>
    <col min="12931" max="12931" width="13" style="58" customWidth="1"/>
    <col min="12932" max="12932" width="13.625" style="58" customWidth="1"/>
    <col min="12933" max="12933" width="11.875" style="58" customWidth="1"/>
    <col min="12934" max="12935" width="11.625" style="58" customWidth="1"/>
    <col min="12936" max="12936" width="12" style="58" customWidth="1"/>
    <col min="12937" max="12937" width="12.75" style="58" customWidth="1"/>
    <col min="12938" max="12938" width="11.625" style="58" customWidth="1"/>
    <col min="12939" max="12939" width="12.125" style="58" customWidth="1"/>
    <col min="12940" max="12941" width="11.625" style="58" customWidth="1"/>
    <col min="12942" max="12942" width="12.5" style="58" customWidth="1"/>
    <col min="12943" max="13117" width="11.625" style="58" customWidth="1"/>
    <col min="13118" max="13118" width="17.75" style="58" customWidth="1"/>
    <col min="13119" max="13120" width="9" style="58" customWidth="1"/>
    <col min="13121" max="13121" width="16.25" style="58" customWidth="1"/>
    <col min="13122" max="13122" width="24" style="58" customWidth="1"/>
    <col min="13123" max="13123" width="9" style="58"/>
    <col min="13124" max="13124" width="11.75" style="58" customWidth="1"/>
    <col min="13125" max="13125" width="8.875" style="58" customWidth="1"/>
    <col min="13126" max="13126" width="17.375" style="58" customWidth="1"/>
    <col min="13127" max="13127" width="13.25" style="58" customWidth="1"/>
    <col min="13128" max="13128" width="25.75" style="58" customWidth="1"/>
    <col min="13129" max="13129" width="11.125" style="58" customWidth="1"/>
    <col min="13130" max="13130" width="10.75" style="58" customWidth="1"/>
    <col min="13131" max="13131" width="9" style="58" customWidth="1"/>
    <col min="13132" max="13132" width="9.75" style="58" customWidth="1"/>
    <col min="13133" max="13133" width="7.5" style="58" customWidth="1"/>
    <col min="13134" max="13134" width="13.25" style="58" customWidth="1"/>
    <col min="13135" max="13135" width="11.75" style="58" customWidth="1"/>
    <col min="13136" max="13136" width="8.875" style="58" customWidth="1"/>
    <col min="13137" max="13137" width="9.625" style="58" customWidth="1"/>
    <col min="13138" max="13139" width="11.875" style="58" customWidth="1"/>
    <col min="13140" max="13140" width="11.5" style="58" customWidth="1"/>
    <col min="13141" max="13156" width="12.25" style="58" customWidth="1"/>
    <col min="13157" max="13157" width="13" style="58" customWidth="1"/>
    <col min="13158" max="13162" width="12.375" style="58" customWidth="1"/>
    <col min="13163" max="13163" width="13" style="58" customWidth="1"/>
    <col min="13164" max="13165" width="12.375" style="58" customWidth="1"/>
    <col min="13166" max="13166" width="13" style="58" customWidth="1"/>
    <col min="13167" max="13167" width="13.125" style="58" customWidth="1"/>
    <col min="13168" max="13168" width="13" style="58" customWidth="1"/>
    <col min="13169" max="13169" width="13.125" style="58" customWidth="1"/>
    <col min="13170" max="13171" width="12.375" style="58" customWidth="1"/>
    <col min="13172" max="13172" width="13" style="58" customWidth="1"/>
    <col min="13173" max="13173" width="12.375" style="58" customWidth="1"/>
    <col min="13174" max="13174" width="12.25" style="58" customWidth="1"/>
    <col min="13175" max="13175" width="12.125" style="58" customWidth="1"/>
    <col min="13176" max="13176" width="11.625" style="58" customWidth="1"/>
    <col min="13177" max="13177" width="12" style="58" customWidth="1"/>
    <col min="13178" max="13178" width="13" style="58" customWidth="1"/>
    <col min="13179" max="13179" width="11.625" style="58" customWidth="1"/>
    <col min="13180" max="13181" width="12" style="58" customWidth="1"/>
    <col min="13182" max="13184" width="11.625" style="58" customWidth="1"/>
    <col min="13185" max="13185" width="11.125" style="58" customWidth="1"/>
    <col min="13186" max="13186" width="12" style="58" customWidth="1"/>
    <col min="13187" max="13187" width="13" style="58" customWidth="1"/>
    <col min="13188" max="13188" width="13.625" style="58" customWidth="1"/>
    <col min="13189" max="13189" width="11.875" style="58" customWidth="1"/>
    <col min="13190" max="13191" width="11.625" style="58" customWidth="1"/>
    <col min="13192" max="13192" width="12" style="58" customWidth="1"/>
    <col min="13193" max="13193" width="12.75" style="58" customWidth="1"/>
    <col min="13194" max="13194" width="11.625" style="58" customWidth="1"/>
    <col min="13195" max="13195" width="12.125" style="58" customWidth="1"/>
    <col min="13196" max="13197" width="11.625" style="58" customWidth="1"/>
    <col min="13198" max="13198" width="12.5" style="58" customWidth="1"/>
    <col min="13199" max="13373" width="11.625" style="58" customWidth="1"/>
    <col min="13374" max="13374" width="17.75" style="58" customWidth="1"/>
    <col min="13375" max="13376" width="9" style="58" customWidth="1"/>
    <col min="13377" max="13377" width="16.25" style="58" customWidth="1"/>
    <col min="13378" max="13378" width="24" style="58" customWidth="1"/>
    <col min="13379" max="13379" width="9" style="58"/>
    <col min="13380" max="13380" width="11.75" style="58" customWidth="1"/>
    <col min="13381" max="13381" width="8.875" style="58" customWidth="1"/>
    <col min="13382" max="13382" width="17.375" style="58" customWidth="1"/>
    <col min="13383" max="13383" width="13.25" style="58" customWidth="1"/>
    <col min="13384" max="13384" width="25.75" style="58" customWidth="1"/>
    <col min="13385" max="13385" width="11.125" style="58" customWidth="1"/>
    <col min="13386" max="13386" width="10.75" style="58" customWidth="1"/>
    <col min="13387" max="13387" width="9" style="58" customWidth="1"/>
    <col min="13388" max="13388" width="9.75" style="58" customWidth="1"/>
    <col min="13389" max="13389" width="7.5" style="58" customWidth="1"/>
    <col min="13390" max="13390" width="13.25" style="58" customWidth="1"/>
    <col min="13391" max="13391" width="11.75" style="58" customWidth="1"/>
    <col min="13392" max="13392" width="8.875" style="58" customWidth="1"/>
    <col min="13393" max="13393" width="9.625" style="58" customWidth="1"/>
    <col min="13394" max="13395" width="11.875" style="58" customWidth="1"/>
    <col min="13396" max="13396" width="11.5" style="58" customWidth="1"/>
    <col min="13397" max="13412" width="12.25" style="58" customWidth="1"/>
    <col min="13413" max="13413" width="13" style="58" customWidth="1"/>
    <col min="13414" max="13418" width="12.375" style="58" customWidth="1"/>
    <col min="13419" max="13419" width="13" style="58" customWidth="1"/>
    <col min="13420" max="13421" width="12.375" style="58" customWidth="1"/>
    <col min="13422" max="13422" width="13" style="58" customWidth="1"/>
    <col min="13423" max="13423" width="13.125" style="58" customWidth="1"/>
    <col min="13424" max="13424" width="13" style="58" customWidth="1"/>
    <col min="13425" max="13425" width="13.125" style="58" customWidth="1"/>
    <col min="13426" max="13427" width="12.375" style="58" customWidth="1"/>
    <col min="13428" max="13428" width="13" style="58" customWidth="1"/>
    <col min="13429" max="13429" width="12.375" style="58" customWidth="1"/>
    <col min="13430" max="13430" width="12.25" style="58" customWidth="1"/>
    <col min="13431" max="13431" width="12.125" style="58" customWidth="1"/>
    <col min="13432" max="13432" width="11.625" style="58" customWidth="1"/>
    <col min="13433" max="13433" width="12" style="58" customWidth="1"/>
    <col min="13434" max="13434" width="13" style="58" customWidth="1"/>
    <col min="13435" max="13435" width="11.625" style="58" customWidth="1"/>
    <col min="13436" max="13437" width="12" style="58" customWidth="1"/>
    <col min="13438" max="13440" width="11.625" style="58" customWidth="1"/>
    <col min="13441" max="13441" width="11.125" style="58" customWidth="1"/>
    <col min="13442" max="13442" width="12" style="58" customWidth="1"/>
    <col min="13443" max="13443" width="13" style="58" customWidth="1"/>
    <col min="13444" max="13444" width="13.625" style="58" customWidth="1"/>
    <col min="13445" max="13445" width="11.875" style="58" customWidth="1"/>
    <col min="13446" max="13447" width="11.625" style="58" customWidth="1"/>
    <col min="13448" max="13448" width="12" style="58" customWidth="1"/>
    <col min="13449" max="13449" width="12.75" style="58" customWidth="1"/>
    <col min="13450" max="13450" width="11.625" style="58" customWidth="1"/>
    <col min="13451" max="13451" width="12.125" style="58" customWidth="1"/>
    <col min="13452" max="13453" width="11.625" style="58" customWidth="1"/>
    <col min="13454" max="13454" width="12.5" style="58" customWidth="1"/>
    <col min="13455" max="13629" width="11.625" style="58" customWidth="1"/>
    <col min="13630" max="13630" width="17.75" style="58" customWidth="1"/>
    <col min="13631" max="13632" width="9" style="58" customWidth="1"/>
    <col min="13633" max="13633" width="16.25" style="58" customWidth="1"/>
    <col min="13634" max="13634" width="24" style="58" customWidth="1"/>
    <col min="13635" max="13635" width="9" style="58"/>
    <col min="13636" max="13636" width="11.75" style="58" customWidth="1"/>
    <col min="13637" max="13637" width="8.875" style="58" customWidth="1"/>
    <col min="13638" max="13638" width="17.375" style="58" customWidth="1"/>
    <col min="13639" max="13639" width="13.25" style="58" customWidth="1"/>
    <col min="13640" max="13640" width="25.75" style="58" customWidth="1"/>
    <col min="13641" max="13641" width="11.125" style="58" customWidth="1"/>
    <col min="13642" max="13642" width="10.75" style="58" customWidth="1"/>
    <col min="13643" max="13643" width="9" style="58" customWidth="1"/>
    <col min="13644" max="13644" width="9.75" style="58" customWidth="1"/>
    <col min="13645" max="13645" width="7.5" style="58" customWidth="1"/>
    <col min="13646" max="13646" width="13.25" style="58" customWidth="1"/>
    <col min="13647" max="13647" width="11.75" style="58" customWidth="1"/>
    <col min="13648" max="13648" width="8.875" style="58" customWidth="1"/>
    <col min="13649" max="13649" width="9.625" style="58" customWidth="1"/>
    <col min="13650" max="13651" width="11.875" style="58" customWidth="1"/>
    <col min="13652" max="13652" width="11.5" style="58" customWidth="1"/>
    <col min="13653" max="13668" width="12.25" style="58" customWidth="1"/>
    <col min="13669" max="13669" width="13" style="58" customWidth="1"/>
    <col min="13670" max="13674" width="12.375" style="58" customWidth="1"/>
    <col min="13675" max="13675" width="13" style="58" customWidth="1"/>
    <col min="13676" max="13677" width="12.375" style="58" customWidth="1"/>
    <col min="13678" max="13678" width="13" style="58" customWidth="1"/>
    <col min="13679" max="13679" width="13.125" style="58" customWidth="1"/>
    <col min="13680" max="13680" width="13" style="58" customWidth="1"/>
    <col min="13681" max="13681" width="13.125" style="58" customWidth="1"/>
    <col min="13682" max="13683" width="12.375" style="58" customWidth="1"/>
    <col min="13684" max="13684" width="13" style="58" customWidth="1"/>
    <col min="13685" max="13685" width="12.375" style="58" customWidth="1"/>
    <col min="13686" max="13686" width="12.25" style="58" customWidth="1"/>
    <col min="13687" max="13687" width="12.125" style="58" customWidth="1"/>
    <col min="13688" max="13688" width="11.625" style="58" customWidth="1"/>
    <col min="13689" max="13689" width="12" style="58" customWidth="1"/>
    <col min="13690" max="13690" width="13" style="58" customWidth="1"/>
    <col min="13691" max="13691" width="11.625" style="58" customWidth="1"/>
    <col min="13692" max="13693" width="12" style="58" customWidth="1"/>
    <col min="13694" max="13696" width="11.625" style="58" customWidth="1"/>
    <col min="13697" max="13697" width="11.125" style="58" customWidth="1"/>
    <col min="13698" max="13698" width="12" style="58" customWidth="1"/>
    <col min="13699" max="13699" width="13" style="58" customWidth="1"/>
    <col min="13700" max="13700" width="13.625" style="58" customWidth="1"/>
    <col min="13701" max="13701" width="11.875" style="58" customWidth="1"/>
    <col min="13702" max="13703" width="11.625" style="58" customWidth="1"/>
    <col min="13704" max="13704" width="12" style="58" customWidth="1"/>
    <col min="13705" max="13705" width="12.75" style="58" customWidth="1"/>
    <col min="13706" max="13706" width="11.625" style="58" customWidth="1"/>
    <col min="13707" max="13707" width="12.125" style="58" customWidth="1"/>
    <col min="13708" max="13709" width="11.625" style="58" customWidth="1"/>
    <col min="13710" max="13710" width="12.5" style="58" customWidth="1"/>
    <col min="13711" max="13885" width="11.625" style="58" customWidth="1"/>
    <col min="13886" max="13886" width="17.75" style="58" customWidth="1"/>
    <col min="13887" max="13888" width="9" style="58" customWidth="1"/>
    <col min="13889" max="13889" width="16.25" style="58" customWidth="1"/>
    <col min="13890" max="13890" width="24" style="58" customWidth="1"/>
    <col min="13891" max="13891" width="9" style="58"/>
    <col min="13892" max="13892" width="11.75" style="58" customWidth="1"/>
    <col min="13893" max="13893" width="8.875" style="58" customWidth="1"/>
    <col min="13894" max="13894" width="17.375" style="58" customWidth="1"/>
    <col min="13895" max="13895" width="13.25" style="58" customWidth="1"/>
    <col min="13896" max="13896" width="25.75" style="58" customWidth="1"/>
    <col min="13897" max="13897" width="11.125" style="58" customWidth="1"/>
    <col min="13898" max="13898" width="10.75" style="58" customWidth="1"/>
    <col min="13899" max="13899" width="9" style="58" customWidth="1"/>
    <col min="13900" max="13900" width="9.75" style="58" customWidth="1"/>
    <col min="13901" max="13901" width="7.5" style="58" customWidth="1"/>
    <col min="13902" max="13902" width="13.25" style="58" customWidth="1"/>
    <col min="13903" max="13903" width="11.75" style="58" customWidth="1"/>
    <col min="13904" max="13904" width="8.875" style="58" customWidth="1"/>
    <col min="13905" max="13905" width="9.625" style="58" customWidth="1"/>
    <col min="13906" max="13907" width="11.875" style="58" customWidth="1"/>
    <col min="13908" max="13908" width="11.5" style="58" customWidth="1"/>
    <col min="13909" max="13924" width="12.25" style="58" customWidth="1"/>
    <col min="13925" max="13925" width="13" style="58" customWidth="1"/>
    <col min="13926" max="13930" width="12.375" style="58" customWidth="1"/>
    <col min="13931" max="13931" width="13" style="58" customWidth="1"/>
    <col min="13932" max="13933" width="12.375" style="58" customWidth="1"/>
    <col min="13934" max="13934" width="13" style="58" customWidth="1"/>
    <col min="13935" max="13935" width="13.125" style="58" customWidth="1"/>
    <col min="13936" max="13936" width="13" style="58" customWidth="1"/>
    <col min="13937" max="13937" width="13.125" style="58" customWidth="1"/>
    <col min="13938" max="13939" width="12.375" style="58" customWidth="1"/>
    <col min="13940" max="13940" width="13" style="58" customWidth="1"/>
    <col min="13941" max="13941" width="12.375" style="58" customWidth="1"/>
    <col min="13942" max="13942" width="12.25" style="58" customWidth="1"/>
    <col min="13943" max="13943" width="12.125" style="58" customWidth="1"/>
    <col min="13944" max="13944" width="11.625" style="58" customWidth="1"/>
    <col min="13945" max="13945" width="12" style="58" customWidth="1"/>
    <col min="13946" max="13946" width="13" style="58" customWidth="1"/>
    <col min="13947" max="13947" width="11.625" style="58" customWidth="1"/>
    <col min="13948" max="13949" width="12" style="58" customWidth="1"/>
    <col min="13950" max="13952" width="11.625" style="58" customWidth="1"/>
    <col min="13953" max="13953" width="11.125" style="58" customWidth="1"/>
    <col min="13954" max="13954" width="12" style="58" customWidth="1"/>
    <col min="13955" max="13955" width="13" style="58" customWidth="1"/>
    <col min="13956" max="13956" width="13.625" style="58" customWidth="1"/>
    <col min="13957" max="13957" width="11.875" style="58" customWidth="1"/>
    <col min="13958" max="13959" width="11.625" style="58" customWidth="1"/>
    <col min="13960" max="13960" width="12" style="58" customWidth="1"/>
    <col min="13961" max="13961" width="12.75" style="58" customWidth="1"/>
    <col min="13962" max="13962" width="11.625" style="58" customWidth="1"/>
    <col min="13963" max="13963" width="12.125" style="58" customWidth="1"/>
    <col min="13964" max="13965" width="11.625" style="58" customWidth="1"/>
    <col min="13966" max="13966" width="12.5" style="58" customWidth="1"/>
    <col min="13967" max="14141" width="11.625" style="58" customWidth="1"/>
    <col min="14142" max="14142" width="17.75" style="58" customWidth="1"/>
    <col min="14143" max="14144" width="9" style="58" customWidth="1"/>
    <col min="14145" max="14145" width="16.25" style="58" customWidth="1"/>
    <col min="14146" max="14146" width="24" style="58" customWidth="1"/>
    <col min="14147" max="14147" width="9" style="58"/>
    <col min="14148" max="14148" width="11.75" style="58" customWidth="1"/>
    <col min="14149" max="14149" width="8.875" style="58" customWidth="1"/>
    <col min="14150" max="14150" width="17.375" style="58" customWidth="1"/>
    <col min="14151" max="14151" width="13.25" style="58" customWidth="1"/>
    <col min="14152" max="14152" width="25.75" style="58" customWidth="1"/>
    <col min="14153" max="14153" width="11.125" style="58" customWidth="1"/>
    <col min="14154" max="14154" width="10.75" style="58" customWidth="1"/>
    <col min="14155" max="14155" width="9" style="58" customWidth="1"/>
    <col min="14156" max="14156" width="9.75" style="58" customWidth="1"/>
    <col min="14157" max="14157" width="7.5" style="58" customWidth="1"/>
    <col min="14158" max="14158" width="13.25" style="58" customWidth="1"/>
    <col min="14159" max="14159" width="11.75" style="58" customWidth="1"/>
    <col min="14160" max="14160" width="8.875" style="58" customWidth="1"/>
    <col min="14161" max="14161" width="9.625" style="58" customWidth="1"/>
    <col min="14162" max="14163" width="11.875" style="58" customWidth="1"/>
    <col min="14164" max="14164" width="11.5" style="58" customWidth="1"/>
    <col min="14165" max="14180" width="12.25" style="58" customWidth="1"/>
    <col min="14181" max="14181" width="13" style="58" customWidth="1"/>
    <col min="14182" max="14186" width="12.375" style="58" customWidth="1"/>
    <col min="14187" max="14187" width="13" style="58" customWidth="1"/>
    <col min="14188" max="14189" width="12.375" style="58" customWidth="1"/>
    <col min="14190" max="14190" width="13" style="58" customWidth="1"/>
    <col min="14191" max="14191" width="13.125" style="58" customWidth="1"/>
    <col min="14192" max="14192" width="13" style="58" customWidth="1"/>
    <col min="14193" max="14193" width="13.125" style="58" customWidth="1"/>
    <col min="14194" max="14195" width="12.375" style="58" customWidth="1"/>
    <col min="14196" max="14196" width="13" style="58" customWidth="1"/>
    <col min="14197" max="14197" width="12.375" style="58" customWidth="1"/>
    <col min="14198" max="14198" width="12.25" style="58" customWidth="1"/>
    <col min="14199" max="14199" width="12.125" style="58" customWidth="1"/>
    <col min="14200" max="14200" width="11.625" style="58" customWidth="1"/>
    <col min="14201" max="14201" width="12" style="58" customWidth="1"/>
    <col min="14202" max="14202" width="13" style="58" customWidth="1"/>
    <col min="14203" max="14203" width="11.625" style="58" customWidth="1"/>
    <col min="14204" max="14205" width="12" style="58" customWidth="1"/>
    <col min="14206" max="14208" width="11.625" style="58" customWidth="1"/>
    <col min="14209" max="14209" width="11.125" style="58" customWidth="1"/>
    <col min="14210" max="14210" width="12" style="58" customWidth="1"/>
    <col min="14211" max="14211" width="13" style="58" customWidth="1"/>
    <col min="14212" max="14212" width="13.625" style="58" customWidth="1"/>
    <col min="14213" max="14213" width="11.875" style="58" customWidth="1"/>
    <col min="14214" max="14215" width="11.625" style="58" customWidth="1"/>
    <col min="14216" max="14216" width="12" style="58" customWidth="1"/>
    <col min="14217" max="14217" width="12.75" style="58" customWidth="1"/>
    <col min="14218" max="14218" width="11.625" style="58" customWidth="1"/>
    <col min="14219" max="14219" width="12.125" style="58" customWidth="1"/>
    <col min="14220" max="14221" width="11.625" style="58" customWidth="1"/>
    <col min="14222" max="14222" width="12.5" style="58" customWidth="1"/>
    <col min="14223" max="14397" width="11.625" style="58" customWidth="1"/>
    <col min="14398" max="14398" width="17.75" style="58" customWidth="1"/>
    <col min="14399" max="14400" width="9" style="58" customWidth="1"/>
    <col min="14401" max="14401" width="16.25" style="58" customWidth="1"/>
    <col min="14402" max="14402" width="24" style="58" customWidth="1"/>
    <col min="14403" max="14403" width="9" style="58"/>
    <col min="14404" max="14404" width="11.75" style="58" customWidth="1"/>
    <col min="14405" max="14405" width="8.875" style="58" customWidth="1"/>
    <col min="14406" max="14406" width="17.375" style="58" customWidth="1"/>
    <col min="14407" max="14407" width="13.25" style="58" customWidth="1"/>
    <col min="14408" max="14408" width="25.75" style="58" customWidth="1"/>
    <col min="14409" max="14409" width="11.125" style="58" customWidth="1"/>
    <col min="14410" max="14410" width="10.75" style="58" customWidth="1"/>
    <col min="14411" max="14411" width="9" style="58" customWidth="1"/>
    <col min="14412" max="14412" width="9.75" style="58" customWidth="1"/>
    <col min="14413" max="14413" width="7.5" style="58" customWidth="1"/>
    <col min="14414" max="14414" width="13.25" style="58" customWidth="1"/>
    <col min="14415" max="14415" width="11.75" style="58" customWidth="1"/>
    <col min="14416" max="14416" width="8.875" style="58" customWidth="1"/>
    <col min="14417" max="14417" width="9.625" style="58" customWidth="1"/>
    <col min="14418" max="14419" width="11.875" style="58" customWidth="1"/>
    <col min="14420" max="14420" width="11.5" style="58" customWidth="1"/>
    <col min="14421" max="14436" width="12.25" style="58" customWidth="1"/>
    <col min="14437" max="14437" width="13" style="58" customWidth="1"/>
    <col min="14438" max="14442" width="12.375" style="58" customWidth="1"/>
    <col min="14443" max="14443" width="13" style="58" customWidth="1"/>
    <col min="14444" max="14445" width="12.375" style="58" customWidth="1"/>
    <col min="14446" max="14446" width="13" style="58" customWidth="1"/>
    <col min="14447" max="14447" width="13.125" style="58" customWidth="1"/>
    <col min="14448" max="14448" width="13" style="58" customWidth="1"/>
    <col min="14449" max="14449" width="13.125" style="58" customWidth="1"/>
    <col min="14450" max="14451" width="12.375" style="58" customWidth="1"/>
    <col min="14452" max="14452" width="13" style="58" customWidth="1"/>
    <col min="14453" max="14453" width="12.375" style="58" customWidth="1"/>
    <col min="14454" max="14454" width="12.25" style="58" customWidth="1"/>
    <col min="14455" max="14455" width="12.125" style="58" customWidth="1"/>
    <col min="14456" max="14456" width="11.625" style="58" customWidth="1"/>
    <col min="14457" max="14457" width="12" style="58" customWidth="1"/>
    <col min="14458" max="14458" width="13" style="58" customWidth="1"/>
    <col min="14459" max="14459" width="11.625" style="58" customWidth="1"/>
    <col min="14460" max="14461" width="12" style="58" customWidth="1"/>
    <col min="14462" max="14464" width="11.625" style="58" customWidth="1"/>
    <col min="14465" max="14465" width="11.125" style="58" customWidth="1"/>
    <col min="14466" max="14466" width="12" style="58" customWidth="1"/>
    <col min="14467" max="14467" width="13" style="58" customWidth="1"/>
    <col min="14468" max="14468" width="13.625" style="58" customWidth="1"/>
    <col min="14469" max="14469" width="11.875" style="58" customWidth="1"/>
    <col min="14470" max="14471" width="11.625" style="58" customWidth="1"/>
    <col min="14472" max="14472" width="12" style="58" customWidth="1"/>
    <col min="14473" max="14473" width="12.75" style="58" customWidth="1"/>
    <col min="14474" max="14474" width="11.625" style="58" customWidth="1"/>
    <col min="14475" max="14475" width="12.125" style="58" customWidth="1"/>
    <col min="14476" max="14477" width="11.625" style="58" customWidth="1"/>
    <col min="14478" max="14478" width="12.5" style="58" customWidth="1"/>
    <col min="14479" max="14653" width="11.625" style="58" customWidth="1"/>
    <col min="14654" max="14654" width="17.75" style="58" customWidth="1"/>
    <col min="14655" max="14656" width="9" style="58" customWidth="1"/>
    <col min="14657" max="14657" width="16.25" style="58" customWidth="1"/>
    <col min="14658" max="14658" width="24" style="58" customWidth="1"/>
    <col min="14659" max="14659" width="9" style="58"/>
    <col min="14660" max="14660" width="11.75" style="58" customWidth="1"/>
    <col min="14661" max="14661" width="8.875" style="58" customWidth="1"/>
    <col min="14662" max="14662" width="17.375" style="58" customWidth="1"/>
    <col min="14663" max="14663" width="13.25" style="58" customWidth="1"/>
    <col min="14664" max="14664" width="25.75" style="58" customWidth="1"/>
    <col min="14665" max="14665" width="11.125" style="58" customWidth="1"/>
    <col min="14666" max="14666" width="10.75" style="58" customWidth="1"/>
    <col min="14667" max="14667" width="9" style="58" customWidth="1"/>
    <col min="14668" max="14668" width="9.75" style="58" customWidth="1"/>
    <col min="14669" max="14669" width="7.5" style="58" customWidth="1"/>
    <col min="14670" max="14670" width="13.25" style="58" customWidth="1"/>
    <col min="14671" max="14671" width="11.75" style="58" customWidth="1"/>
    <col min="14672" max="14672" width="8.875" style="58" customWidth="1"/>
    <col min="14673" max="14673" width="9.625" style="58" customWidth="1"/>
    <col min="14674" max="14675" width="11.875" style="58" customWidth="1"/>
    <col min="14676" max="14676" width="11.5" style="58" customWidth="1"/>
    <col min="14677" max="14692" width="12.25" style="58" customWidth="1"/>
    <col min="14693" max="14693" width="13" style="58" customWidth="1"/>
    <col min="14694" max="14698" width="12.375" style="58" customWidth="1"/>
    <col min="14699" max="14699" width="13" style="58" customWidth="1"/>
    <col min="14700" max="14701" width="12.375" style="58" customWidth="1"/>
    <col min="14702" max="14702" width="13" style="58" customWidth="1"/>
    <col min="14703" max="14703" width="13.125" style="58" customWidth="1"/>
    <col min="14704" max="14704" width="13" style="58" customWidth="1"/>
    <col min="14705" max="14705" width="13.125" style="58" customWidth="1"/>
    <col min="14706" max="14707" width="12.375" style="58" customWidth="1"/>
    <col min="14708" max="14708" width="13" style="58" customWidth="1"/>
    <col min="14709" max="14709" width="12.375" style="58" customWidth="1"/>
    <col min="14710" max="14710" width="12.25" style="58" customWidth="1"/>
    <col min="14711" max="14711" width="12.125" style="58" customWidth="1"/>
    <col min="14712" max="14712" width="11.625" style="58" customWidth="1"/>
    <col min="14713" max="14713" width="12" style="58" customWidth="1"/>
    <col min="14714" max="14714" width="13" style="58" customWidth="1"/>
    <col min="14715" max="14715" width="11.625" style="58" customWidth="1"/>
    <col min="14716" max="14717" width="12" style="58" customWidth="1"/>
    <col min="14718" max="14720" width="11.625" style="58" customWidth="1"/>
    <col min="14721" max="14721" width="11.125" style="58" customWidth="1"/>
    <col min="14722" max="14722" width="12" style="58" customWidth="1"/>
    <col min="14723" max="14723" width="13" style="58" customWidth="1"/>
    <col min="14724" max="14724" width="13.625" style="58" customWidth="1"/>
    <col min="14725" max="14725" width="11.875" style="58" customWidth="1"/>
    <col min="14726" max="14727" width="11.625" style="58" customWidth="1"/>
    <col min="14728" max="14728" width="12" style="58" customWidth="1"/>
    <col min="14729" max="14729" width="12.75" style="58" customWidth="1"/>
    <col min="14730" max="14730" width="11.625" style="58" customWidth="1"/>
    <col min="14731" max="14731" width="12.125" style="58" customWidth="1"/>
    <col min="14732" max="14733" width="11.625" style="58" customWidth="1"/>
    <col min="14734" max="14734" width="12.5" style="58" customWidth="1"/>
    <col min="14735" max="14909" width="11.625" style="58" customWidth="1"/>
    <col min="14910" max="14910" width="17.75" style="58" customWidth="1"/>
    <col min="14911" max="14912" width="9" style="58" customWidth="1"/>
    <col min="14913" max="14913" width="16.25" style="58" customWidth="1"/>
    <col min="14914" max="14914" width="24" style="58" customWidth="1"/>
    <col min="14915" max="14915" width="9" style="58"/>
    <col min="14916" max="14916" width="11.75" style="58" customWidth="1"/>
    <col min="14917" max="14917" width="8.875" style="58" customWidth="1"/>
    <col min="14918" max="14918" width="17.375" style="58" customWidth="1"/>
    <col min="14919" max="14919" width="13.25" style="58" customWidth="1"/>
    <col min="14920" max="14920" width="25.75" style="58" customWidth="1"/>
    <col min="14921" max="14921" width="11.125" style="58" customWidth="1"/>
    <col min="14922" max="14922" width="10.75" style="58" customWidth="1"/>
    <col min="14923" max="14923" width="9" style="58" customWidth="1"/>
    <col min="14924" max="14924" width="9.75" style="58" customWidth="1"/>
    <col min="14925" max="14925" width="7.5" style="58" customWidth="1"/>
    <col min="14926" max="14926" width="13.25" style="58" customWidth="1"/>
    <col min="14927" max="14927" width="11.75" style="58" customWidth="1"/>
    <col min="14928" max="14928" width="8.875" style="58" customWidth="1"/>
    <col min="14929" max="14929" width="9.625" style="58" customWidth="1"/>
    <col min="14930" max="14931" width="11.875" style="58" customWidth="1"/>
    <col min="14932" max="14932" width="11.5" style="58" customWidth="1"/>
    <col min="14933" max="14948" width="12.25" style="58" customWidth="1"/>
    <col min="14949" max="14949" width="13" style="58" customWidth="1"/>
    <col min="14950" max="14954" width="12.375" style="58" customWidth="1"/>
    <col min="14955" max="14955" width="13" style="58" customWidth="1"/>
    <col min="14956" max="14957" width="12.375" style="58" customWidth="1"/>
    <col min="14958" max="14958" width="13" style="58" customWidth="1"/>
    <col min="14959" max="14959" width="13.125" style="58" customWidth="1"/>
    <col min="14960" max="14960" width="13" style="58" customWidth="1"/>
    <col min="14961" max="14961" width="13.125" style="58" customWidth="1"/>
    <col min="14962" max="14963" width="12.375" style="58" customWidth="1"/>
    <col min="14964" max="14964" width="13" style="58" customWidth="1"/>
    <col min="14965" max="14965" width="12.375" style="58" customWidth="1"/>
    <col min="14966" max="14966" width="12.25" style="58" customWidth="1"/>
    <col min="14967" max="14967" width="12.125" style="58" customWidth="1"/>
    <col min="14968" max="14968" width="11.625" style="58" customWidth="1"/>
    <col min="14969" max="14969" width="12" style="58" customWidth="1"/>
    <col min="14970" max="14970" width="13" style="58" customWidth="1"/>
    <col min="14971" max="14971" width="11.625" style="58" customWidth="1"/>
    <col min="14972" max="14973" width="12" style="58" customWidth="1"/>
    <col min="14974" max="14976" width="11.625" style="58" customWidth="1"/>
    <col min="14977" max="14977" width="11.125" style="58" customWidth="1"/>
    <col min="14978" max="14978" width="12" style="58" customWidth="1"/>
    <col min="14979" max="14979" width="13" style="58" customWidth="1"/>
    <col min="14980" max="14980" width="13.625" style="58" customWidth="1"/>
    <col min="14981" max="14981" width="11.875" style="58" customWidth="1"/>
    <col min="14982" max="14983" width="11.625" style="58" customWidth="1"/>
    <col min="14984" max="14984" width="12" style="58" customWidth="1"/>
    <col min="14985" max="14985" width="12.75" style="58" customWidth="1"/>
    <col min="14986" max="14986" width="11.625" style="58" customWidth="1"/>
    <col min="14987" max="14987" width="12.125" style="58" customWidth="1"/>
    <col min="14988" max="14989" width="11.625" style="58" customWidth="1"/>
    <col min="14990" max="14990" width="12.5" style="58" customWidth="1"/>
    <col min="14991" max="15165" width="11.625" style="58" customWidth="1"/>
    <col min="15166" max="15166" width="17.75" style="58" customWidth="1"/>
    <col min="15167" max="15168" width="9" style="58" customWidth="1"/>
    <col min="15169" max="15169" width="16.25" style="58" customWidth="1"/>
    <col min="15170" max="15170" width="24" style="58" customWidth="1"/>
    <col min="15171" max="15171" width="9" style="58"/>
    <col min="15172" max="15172" width="11.75" style="58" customWidth="1"/>
    <col min="15173" max="15173" width="8.875" style="58" customWidth="1"/>
    <col min="15174" max="15174" width="17.375" style="58" customWidth="1"/>
    <col min="15175" max="15175" width="13.25" style="58" customWidth="1"/>
    <col min="15176" max="15176" width="25.75" style="58" customWidth="1"/>
    <col min="15177" max="15177" width="11.125" style="58" customWidth="1"/>
    <col min="15178" max="15178" width="10.75" style="58" customWidth="1"/>
    <col min="15179" max="15179" width="9" style="58" customWidth="1"/>
    <col min="15180" max="15180" width="9.75" style="58" customWidth="1"/>
    <col min="15181" max="15181" width="7.5" style="58" customWidth="1"/>
    <col min="15182" max="15182" width="13.25" style="58" customWidth="1"/>
    <col min="15183" max="15183" width="11.75" style="58" customWidth="1"/>
    <col min="15184" max="15184" width="8.875" style="58" customWidth="1"/>
    <col min="15185" max="15185" width="9.625" style="58" customWidth="1"/>
    <col min="15186" max="15187" width="11.875" style="58" customWidth="1"/>
    <col min="15188" max="15188" width="11.5" style="58" customWidth="1"/>
    <col min="15189" max="15204" width="12.25" style="58" customWidth="1"/>
    <col min="15205" max="15205" width="13" style="58" customWidth="1"/>
    <col min="15206" max="15210" width="12.375" style="58" customWidth="1"/>
    <col min="15211" max="15211" width="13" style="58" customWidth="1"/>
    <col min="15212" max="15213" width="12.375" style="58" customWidth="1"/>
    <col min="15214" max="15214" width="13" style="58" customWidth="1"/>
    <col min="15215" max="15215" width="13.125" style="58" customWidth="1"/>
    <col min="15216" max="15216" width="13" style="58" customWidth="1"/>
    <col min="15217" max="15217" width="13.125" style="58" customWidth="1"/>
    <col min="15218" max="15219" width="12.375" style="58" customWidth="1"/>
    <col min="15220" max="15220" width="13" style="58" customWidth="1"/>
    <col min="15221" max="15221" width="12.375" style="58" customWidth="1"/>
    <col min="15222" max="15222" width="12.25" style="58" customWidth="1"/>
    <col min="15223" max="15223" width="12.125" style="58" customWidth="1"/>
    <col min="15224" max="15224" width="11.625" style="58" customWidth="1"/>
    <col min="15225" max="15225" width="12" style="58" customWidth="1"/>
    <col min="15226" max="15226" width="13" style="58" customWidth="1"/>
    <col min="15227" max="15227" width="11.625" style="58" customWidth="1"/>
    <col min="15228" max="15229" width="12" style="58" customWidth="1"/>
    <col min="15230" max="15232" width="11.625" style="58" customWidth="1"/>
    <col min="15233" max="15233" width="11.125" style="58" customWidth="1"/>
    <col min="15234" max="15234" width="12" style="58" customWidth="1"/>
    <col min="15235" max="15235" width="13" style="58" customWidth="1"/>
    <col min="15236" max="15236" width="13.625" style="58" customWidth="1"/>
    <col min="15237" max="15237" width="11.875" style="58" customWidth="1"/>
    <col min="15238" max="15239" width="11.625" style="58" customWidth="1"/>
    <col min="15240" max="15240" width="12" style="58" customWidth="1"/>
    <col min="15241" max="15241" width="12.75" style="58" customWidth="1"/>
    <col min="15242" max="15242" width="11.625" style="58" customWidth="1"/>
    <col min="15243" max="15243" width="12.125" style="58" customWidth="1"/>
    <col min="15244" max="15245" width="11.625" style="58" customWidth="1"/>
    <col min="15246" max="15246" width="12.5" style="58" customWidth="1"/>
    <col min="15247" max="15421" width="11.625" style="58" customWidth="1"/>
    <col min="15422" max="15422" width="17.75" style="58" customWidth="1"/>
    <col min="15423" max="15424" width="9" style="58" customWidth="1"/>
    <col min="15425" max="15425" width="16.25" style="58" customWidth="1"/>
    <col min="15426" max="15426" width="24" style="58" customWidth="1"/>
    <col min="15427" max="15427" width="9" style="58"/>
    <col min="15428" max="15428" width="11.75" style="58" customWidth="1"/>
    <col min="15429" max="15429" width="8.875" style="58" customWidth="1"/>
    <col min="15430" max="15430" width="17.375" style="58" customWidth="1"/>
    <col min="15431" max="15431" width="13.25" style="58" customWidth="1"/>
    <col min="15432" max="15432" width="25.75" style="58" customWidth="1"/>
    <col min="15433" max="15433" width="11.125" style="58" customWidth="1"/>
    <col min="15434" max="15434" width="10.75" style="58" customWidth="1"/>
    <col min="15435" max="15435" width="9" style="58" customWidth="1"/>
    <col min="15436" max="15436" width="9.75" style="58" customWidth="1"/>
    <col min="15437" max="15437" width="7.5" style="58" customWidth="1"/>
    <col min="15438" max="15438" width="13.25" style="58" customWidth="1"/>
    <col min="15439" max="15439" width="11.75" style="58" customWidth="1"/>
    <col min="15440" max="15440" width="8.875" style="58" customWidth="1"/>
    <col min="15441" max="15441" width="9.625" style="58" customWidth="1"/>
    <col min="15442" max="15443" width="11.875" style="58" customWidth="1"/>
    <col min="15444" max="15444" width="11.5" style="58" customWidth="1"/>
    <col min="15445" max="15460" width="12.25" style="58" customWidth="1"/>
    <col min="15461" max="15461" width="13" style="58" customWidth="1"/>
    <col min="15462" max="15466" width="12.375" style="58" customWidth="1"/>
    <col min="15467" max="15467" width="13" style="58" customWidth="1"/>
    <col min="15468" max="15469" width="12.375" style="58" customWidth="1"/>
    <col min="15470" max="15470" width="13" style="58" customWidth="1"/>
    <col min="15471" max="15471" width="13.125" style="58" customWidth="1"/>
    <col min="15472" max="15472" width="13" style="58" customWidth="1"/>
    <col min="15473" max="15473" width="13.125" style="58" customWidth="1"/>
    <col min="15474" max="15475" width="12.375" style="58" customWidth="1"/>
    <col min="15476" max="15476" width="13" style="58" customWidth="1"/>
    <col min="15477" max="15477" width="12.375" style="58" customWidth="1"/>
    <col min="15478" max="15478" width="12.25" style="58" customWidth="1"/>
    <col min="15479" max="15479" width="12.125" style="58" customWidth="1"/>
    <col min="15480" max="15480" width="11.625" style="58" customWidth="1"/>
    <col min="15481" max="15481" width="12" style="58" customWidth="1"/>
    <col min="15482" max="15482" width="13" style="58" customWidth="1"/>
    <col min="15483" max="15483" width="11.625" style="58" customWidth="1"/>
    <col min="15484" max="15485" width="12" style="58" customWidth="1"/>
    <col min="15486" max="15488" width="11.625" style="58" customWidth="1"/>
    <col min="15489" max="15489" width="11.125" style="58" customWidth="1"/>
    <col min="15490" max="15490" width="12" style="58" customWidth="1"/>
    <col min="15491" max="15491" width="13" style="58" customWidth="1"/>
    <col min="15492" max="15492" width="13.625" style="58" customWidth="1"/>
    <col min="15493" max="15493" width="11.875" style="58" customWidth="1"/>
    <col min="15494" max="15495" width="11.625" style="58" customWidth="1"/>
    <col min="15496" max="15496" width="12" style="58" customWidth="1"/>
    <col min="15497" max="15497" width="12.75" style="58" customWidth="1"/>
    <col min="15498" max="15498" width="11.625" style="58" customWidth="1"/>
    <col min="15499" max="15499" width="12.125" style="58" customWidth="1"/>
    <col min="15500" max="15501" width="11.625" style="58" customWidth="1"/>
    <col min="15502" max="15502" width="12.5" style="58" customWidth="1"/>
    <col min="15503" max="15677" width="11.625" style="58" customWidth="1"/>
    <col min="15678" max="15678" width="17.75" style="58" customWidth="1"/>
    <col min="15679" max="15680" width="9" style="58" customWidth="1"/>
    <col min="15681" max="15681" width="16.25" style="58" customWidth="1"/>
    <col min="15682" max="15682" width="24" style="58" customWidth="1"/>
    <col min="15683" max="15683" width="9" style="58"/>
    <col min="15684" max="15684" width="11.75" style="58" customWidth="1"/>
    <col min="15685" max="15685" width="8.875" style="58" customWidth="1"/>
    <col min="15686" max="15686" width="17.375" style="58" customWidth="1"/>
    <col min="15687" max="15687" width="13.25" style="58" customWidth="1"/>
    <col min="15688" max="15688" width="25.75" style="58" customWidth="1"/>
    <col min="15689" max="15689" width="11.125" style="58" customWidth="1"/>
    <col min="15690" max="15690" width="10.75" style="58" customWidth="1"/>
    <col min="15691" max="15691" width="9" style="58" customWidth="1"/>
    <col min="15692" max="15692" width="9.75" style="58" customWidth="1"/>
    <col min="15693" max="15693" width="7.5" style="58" customWidth="1"/>
    <col min="15694" max="15694" width="13.25" style="58" customWidth="1"/>
    <col min="15695" max="15695" width="11.75" style="58" customWidth="1"/>
    <col min="15696" max="15696" width="8.875" style="58" customWidth="1"/>
    <col min="15697" max="15697" width="9.625" style="58" customWidth="1"/>
    <col min="15698" max="15699" width="11.875" style="58" customWidth="1"/>
    <col min="15700" max="15700" width="11.5" style="58" customWidth="1"/>
    <col min="15701" max="15716" width="12.25" style="58" customWidth="1"/>
    <col min="15717" max="15717" width="13" style="58" customWidth="1"/>
    <col min="15718" max="15722" width="12.375" style="58" customWidth="1"/>
    <col min="15723" max="15723" width="13" style="58" customWidth="1"/>
    <col min="15724" max="15725" width="12.375" style="58" customWidth="1"/>
    <col min="15726" max="15726" width="13" style="58" customWidth="1"/>
    <col min="15727" max="15727" width="13.125" style="58" customWidth="1"/>
    <col min="15728" max="15728" width="13" style="58" customWidth="1"/>
    <col min="15729" max="15729" width="13.125" style="58" customWidth="1"/>
    <col min="15730" max="15731" width="12.375" style="58" customWidth="1"/>
    <col min="15732" max="15732" width="13" style="58" customWidth="1"/>
    <col min="15733" max="15733" width="12.375" style="58" customWidth="1"/>
    <col min="15734" max="15734" width="12.25" style="58" customWidth="1"/>
    <col min="15735" max="15735" width="12.125" style="58" customWidth="1"/>
    <col min="15736" max="15736" width="11.625" style="58" customWidth="1"/>
    <col min="15737" max="15737" width="12" style="58" customWidth="1"/>
    <col min="15738" max="15738" width="13" style="58" customWidth="1"/>
    <col min="15739" max="15739" width="11.625" style="58" customWidth="1"/>
    <col min="15740" max="15741" width="12" style="58" customWidth="1"/>
    <col min="15742" max="15744" width="11.625" style="58" customWidth="1"/>
    <col min="15745" max="15745" width="11.125" style="58" customWidth="1"/>
    <col min="15746" max="15746" width="12" style="58" customWidth="1"/>
    <col min="15747" max="15747" width="13" style="58" customWidth="1"/>
    <col min="15748" max="15748" width="13.625" style="58" customWidth="1"/>
    <col min="15749" max="15749" width="11.875" style="58" customWidth="1"/>
    <col min="15750" max="15751" width="11.625" style="58" customWidth="1"/>
    <col min="15752" max="15752" width="12" style="58" customWidth="1"/>
    <col min="15753" max="15753" width="12.75" style="58" customWidth="1"/>
    <col min="15754" max="15754" width="11.625" style="58" customWidth="1"/>
    <col min="15755" max="15755" width="12.125" style="58" customWidth="1"/>
    <col min="15756" max="15757" width="11.625" style="58" customWidth="1"/>
    <col min="15758" max="15758" width="12.5" style="58" customWidth="1"/>
    <col min="15759" max="15933" width="11.625" style="58" customWidth="1"/>
    <col min="15934" max="15934" width="17.75" style="58" customWidth="1"/>
    <col min="15935" max="15936" width="9" style="58" customWidth="1"/>
    <col min="15937" max="15937" width="16.25" style="58" customWidth="1"/>
    <col min="15938" max="15938" width="24" style="58" customWidth="1"/>
    <col min="15939" max="15939" width="9" style="58"/>
    <col min="15940" max="15940" width="11.75" style="58" customWidth="1"/>
    <col min="15941" max="15941" width="8.875" style="58" customWidth="1"/>
    <col min="15942" max="15942" width="17.375" style="58" customWidth="1"/>
    <col min="15943" max="15943" width="13.25" style="58" customWidth="1"/>
    <col min="15944" max="15944" width="25.75" style="58" customWidth="1"/>
    <col min="15945" max="15945" width="11.125" style="58" customWidth="1"/>
    <col min="15946" max="15946" width="10.75" style="58" customWidth="1"/>
    <col min="15947" max="15947" width="9" style="58" customWidth="1"/>
    <col min="15948" max="15948" width="9.75" style="58" customWidth="1"/>
    <col min="15949" max="15949" width="7.5" style="58" customWidth="1"/>
    <col min="15950" max="15950" width="13.25" style="58" customWidth="1"/>
    <col min="15951" max="15951" width="11.75" style="58" customWidth="1"/>
    <col min="15952" max="15952" width="8.875" style="58" customWidth="1"/>
    <col min="15953" max="15953" width="9.625" style="58" customWidth="1"/>
    <col min="15954" max="15955" width="11.875" style="58" customWidth="1"/>
    <col min="15956" max="15956" width="11.5" style="58" customWidth="1"/>
    <col min="15957" max="15972" width="12.25" style="58" customWidth="1"/>
    <col min="15973" max="15973" width="13" style="58" customWidth="1"/>
    <col min="15974" max="15978" width="12.375" style="58" customWidth="1"/>
    <col min="15979" max="15979" width="13" style="58" customWidth="1"/>
    <col min="15980" max="15981" width="12.375" style="58" customWidth="1"/>
    <col min="15982" max="15982" width="13" style="58" customWidth="1"/>
    <col min="15983" max="15983" width="13.125" style="58" customWidth="1"/>
    <col min="15984" max="15984" width="13" style="58" customWidth="1"/>
    <col min="15985" max="15985" width="13.125" style="58" customWidth="1"/>
    <col min="15986" max="15987" width="12.375" style="58" customWidth="1"/>
    <col min="15988" max="15988" width="13" style="58" customWidth="1"/>
    <col min="15989" max="15989" width="12.375" style="58" customWidth="1"/>
    <col min="15990" max="15990" width="12.25" style="58" customWidth="1"/>
    <col min="15991" max="15991" width="12.125" style="58" customWidth="1"/>
    <col min="15992" max="15992" width="11.625" style="58" customWidth="1"/>
    <col min="15993" max="15993" width="12" style="58" customWidth="1"/>
    <col min="15994" max="15994" width="13" style="58" customWidth="1"/>
    <col min="15995" max="15995" width="11.625" style="58" customWidth="1"/>
    <col min="15996" max="15997" width="12" style="58" customWidth="1"/>
    <col min="15998" max="16000" width="11.625" style="58" customWidth="1"/>
    <col min="16001" max="16001" width="11.125" style="58" customWidth="1"/>
    <col min="16002" max="16002" width="12" style="58" customWidth="1"/>
    <col min="16003" max="16003" width="13" style="58" customWidth="1"/>
    <col min="16004" max="16004" width="13.625" style="58" customWidth="1"/>
    <col min="16005" max="16005" width="11.875" style="58" customWidth="1"/>
    <col min="16006" max="16007" width="11.625" style="58" customWidth="1"/>
    <col min="16008" max="16008" width="12" style="58" customWidth="1"/>
    <col min="16009" max="16009" width="12.75" style="58" customWidth="1"/>
    <col min="16010" max="16010" width="11.625" style="58" customWidth="1"/>
    <col min="16011" max="16011" width="12.125" style="58" customWidth="1"/>
    <col min="16012" max="16013" width="11.625" style="58" customWidth="1"/>
    <col min="16014" max="16014" width="12.5" style="58" customWidth="1"/>
    <col min="16015" max="16188" width="11.625" style="58" customWidth="1"/>
    <col min="16189" max="16384" width="17.75" style="58" customWidth="1"/>
  </cols>
  <sheetData>
    <row r="1" spans="1:110" s="37" customFormat="1" ht="12.75" customHeight="1">
      <c r="A1" s="543" t="s">
        <v>361</v>
      </c>
      <c r="B1" s="544" t="s">
        <v>0</v>
      </c>
      <c r="C1" s="545" t="s">
        <v>1</v>
      </c>
      <c r="D1" s="541" t="s">
        <v>2</v>
      </c>
      <c r="E1" s="546" t="s">
        <v>396</v>
      </c>
      <c r="F1" s="35" t="s">
        <v>3</v>
      </c>
      <c r="G1" s="36" t="s">
        <v>4</v>
      </c>
      <c r="H1" s="547" t="s">
        <v>398</v>
      </c>
      <c r="I1" s="541" t="s">
        <v>5</v>
      </c>
      <c r="J1" s="542" t="s">
        <v>651</v>
      </c>
      <c r="K1" s="539" t="s">
        <v>362</v>
      </c>
      <c r="L1" s="539" t="s">
        <v>363</v>
      </c>
      <c r="M1" s="539" t="s">
        <v>364</v>
      </c>
      <c r="N1" s="539" t="s">
        <v>365</v>
      </c>
      <c r="O1" s="539" t="s">
        <v>366</v>
      </c>
      <c r="P1" s="539" t="s">
        <v>367</v>
      </c>
      <c r="Q1" s="539" t="s">
        <v>368</v>
      </c>
      <c r="R1" s="539" t="s">
        <v>369</v>
      </c>
      <c r="S1" s="539" t="s">
        <v>370</v>
      </c>
      <c r="T1" s="539" t="s">
        <v>371</v>
      </c>
      <c r="U1" s="539" t="s">
        <v>372</v>
      </c>
      <c r="V1" s="539" t="s">
        <v>373</v>
      </c>
      <c r="W1" s="539" t="s">
        <v>374</v>
      </c>
      <c r="X1" s="539" t="s">
        <v>375</v>
      </c>
      <c r="Y1" s="539" t="s">
        <v>652</v>
      </c>
      <c r="Z1" s="539" t="s">
        <v>653</v>
      </c>
      <c r="AA1" s="539" t="s">
        <v>654</v>
      </c>
      <c r="AB1" s="539" t="s">
        <v>655</v>
      </c>
      <c r="AC1" s="539" t="s">
        <v>376</v>
      </c>
      <c r="AD1" s="539" t="s">
        <v>377</v>
      </c>
      <c r="AE1" s="539" t="s">
        <v>378</v>
      </c>
      <c r="AF1" s="539" t="s">
        <v>379</v>
      </c>
      <c r="AG1" s="539" t="s">
        <v>656</v>
      </c>
      <c r="AH1" s="539" t="s">
        <v>657</v>
      </c>
      <c r="AI1" s="539" t="s">
        <v>658</v>
      </c>
      <c r="AJ1" s="539" t="s">
        <v>659</v>
      </c>
      <c r="AK1" s="539" t="s">
        <v>660</v>
      </c>
      <c r="AL1" s="539" t="s">
        <v>661</v>
      </c>
      <c r="AM1" s="539" t="s">
        <v>662</v>
      </c>
      <c r="AN1" s="539" t="s">
        <v>663</v>
      </c>
      <c r="AO1" s="539" t="s">
        <v>664</v>
      </c>
      <c r="AP1" s="539" t="s">
        <v>665</v>
      </c>
      <c r="AQ1" s="539" t="s">
        <v>666</v>
      </c>
      <c r="AR1" s="539" t="s">
        <v>667</v>
      </c>
      <c r="AS1" s="539" t="s">
        <v>668</v>
      </c>
      <c r="AT1" s="539" t="s">
        <v>669</v>
      </c>
      <c r="AU1" s="539" t="s">
        <v>670</v>
      </c>
      <c r="AV1" s="539" t="s">
        <v>671</v>
      </c>
      <c r="AW1" s="539" t="s">
        <v>672</v>
      </c>
      <c r="AX1" s="539" t="s">
        <v>673</v>
      </c>
      <c r="AY1" s="539" t="s">
        <v>674</v>
      </c>
      <c r="AZ1" s="539" t="s">
        <v>675</v>
      </c>
      <c r="BA1" s="539" t="s">
        <v>676</v>
      </c>
      <c r="BB1" s="539" t="s">
        <v>677</v>
      </c>
      <c r="BC1" s="539" t="s">
        <v>678</v>
      </c>
      <c r="BD1" s="539" t="s">
        <v>679</v>
      </c>
      <c r="BE1" s="539" t="s">
        <v>680</v>
      </c>
      <c r="BF1" s="539" t="s">
        <v>681</v>
      </c>
      <c r="BG1" s="539" t="s">
        <v>682</v>
      </c>
      <c r="BH1" s="539" t="s">
        <v>683</v>
      </c>
      <c r="BI1" s="539" t="s">
        <v>380</v>
      </c>
      <c r="BJ1" s="539" t="s">
        <v>381</v>
      </c>
      <c r="BK1" s="539" t="s">
        <v>382</v>
      </c>
      <c r="BL1" s="539" t="s">
        <v>383</v>
      </c>
      <c r="BM1" s="539" t="s">
        <v>384</v>
      </c>
      <c r="BN1" s="539" t="s">
        <v>385</v>
      </c>
      <c r="BO1" s="539" t="s">
        <v>386</v>
      </c>
      <c r="BP1" s="539" t="s">
        <v>387</v>
      </c>
      <c r="BQ1" s="539" t="s">
        <v>684</v>
      </c>
      <c r="BR1" s="539" t="s">
        <v>685</v>
      </c>
      <c r="BS1" s="539" t="s">
        <v>686</v>
      </c>
      <c r="BT1" s="539" t="s">
        <v>687</v>
      </c>
      <c r="BU1" s="539" t="s">
        <v>388</v>
      </c>
      <c r="BV1" s="539" t="s">
        <v>389</v>
      </c>
      <c r="BW1" s="539" t="s">
        <v>390</v>
      </c>
      <c r="BX1" s="539" t="s">
        <v>391</v>
      </c>
      <c r="BY1" s="539" t="s">
        <v>392</v>
      </c>
      <c r="BZ1" s="539" t="s">
        <v>393</v>
      </c>
      <c r="CA1" s="539" t="s">
        <v>394</v>
      </c>
      <c r="CB1" s="539" t="s">
        <v>395</v>
      </c>
      <c r="CC1" s="539" t="s">
        <v>688</v>
      </c>
      <c r="CD1" s="539" t="s">
        <v>689</v>
      </c>
      <c r="CE1" s="539" t="s">
        <v>690</v>
      </c>
      <c r="CF1" s="539" t="s">
        <v>691</v>
      </c>
      <c r="CG1" s="539" t="s">
        <v>692</v>
      </c>
      <c r="CH1" s="539" t="s">
        <v>693</v>
      </c>
      <c r="CI1" s="539" t="s">
        <v>694</v>
      </c>
      <c r="CJ1" s="539" t="s">
        <v>695</v>
      </c>
      <c r="CK1" s="539" t="s">
        <v>696</v>
      </c>
      <c r="CL1" s="539" t="s">
        <v>697</v>
      </c>
      <c r="CM1" s="539" t="s">
        <v>698</v>
      </c>
      <c r="CN1" s="539" t="s">
        <v>699</v>
      </c>
      <c r="CO1" s="539" t="s">
        <v>700</v>
      </c>
      <c r="CP1" s="539" t="s">
        <v>1353</v>
      </c>
      <c r="CQ1" s="539" t="s">
        <v>1354</v>
      </c>
      <c r="CR1" s="539" t="s">
        <v>1355</v>
      </c>
      <c r="CS1" s="495" t="s">
        <v>1406</v>
      </c>
      <c r="CT1" s="495" t="s">
        <v>1407</v>
      </c>
      <c r="CU1" s="495" t="s">
        <v>1408</v>
      </c>
      <c r="CV1" s="495" t="s">
        <v>1409</v>
      </c>
      <c r="CW1" s="495" t="s">
        <v>1360</v>
      </c>
      <c r="CX1" s="495" t="s">
        <v>1361</v>
      </c>
      <c r="CY1" s="495" t="s">
        <v>1362</v>
      </c>
      <c r="CZ1" s="495" t="s">
        <v>1363</v>
      </c>
      <c r="DA1" s="495" t="s">
        <v>1364</v>
      </c>
      <c r="DB1" s="495" t="s">
        <v>1365</v>
      </c>
      <c r="DC1" s="495" t="s">
        <v>1366</v>
      </c>
      <c r="DD1" s="495" t="s">
        <v>1367</v>
      </c>
      <c r="DE1" s="495" t="s">
        <v>1364</v>
      </c>
      <c r="DF1" s="540" t="s">
        <v>6</v>
      </c>
    </row>
    <row r="2" spans="1:110" s="40" customFormat="1" ht="12">
      <c r="A2" s="543"/>
      <c r="B2" s="544"/>
      <c r="C2" s="545"/>
      <c r="D2" s="541"/>
      <c r="E2" s="546"/>
      <c r="F2" s="38" t="s">
        <v>7</v>
      </c>
      <c r="G2" s="39" t="s">
        <v>8</v>
      </c>
      <c r="H2" s="547"/>
      <c r="I2" s="541"/>
      <c r="J2" s="542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  <c r="V2" s="539"/>
      <c r="W2" s="539"/>
      <c r="X2" s="539"/>
      <c r="Y2" s="539"/>
      <c r="Z2" s="539"/>
      <c r="AA2" s="539"/>
      <c r="AB2" s="539"/>
      <c r="AC2" s="539"/>
      <c r="AD2" s="539"/>
      <c r="AE2" s="539"/>
      <c r="AF2" s="539"/>
      <c r="AG2" s="539"/>
      <c r="AH2" s="539"/>
      <c r="AI2" s="539"/>
      <c r="AJ2" s="539"/>
      <c r="AK2" s="539"/>
      <c r="AL2" s="539"/>
      <c r="AM2" s="539"/>
      <c r="AN2" s="539"/>
      <c r="AO2" s="539"/>
      <c r="AP2" s="539"/>
      <c r="AQ2" s="539"/>
      <c r="AR2" s="539"/>
      <c r="AS2" s="539"/>
      <c r="AT2" s="539"/>
      <c r="AU2" s="539"/>
      <c r="AV2" s="539"/>
      <c r="AW2" s="539"/>
      <c r="AX2" s="539"/>
      <c r="AY2" s="539"/>
      <c r="AZ2" s="539"/>
      <c r="BA2" s="539"/>
      <c r="BB2" s="539"/>
      <c r="BC2" s="539"/>
      <c r="BD2" s="539"/>
      <c r="BE2" s="539"/>
      <c r="BF2" s="539"/>
      <c r="BG2" s="539"/>
      <c r="BH2" s="539"/>
      <c r="BI2" s="539"/>
      <c r="BJ2" s="539"/>
      <c r="BK2" s="539"/>
      <c r="BL2" s="539"/>
      <c r="BM2" s="539"/>
      <c r="BN2" s="539"/>
      <c r="BO2" s="539"/>
      <c r="BP2" s="539"/>
      <c r="BQ2" s="539"/>
      <c r="BR2" s="539"/>
      <c r="BS2" s="539"/>
      <c r="BT2" s="539"/>
      <c r="BU2" s="539"/>
      <c r="BV2" s="539"/>
      <c r="BW2" s="539"/>
      <c r="BX2" s="539"/>
      <c r="BY2" s="539"/>
      <c r="BZ2" s="539"/>
      <c r="CA2" s="539"/>
      <c r="CB2" s="539"/>
      <c r="CC2" s="539"/>
      <c r="CD2" s="539"/>
      <c r="CE2" s="539"/>
      <c r="CF2" s="539"/>
      <c r="CG2" s="539"/>
      <c r="CH2" s="539"/>
      <c r="CI2" s="539"/>
      <c r="CJ2" s="539"/>
      <c r="CK2" s="539"/>
      <c r="CL2" s="539"/>
      <c r="CM2" s="539"/>
      <c r="CN2" s="539"/>
      <c r="CO2" s="539"/>
      <c r="CP2" s="539"/>
      <c r="CQ2" s="539"/>
      <c r="CR2" s="539"/>
      <c r="CS2" s="496"/>
      <c r="CT2" s="496"/>
      <c r="CU2" s="496"/>
      <c r="CV2" s="496"/>
      <c r="CW2" s="496"/>
      <c r="CX2" s="496"/>
      <c r="CY2" s="496"/>
      <c r="CZ2" s="496"/>
      <c r="DA2" s="496"/>
      <c r="DB2" s="496"/>
      <c r="DC2" s="496"/>
      <c r="DD2" s="496"/>
      <c r="DE2" s="496"/>
      <c r="DF2" s="540"/>
    </row>
    <row r="3" spans="1:110" s="40" customFormat="1" ht="12" customHeight="1">
      <c r="A3" s="448">
        <v>1</v>
      </c>
      <c r="B3" s="518" t="s">
        <v>35</v>
      </c>
      <c r="C3" s="450" t="s">
        <v>36</v>
      </c>
      <c r="D3" s="451" t="s">
        <v>442</v>
      </c>
      <c r="E3" s="452" t="s">
        <v>443</v>
      </c>
      <c r="F3" s="446">
        <v>12.6</v>
      </c>
      <c r="G3" s="446">
        <v>41</v>
      </c>
      <c r="H3" s="447">
        <f>F3*G3*365</f>
        <v>188559</v>
      </c>
      <c r="I3" s="41">
        <v>45990</v>
      </c>
      <c r="J3" s="43">
        <f>ROUND(G3*F3*365/4,0)</f>
        <v>47140</v>
      </c>
      <c r="K3" s="44">
        <f>J3</f>
        <v>47140</v>
      </c>
      <c r="L3" s="44">
        <f>K3</f>
        <v>47140</v>
      </c>
      <c r="M3" s="44">
        <f>L3</f>
        <v>47140</v>
      </c>
      <c r="N3" s="44">
        <f>ROUND(M3*(1+取值表!$D$8)*取值表!$H$8,0)</f>
        <v>47464</v>
      </c>
      <c r="O3" s="44">
        <f>N3</f>
        <v>47464</v>
      </c>
      <c r="P3" s="44">
        <f>O3</f>
        <v>47464</v>
      </c>
      <c r="Q3" s="44">
        <f>P3</f>
        <v>47464</v>
      </c>
      <c r="R3" s="44">
        <f>ROUND(Q3*(1+取值表!$D$8)*取值表!$H$8,0)</f>
        <v>47791</v>
      </c>
      <c r="S3" s="44">
        <f t="shared" ref="S3:U3" si="0">R3</f>
        <v>47791</v>
      </c>
      <c r="T3" s="44">
        <f t="shared" si="0"/>
        <v>47791</v>
      </c>
      <c r="U3" s="44">
        <f t="shared" si="0"/>
        <v>47791</v>
      </c>
      <c r="V3" s="44">
        <f>ROUND(U3*(1+取值表!$D$8)*取值表!$H$8,0)</f>
        <v>48120</v>
      </c>
      <c r="W3" s="44">
        <f t="shared" ref="W3:Y3" si="1">V3</f>
        <v>48120</v>
      </c>
      <c r="X3" s="44">
        <f t="shared" si="1"/>
        <v>48120</v>
      </c>
      <c r="Y3" s="44">
        <f t="shared" si="1"/>
        <v>48120</v>
      </c>
      <c r="Z3" s="44">
        <f>ROUND(Y3*(1+取值表!$D$8)*取值表!$H$8,0)</f>
        <v>48451</v>
      </c>
      <c r="AA3" s="44">
        <f t="shared" ref="AA3:AC3" si="2">Z3</f>
        <v>48451</v>
      </c>
      <c r="AB3" s="44">
        <f t="shared" si="2"/>
        <v>48451</v>
      </c>
      <c r="AC3" s="44">
        <f t="shared" si="2"/>
        <v>48451</v>
      </c>
      <c r="AD3" s="44">
        <f>ROUND(AC3*(1+取值表!$D$8)*取值表!$H$8,0)</f>
        <v>48784</v>
      </c>
      <c r="AE3" s="44">
        <f t="shared" ref="AE3:AG3" si="3">AD3</f>
        <v>48784</v>
      </c>
      <c r="AF3" s="44">
        <f t="shared" si="3"/>
        <v>48784</v>
      </c>
      <c r="AG3" s="44">
        <f t="shared" si="3"/>
        <v>48784</v>
      </c>
      <c r="AH3" s="44">
        <f>ROUND(AG3*(1+取值表!$D$8)*取值表!$H$8,0)</f>
        <v>49120</v>
      </c>
      <c r="AI3" s="44">
        <f t="shared" ref="AI3:AK3" si="4">AH3</f>
        <v>49120</v>
      </c>
      <c r="AJ3" s="44">
        <f t="shared" si="4"/>
        <v>49120</v>
      </c>
      <c r="AK3" s="44">
        <f t="shared" si="4"/>
        <v>49120</v>
      </c>
      <c r="AL3" s="44">
        <f>ROUND(AK3*(1+取值表!$D$8)*取值表!$H$8,0)</f>
        <v>49458</v>
      </c>
      <c r="AM3" s="44">
        <f t="shared" ref="AM3:AO3" si="5">AL3</f>
        <v>49458</v>
      </c>
      <c r="AN3" s="44">
        <f t="shared" si="5"/>
        <v>49458</v>
      </c>
      <c r="AO3" s="44">
        <f t="shared" si="5"/>
        <v>49458</v>
      </c>
      <c r="AP3" s="44">
        <f>ROUND(AO3*(1+取值表!$D$8)*取值表!$H$8,0)</f>
        <v>49798</v>
      </c>
      <c r="AQ3" s="44">
        <f t="shared" ref="AQ3:AS3" si="6">AP3</f>
        <v>49798</v>
      </c>
      <c r="AR3" s="44">
        <f t="shared" si="6"/>
        <v>49798</v>
      </c>
      <c r="AS3" s="44">
        <f t="shared" si="6"/>
        <v>49798</v>
      </c>
      <c r="AT3" s="44">
        <f>ROUND(AS3*(1+取值表!$D$8)*取值表!$H$8,0)</f>
        <v>50141</v>
      </c>
      <c r="AU3" s="44">
        <f t="shared" ref="AU3:AW3" si="7">AT3</f>
        <v>50141</v>
      </c>
      <c r="AV3" s="44">
        <f t="shared" si="7"/>
        <v>50141</v>
      </c>
      <c r="AW3" s="44">
        <f t="shared" si="7"/>
        <v>50141</v>
      </c>
      <c r="AX3" s="44">
        <f>ROUND(AW3*(1+取值表!$D$8)*取值表!$H$8,0)</f>
        <v>50486</v>
      </c>
      <c r="AY3" s="44">
        <f t="shared" ref="AY3:BA3" si="8">AX3</f>
        <v>50486</v>
      </c>
      <c r="AZ3" s="44">
        <f t="shared" si="8"/>
        <v>50486</v>
      </c>
      <c r="BA3" s="44">
        <f t="shared" si="8"/>
        <v>50486</v>
      </c>
      <c r="BB3" s="44">
        <f>ROUND(BA3*(1+取值表!$D$8)*取值表!$H$8,0)</f>
        <v>50833</v>
      </c>
      <c r="BC3" s="44">
        <f t="shared" ref="BC3:BE3" si="9">BB3</f>
        <v>50833</v>
      </c>
      <c r="BD3" s="44">
        <f t="shared" si="9"/>
        <v>50833</v>
      </c>
      <c r="BE3" s="44">
        <f t="shared" si="9"/>
        <v>50833</v>
      </c>
      <c r="BF3" s="44">
        <f>ROUND(BE3*(1+取值表!$D$8)*取值表!$H$8,0)</f>
        <v>51183</v>
      </c>
      <c r="BG3" s="44">
        <f t="shared" ref="BG3:BI3" si="10">BF3</f>
        <v>51183</v>
      </c>
      <c r="BH3" s="44">
        <f t="shared" si="10"/>
        <v>51183</v>
      </c>
      <c r="BI3" s="44">
        <f t="shared" si="10"/>
        <v>51183</v>
      </c>
      <c r="BJ3" s="44">
        <f>ROUND(BI3*(1+取值表!$D$8)*取值表!$H$8,0)</f>
        <v>51535</v>
      </c>
      <c r="BK3" s="44">
        <f t="shared" ref="BK3:BM3" si="11">BJ3</f>
        <v>51535</v>
      </c>
      <c r="BL3" s="44">
        <f t="shared" si="11"/>
        <v>51535</v>
      </c>
      <c r="BM3" s="44">
        <f t="shared" si="11"/>
        <v>51535</v>
      </c>
      <c r="BN3" s="44">
        <f>ROUND(BM3*(1+取值表!$D$8)*取值表!$H$8,0)</f>
        <v>51890</v>
      </c>
      <c r="BO3" s="44">
        <f t="shared" ref="BO3:BQ3" si="12">BN3</f>
        <v>51890</v>
      </c>
      <c r="BP3" s="44">
        <f t="shared" si="12"/>
        <v>51890</v>
      </c>
      <c r="BQ3" s="44">
        <f t="shared" si="12"/>
        <v>51890</v>
      </c>
      <c r="BR3" s="44">
        <f>ROUND(BQ3*(1+取值表!$D$8)*取值表!$H$8,0)</f>
        <v>52247</v>
      </c>
      <c r="BS3" s="44">
        <f t="shared" ref="BS3:BU3" si="13">BR3</f>
        <v>52247</v>
      </c>
      <c r="BT3" s="44">
        <f t="shared" si="13"/>
        <v>52247</v>
      </c>
      <c r="BU3" s="44">
        <f t="shared" si="13"/>
        <v>52247</v>
      </c>
      <c r="BV3" s="44">
        <f>ROUND(BU3*(1+取值表!$D$8)*取值表!$H$8,0)</f>
        <v>52607</v>
      </c>
      <c r="BW3" s="44">
        <f t="shared" ref="BW3:BY3" si="14">BV3</f>
        <v>52607</v>
      </c>
      <c r="BX3" s="44">
        <f t="shared" si="14"/>
        <v>52607</v>
      </c>
      <c r="BY3" s="44">
        <f t="shared" si="14"/>
        <v>52607</v>
      </c>
      <c r="BZ3" s="44">
        <f>ROUND(BY3*(1+取值表!$D$8)*取值表!$H$8,0)</f>
        <v>52969</v>
      </c>
      <c r="CA3" s="44">
        <f t="shared" ref="CA3:CC3" si="15">BZ3</f>
        <v>52969</v>
      </c>
      <c r="CB3" s="44">
        <f t="shared" si="15"/>
        <v>52969</v>
      </c>
      <c r="CC3" s="44">
        <f t="shared" si="15"/>
        <v>52969</v>
      </c>
      <c r="CD3" s="44">
        <f>ROUND(CC3*(1+取值表!$D$8)*取值表!$H$8,0)</f>
        <v>53334</v>
      </c>
      <c r="CE3" s="44">
        <f t="shared" ref="CE3:CG3" si="16">CD3</f>
        <v>53334</v>
      </c>
      <c r="CF3" s="44">
        <f t="shared" si="16"/>
        <v>53334</v>
      </c>
      <c r="CG3" s="44">
        <f t="shared" si="16"/>
        <v>53334</v>
      </c>
      <c r="CH3" s="44">
        <f>ROUND(CG3*(1+取值表!$D$8)*取值表!$H$8,0)</f>
        <v>53701</v>
      </c>
      <c r="CI3" s="44">
        <f t="shared" ref="CI3:CK3" si="17">CH3</f>
        <v>53701</v>
      </c>
      <c r="CJ3" s="44">
        <f t="shared" si="17"/>
        <v>53701</v>
      </c>
      <c r="CK3" s="44">
        <f t="shared" si="17"/>
        <v>53701</v>
      </c>
      <c r="CL3" s="44">
        <f>ROUND(CK3*(1+取值表!$D$8)*取值表!$H$8,0)</f>
        <v>54071</v>
      </c>
      <c r="CM3" s="44">
        <f t="shared" ref="CM3:CO3" si="18">CL3</f>
        <v>54071</v>
      </c>
      <c r="CN3" s="44">
        <f t="shared" si="18"/>
        <v>54071</v>
      </c>
      <c r="CO3" s="44">
        <f t="shared" si="18"/>
        <v>54071</v>
      </c>
      <c r="CP3" s="44">
        <f>ROUND(CO3*(1+取值表!$D$8)*取值表!$H$8,0)</f>
        <v>54443</v>
      </c>
      <c r="CQ3" s="44">
        <f t="shared" ref="CQ3" si="19">CP3</f>
        <v>54443</v>
      </c>
      <c r="CR3" s="44">
        <f t="shared" ref="CR3" si="20">CQ3</f>
        <v>54443</v>
      </c>
      <c r="CS3" s="44">
        <f t="shared" ref="CS3" si="21">CR3</f>
        <v>54443</v>
      </c>
      <c r="CT3" s="44">
        <f>ROUND(CS3*(1+取值表!$D$8)*取值表!$H$8,0)</f>
        <v>54818</v>
      </c>
      <c r="CU3" s="44">
        <f t="shared" ref="CU3" si="22">CT3</f>
        <v>54818</v>
      </c>
      <c r="CV3" s="44">
        <f t="shared" ref="CV3" si="23">CU3</f>
        <v>54818</v>
      </c>
      <c r="CW3" s="44">
        <f t="shared" ref="CW3" si="24">CV3</f>
        <v>54818</v>
      </c>
      <c r="CX3" s="44">
        <f>ROUND(CW3*(1+取值表!$D$8)*取值表!$H$8,0)</f>
        <v>55195</v>
      </c>
      <c r="CY3" s="44">
        <f t="shared" ref="CY3" si="25">CX3</f>
        <v>55195</v>
      </c>
      <c r="CZ3" s="44">
        <f t="shared" ref="CZ3" si="26">CY3</f>
        <v>55195</v>
      </c>
      <c r="DA3" s="44">
        <f>CZ3</f>
        <v>55195</v>
      </c>
      <c r="DB3" s="44">
        <f>ROUND(DA3*(1+取值表!$D$8)*取值表!$H$8,0)</f>
        <v>55575</v>
      </c>
      <c r="DC3" s="44">
        <f t="shared" ref="DC3" si="27">DB3</f>
        <v>55575</v>
      </c>
      <c r="DD3" s="44">
        <f t="shared" ref="DD3" si="28">DC3</f>
        <v>55575</v>
      </c>
      <c r="DE3" s="44">
        <f t="shared" ref="DE3" si="29">DD3</f>
        <v>55575</v>
      </c>
      <c r="DF3" s="45">
        <f>SUM(J3:DE3)</f>
        <v>5124616</v>
      </c>
    </row>
    <row r="4" spans="1:110" s="40" customFormat="1" ht="12" customHeight="1">
      <c r="A4" s="448"/>
      <c r="B4" s="518"/>
      <c r="C4" s="450"/>
      <c r="D4" s="451"/>
      <c r="E4" s="452"/>
      <c r="F4" s="446"/>
      <c r="G4" s="446"/>
      <c r="H4" s="447"/>
      <c r="I4" s="41"/>
      <c r="J4" s="42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5">
        <f t="shared" ref="DF4:DF67" si="30">SUM(J4:DE4)</f>
        <v>0</v>
      </c>
    </row>
    <row r="5" spans="1:110" s="40" customFormat="1" ht="12" customHeight="1">
      <c r="A5" s="448">
        <v>2</v>
      </c>
      <c r="B5" s="518" t="s">
        <v>37</v>
      </c>
      <c r="C5" s="450" t="s">
        <v>38</v>
      </c>
      <c r="D5" s="451" t="s">
        <v>444</v>
      </c>
      <c r="E5" s="452" t="s">
        <v>443</v>
      </c>
      <c r="F5" s="446">
        <v>20.3</v>
      </c>
      <c r="G5" s="446">
        <v>45</v>
      </c>
      <c r="H5" s="447">
        <f>F5*G5*365</f>
        <v>333427.5</v>
      </c>
      <c r="I5" s="41">
        <v>83356.88</v>
      </c>
      <c r="J5" s="42">
        <f>ROUND(F5*G5*365/4,0)</f>
        <v>83357</v>
      </c>
      <c r="K5" s="43">
        <f>J5</f>
        <v>83357</v>
      </c>
      <c r="L5" s="44">
        <f>K5</f>
        <v>83357</v>
      </c>
      <c r="M5" s="44">
        <f>L5</f>
        <v>83357</v>
      </c>
      <c r="N5" s="44">
        <f>ROUND(M5*(1+取值表!$D$8)*取值表!$H$8,0)</f>
        <v>83931</v>
      </c>
      <c r="O5" s="44">
        <f>N5</f>
        <v>83931</v>
      </c>
      <c r="P5" s="44">
        <f>O5</f>
        <v>83931</v>
      </c>
      <c r="Q5" s="44">
        <f>P5</f>
        <v>83931</v>
      </c>
      <c r="R5" s="44">
        <f>ROUND(Q5*(1+取值表!$D$8)*取值表!$H$8,0)</f>
        <v>84509</v>
      </c>
      <c r="S5" s="44">
        <f t="shared" ref="S5:U5" si="31">R5</f>
        <v>84509</v>
      </c>
      <c r="T5" s="44">
        <f t="shared" si="31"/>
        <v>84509</v>
      </c>
      <c r="U5" s="44">
        <f t="shared" si="31"/>
        <v>84509</v>
      </c>
      <c r="V5" s="44">
        <f>ROUND(U5*(1+取值表!$D$8)*取值表!$H$8,0)</f>
        <v>85091</v>
      </c>
      <c r="W5" s="44">
        <f t="shared" ref="W5:Y5" si="32">V5</f>
        <v>85091</v>
      </c>
      <c r="X5" s="44">
        <f t="shared" si="32"/>
        <v>85091</v>
      </c>
      <c r="Y5" s="44">
        <f t="shared" si="32"/>
        <v>85091</v>
      </c>
      <c r="Z5" s="44">
        <f>ROUND(Y5*(1+取值表!$D$8)*取值表!$H$8,0)</f>
        <v>85677</v>
      </c>
      <c r="AA5" s="44">
        <f t="shared" ref="AA5:AC5" si="33">Z5</f>
        <v>85677</v>
      </c>
      <c r="AB5" s="44">
        <f t="shared" si="33"/>
        <v>85677</v>
      </c>
      <c r="AC5" s="44">
        <f t="shared" si="33"/>
        <v>85677</v>
      </c>
      <c r="AD5" s="44">
        <f>ROUND(AC5*(1+取值表!$D$8)*取值表!$H$8,0)</f>
        <v>86267</v>
      </c>
      <c r="AE5" s="44">
        <f t="shared" ref="AE5:AG5" si="34">AD5</f>
        <v>86267</v>
      </c>
      <c r="AF5" s="44">
        <f t="shared" si="34"/>
        <v>86267</v>
      </c>
      <c r="AG5" s="44">
        <f t="shared" si="34"/>
        <v>86267</v>
      </c>
      <c r="AH5" s="44">
        <f>ROUND(AG5*(1+取值表!$D$8)*取值表!$H$8,0)</f>
        <v>86861</v>
      </c>
      <c r="AI5" s="44">
        <f t="shared" ref="AI5:AK5" si="35">AH5</f>
        <v>86861</v>
      </c>
      <c r="AJ5" s="44">
        <f t="shared" si="35"/>
        <v>86861</v>
      </c>
      <c r="AK5" s="44">
        <f t="shared" si="35"/>
        <v>86861</v>
      </c>
      <c r="AL5" s="44">
        <f>ROUND(AK5*(1+取值表!$D$8)*取值表!$H$8,0)</f>
        <v>87459</v>
      </c>
      <c r="AM5" s="44">
        <f t="shared" ref="AM5:AO5" si="36">AL5</f>
        <v>87459</v>
      </c>
      <c r="AN5" s="44">
        <f t="shared" si="36"/>
        <v>87459</v>
      </c>
      <c r="AO5" s="44">
        <f t="shared" si="36"/>
        <v>87459</v>
      </c>
      <c r="AP5" s="44">
        <f>ROUND(AO5*(1+取值表!$D$8)*取值表!$H$8,0)</f>
        <v>88061</v>
      </c>
      <c r="AQ5" s="44">
        <f t="shared" ref="AQ5:AS5" si="37">AP5</f>
        <v>88061</v>
      </c>
      <c r="AR5" s="44">
        <f t="shared" si="37"/>
        <v>88061</v>
      </c>
      <c r="AS5" s="44">
        <f t="shared" si="37"/>
        <v>88061</v>
      </c>
      <c r="AT5" s="44">
        <f>ROUND(AS5*(1+取值表!$D$8)*取值表!$H$8,0)</f>
        <v>88667</v>
      </c>
      <c r="AU5" s="44">
        <f t="shared" ref="AU5:AW5" si="38">AT5</f>
        <v>88667</v>
      </c>
      <c r="AV5" s="44">
        <f t="shared" si="38"/>
        <v>88667</v>
      </c>
      <c r="AW5" s="44">
        <f t="shared" si="38"/>
        <v>88667</v>
      </c>
      <c r="AX5" s="44">
        <f>ROUND(AW5*(1+取值表!$D$8)*取值表!$H$8,0)</f>
        <v>89277</v>
      </c>
      <c r="AY5" s="44">
        <f t="shared" ref="AY5:BA5" si="39">AX5</f>
        <v>89277</v>
      </c>
      <c r="AZ5" s="44">
        <f t="shared" si="39"/>
        <v>89277</v>
      </c>
      <c r="BA5" s="44">
        <f t="shared" si="39"/>
        <v>89277</v>
      </c>
      <c r="BB5" s="44">
        <f>ROUND(BA5*(1+取值表!$D$8)*取值表!$H$8,0)</f>
        <v>89891</v>
      </c>
      <c r="BC5" s="44">
        <f t="shared" ref="BC5:BE5" si="40">BB5</f>
        <v>89891</v>
      </c>
      <c r="BD5" s="44">
        <f t="shared" si="40"/>
        <v>89891</v>
      </c>
      <c r="BE5" s="44">
        <f t="shared" si="40"/>
        <v>89891</v>
      </c>
      <c r="BF5" s="44">
        <f>ROUND(BE5*(1+取值表!$D$8)*取值表!$H$8,0)</f>
        <v>90510</v>
      </c>
      <c r="BG5" s="44">
        <f t="shared" ref="BG5:BI5" si="41">BF5</f>
        <v>90510</v>
      </c>
      <c r="BH5" s="44">
        <f t="shared" si="41"/>
        <v>90510</v>
      </c>
      <c r="BI5" s="44">
        <f t="shared" si="41"/>
        <v>90510</v>
      </c>
      <c r="BJ5" s="44">
        <f>ROUND(BI5*(1+取值表!$D$8)*取值表!$H$8,0)</f>
        <v>91133</v>
      </c>
      <c r="BK5" s="44">
        <f t="shared" ref="BK5:BM5" si="42">BJ5</f>
        <v>91133</v>
      </c>
      <c r="BL5" s="44">
        <f t="shared" si="42"/>
        <v>91133</v>
      </c>
      <c r="BM5" s="44">
        <f t="shared" si="42"/>
        <v>91133</v>
      </c>
      <c r="BN5" s="44">
        <f>ROUND(BM5*(1+取值表!$D$8)*取值表!$H$8,0)</f>
        <v>91760</v>
      </c>
      <c r="BO5" s="44">
        <f t="shared" ref="BO5:BQ5" si="43">BN5</f>
        <v>91760</v>
      </c>
      <c r="BP5" s="44">
        <f t="shared" si="43"/>
        <v>91760</v>
      </c>
      <c r="BQ5" s="44">
        <f t="shared" si="43"/>
        <v>91760</v>
      </c>
      <c r="BR5" s="44">
        <f>ROUND(BQ5*(1+取值表!$D$8)*取值表!$H$8,0)</f>
        <v>92391</v>
      </c>
      <c r="BS5" s="44">
        <f t="shared" ref="BS5:BU5" si="44">BR5</f>
        <v>92391</v>
      </c>
      <c r="BT5" s="44">
        <f t="shared" si="44"/>
        <v>92391</v>
      </c>
      <c r="BU5" s="44">
        <f t="shared" si="44"/>
        <v>92391</v>
      </c>
      <c r="BV5" s="44">
        <f>ROUND(BU5*(1+取值表!$D$8)*取值表!$H$8,0)</f>
        <v>93027</v>
      </c>
      <c r="BW5" s="44">
        <f t="shared" ref="BW5:BY5" si="45">BV5</f>
        <v>93027</v>
      </c>
      <c r="BX5" s="44">
        <f t="shared" si="45"/>
        <v>93027</v>
      </c>
      <c r="BY5" s="44">
        <f t="shared" si="45"/>
        <v>93027</v>
      </c>
      <c r="BZ5" s="44">
        <f>ROUND(BY5*(1+取值表!$D$8)*取值表!$H$8,0)</f>
        <v>93667</v>
      </c>
      <c r="CA5" s="44">
        <f t="shared" ref="CA5:CC5" si="46">BZ5</f>
        <v>93667</v>
      </c>
      <c r="CB5" s="44">
        <f t="shared" si="46"/>
        <v>93667</v>
      </c>
      <c r="CC5" s="44">
        <f t="shared" si="46"/>
        <v>93667</v>
      </c>
      <c r="CD5" s="44">
        <f>ROUND(CC5*(1+取值表!$D$8)*取值表!$H$8,0)</f>
        <v>94312</v>
      </c>
      <c r="CE5" s="44">
        <f t="shared" ref="CE5:CG5" si="47">CD5</f>
        <v>94312</v>
      </c>
      <c r="CF5" s="44">
        <f t="shared" si="47"/>
        <v>94312</v>
      </c>
      <c r="CG5" s="44">
        <f t="shared" si="47"/>
        <v>94312</v>
      </c>
      <c r="CH5" s="44">
        <f>ROUND(CG5*(1+取值表!$D$8)*取值表!$H$8,0)</f>
        <v>94961</v>
      </c>
      <c r="CI5" s="44">
        <f t="shared" ref="CI5:CK5" si="48">CH5</f>
        <v>94961</v>
      </c>
      <c r="CJ5" s="44">
        <f t="shared" si="48"/>
        <v>94961</v>
      </c>
      <c r="CK5" s="44">
        <f t="shared" si="48"/>
        <v>94961</v>
      </c>
      <c r="CL5" s="44">
        <f>ROUND(CK5*(1+取值表!$D$8)*取值表!$H$8,0)</f>
        <v>95615</v>
      </c>
      <c r="CM5" s="44">
        <f t="shared" ref="CM5:CO5" si="49">CL5</f>
        <v>95615</v>
      </c>
      <c r="CN5" s="44">
        <f t="shared" si="49"/>
        <v>95615</v>
      </c>
      <c r="CO5" s="44">
        <f t="shared" si="49"/>
        <v>95615</v>
      </c>
      <c r="CP5" s="44">
        <f>ROUND(CO5*(1+取值表!$D$8)*取值表!$H$8,0)</f>
        <v>96273</v>
      </c>
      <c r="CQ5" s="44">
        <f t="shared" ref="CQ5" si="50">CP5</f>
        <v>96273</v>
      </c>
      <c r="CR5" s="44">
        <f t="shared" ref="CR5" si="51">CQ5</f>
        <v>96273</v>
      </c>
      <c r="CS5" s="44">
        <f t="shared" ref="CS5" si="52">CR5</f>
        <v>96273</v>
      </c>
      <c r="CT5" s="44">
        <f>ROUND(CS5*(1+取值表!$D$8)*取值表!$H$8,0)</f>
        <v>96936</v>
      </c>
      <c r="CU5" s="44">
        <f t="shared" ref="CU5" si="53">CT5</f>
        <v>96936</v>
      </c>
      <c r="CV5" s="44">
        <f t="shared" ref="CV5" si="54">CU5</f>
        <v>96936</v>
      </c>
      <c r="CW5" s="44">
        <f t="shared" ref="CW5" si="55">CV5</f>
        <v>96936</v>
      </c>
      <c r="CX5" s="44">
        <f>ROUND(CW5*(1+取值表!$D$8)*取值表!$H$8,0)</f>
        <v>97603</v>
      </c>
      <c r="CY5" s="44">
        <f t="shared" ref="CY5" si="56">CX5</f>
        <v>97603</v>
      </c>
      <c r="CZ5" s="44">
        <f t="shared" ref="CZ5" si="57">CY5</f>
        <v>97603</v>
      </c>
      <c r="DA5" s="44">
        <f>CZ5</f>
        <v>97603</v>
      </c>
      <c r="DB5" s="44">
        <f>ROUND(DA5*(1+取值表!$D$8)*取值表!$H$8,0)</f>
        <v>98275</v>
      </c>
      <c r="DC5" s="44">
        <f t="shared" ref="DC5" si="58">DB5</f>
        <v>98275</v>
      </c>
      <c r="DD5" s="44">
        <f t="shared" ref="DD5" si="59">DC5</f>
        <v>98275</v>
      </c>
      <c r="DE5" s="44">
        <f>DD5</f>
        <v>98275</v>
      </c>
      <c r="DF5" s="45">
        <f t="shared" si="30"/>
        <v>9062044</v>
      </c>
    </row>
    <row r="6" spans="1:110" s="40" customFormat="1" ht="12" customHeight="1">
      <c r="A6" s="448"/>
      <c r="B6" s="518"/>
      <c r="C6" s="450"/>
      <c r="D6" s="451"/>
      <c r="E6" s="452"/>
      <c r="F6" s="446"/>
      <c r="G6" s="446"/>
      <c r="H6" s="447"/>
      <c r="I6" s="41"/>
      <c r="J6" s="42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5">
        <f t="shared" si="30"/>
        <v>0</v>
      </c>
    </row>
    <row r="7" spans="1:110" s="40" customFormat="1" ht="12">
      <c r="A7" s="448">
        <v>3</v>
      </c>
      <c r="B7" s="518" t="s">
        <v>39</v>
      </c>
      <c r="C7" s="450" t="s">
        <v>40</v>
      </c>
      <c r="D7" s="451" t="s">
        <v>445</v>
      </c>
      <c r="E7" s="452" t="s">
        <v>443</v>
      </c>
      <c r="F7" s="446">
        <v>50.69</v>
      </c>
      <c r="G7" s="446">
        <v>44</v>
      </c>
      <c r="H7" s="447">
        <f>F7*G7*365</f>
        <v>814081.39999999991</v>
      </c>
      <c r="I7" s="41">
        <v>203520.35</v>
      </c>
      <c r="J7" s="43">
        <f>ROUND(F7*G7*365/4,0)</f>
        <v>203520</v>
      </c>
      <c r="K7" s="44">
        <f>J7</f>
        <v>203520</v>
      </c>
      <c r="L7" s="44">
        <f>K7</f>
        <v>203520</v>
      </c>
      <c r="M7" s="44">
        <f>L7</f>
        <v>203520</v>
      </c>
      <c r="N7" s="44">
        <f>ROUND(M7*(1+取值表!$D$8)*取值表!$H$8,0)</f>
        <v>204921</v>
      </c>
      <c r="O7" s="44">
        <f>N7</f>
        <v>204921</v>
      </c>
      <c r="P7" s="44">
        <f>O7</f>
        <v>204921</v>
      </c>
      <c r="Q7" s="44">
        <f>P7</f>
        <v>204921</v>
      </c>
      <c r="R7" s="44">
        <f>ROUND(Q7*(1+取值表!$D$8)*取值表!$H$8,0)</f>
        <v>206331</v>
      </c>
      <c r="S7" s="44">
        <f t="shared" ref="S7:U7" si="60">R7</f>
        <v>206331</v>
      </c>
      <c r="T7" s="44">
        <f t="shared" si="60"/>
        <v>206331</v>
      </c>
      <c r="U7" s="44">
        <f t="shared" si="60"/>
        <v>206331</v>
      </c>
      <c r="V7" s="44">
        <f>ROUND(U7*(1+取值表!$D$8)*取值表!$H$8,0)</f>
        <v>207751</v>
      </c>
      <c r="W7" s="44">
        <f t="shared" ref="W7:Y7" si="61">V7</f>
        <v>207751</v>
      </c>
      <c r="X7" s="44">
        <f t="shared" si="61"/>
        <v>207751</v>
      </c>
      <c r="Y7" s="44">
        <f t="shared" si="61"/>
        <v>207751</v>
      </c>
      <c r="Z7" s="44">
        <f>ROUND(Y7*(1+取值表!$D$8)*取值表!$H$8,0)</f>
        <v>209181</v>
      </c>
      <c r="AA7" s="44">
        <f t="shared" ref="AA7:AC7" si="62">Z7</f>
        <v>209181</v>
      </c>
      <c r="AB7" s="44">
        <f t="shared" si="62"/>
        <v>209181</v>
      </c>
      <c r="AC7" s="44">
        <f t="shared" si="62"/>
        <v>209181</v>
      </c>
      <c r="AD7" s="44">
        <f>ROUND(AC7*(1+取值表!$D$8)*取值表!$H$8,0)</f>
        <v>210621</v>
      </c>
      <c r="AE7" s="44">
        <f t="shared" ref="AE7:AG7" si="63">AD7</f>
        <v>210621</v>
      </c>
      <c r="AF7" s="44">
        <f t="shared" si="63"/>
        <v>210621</v>
      </c>
      <c r="AG7" s="44">
        <f t="shared" si="63"/>
        <v>210621</v>
      </c>
      <c r="AH7" s="44">
        <f>ROUND(AG7*(1+取值表!$D$8)*取值表!$H$8,0)</f>
        <v>212070</v>
      </c>
      <c r="AI7" s="44">
        <f t="shared" ref="AI7:AK7" si="64">AH7</f>
        <v>212070</v>
      </c>
      <c r="AJ7" s="44">
        <f t="shared" si="64"/>
        <v>212070</v>
      </c>
      <c r="AK7" s="44">
        <f t="shared" si="64"/>
        <v>212070</v>
      </c>
      <c r="AL7" s="44">
        <f>ROUND(AK7*(1+取值表!$D$8)*取值表!$H$8,0)</f>
        <v>213529</v>
      </c>
      <c r="AM7" s="44">
        <f t="shared" ref="AM7:AO7" si="65">AL7</f>
        <v>213529</v>
      </c>
      <c r="AN7" s="44">
        <f t="shared" si="65"/>
        <v>213529</v>
      </c>
      <c r="AO7" s="44">
        <f t="shared" si="65"/>
        <v>213529</v>
      </c>
      <c r="AP7" s="44">
        <f>ROUND(AO7*(1+取值表!$D$8)*取值表!$H$8,0)</f>
        <v>214998</v>
      </c>
      <c r="AQ7" s="44">
        <f t="shared" ref="AQ7:AS7" si="66">AP7</f>
        <v>214998</v>
      </c>
      <c r="AR7" s="44">
        <f t="shared" si="66"/>
        <v>214998</v>
      </c>
      <c r="AS7" s="44">
        <f t="shared" si="66"/>
        <v>214998</v>
      </c>
      <c r="AT7" s="44">
        <f>ROUND(AS7*(1+取值表!$D$8)*取值表!$H$8,0)</f>
        <v>216478</v>
      </c>
      <c r="AU7" s="44">
        <f t="shared" ref="AU7:AW7" si="67">AT7</f>
        <v>216478</v>
      </c>
      <c r="AV7" s="44">
        <f t="shared" si="67"/>
        <v>216478</v>
      </c>
      <c r="AW7" s="44">
        <f t="shared" si="67"/>
        <v>216478</v>
      </c>
      <c r="AX7" s="44">
        <f>ROUND(AW7*(1+取值表!$D$8)*取值表!$H$8,0)</f>
        <v>217968</v>
      </c>
      <c r="AY7" s="44">
        <f t="shared" ref="AY7:BA7" si="68">AX7</f>
        <v>217968</v>
      </c>
      <c r="AZ7" s="44">
        <f t="shared" si="68"/>
        <v>217968</v>
      </c>
      <c r="BA7" s="44">
        <f t="shared" si="68"/>
        <v>217968</v>
      </c>
      <c r="BB7" s="44">
        <f>ROUND(BA7*(1+取值表!$D$8)*取值表!$H$8,0)</f>
        <v>219468</v>
      </c>
      <c r="BC7" s="44">
        <f t="shared" ref="BC7:BE7" si="69">BB7</f>
        <v>219468</v>
      </c>
      <c r="BD7" s="44">
        <f t="shared" si="69"/>
        <v>219468</v>
      </c>
      <c r="BE7" s="44">
        <f t="shared" si="69"/>
        <v>219468</v>
      </c>
      <c r="BF7" s="44">
        <f>ROUND(BE7*(1+取值表!$D$8)*取值表!$H$8,0)</f>
        <v>220978</v>
      </c>
      <c r="BG7" s="44">
        <f t="shared" ref="BG7:BI7" si="70">BF7</f>
        <v>220978</v>
      </c>
      <c r="BH7" s="44">
        <f t="shared" si="70"/>
        <v>220978</v>
      </c>
      <c r="BI7" s="44">
        <f t="shared" si="70"/>
        <v>220978</v>
      </c>
      <c r="BJ7" s="44">
        <f>ROUND(BI7*(1+取值表!$D$8)*取值表!$H$8,0)</f>
        <v>222499</v>
      </c>
      <c r="BK7" s="44">
        <f t="shared" ref="BK7:BM7" si="71">BJ7</f>
        <v>222499</v>
      </c>
      <c r="BL7" s="44">
        <f t="shared" si="71"/>
        <v>222499</v>
      </c>
      <c r="BM7" s="44">
        <f t="shared" si="71"/>
        <v>222499</v>
      </c>
      <c r="BN7" s="44">
        <f>ROUND(BM7*(1+取值表!$D$8)*取值表!$H$8,0)</f>
        <v>224030</v>
      </c>
      <c r="BO7" s="44">
        <f t="shared" ref="BO7:BQ7" si="72">BN7</f>
        <v>224030</v>
      </c>
      <c r="BP7" s="44">
        <f t="shared" si="72"/>
        <v>224030</v>
      </c>
      <c r="BQ7" s="44">
        <f t="shared" si="72"/>
        <v>224030</v>
      </c>
      <c r="BR7" s="44">
        <f>ROUND(BQ7*(1+取值表!$D$8)*取值表!$H$8,0)</f>
        <v>225572</v>
      </c>
      <c r="BS7" s="44">
        <f t="shared" ref="BS7:BU7" si="73">BR7</f>
        <v>225572</v>
      </c>
      <c r="BT7" s="44">
        <f t="shared" si="73"/>
        <v>225572</v>
      </c>
      <c r="BU7" s="44">
        <f t="shared" si="73"/>
        <v>225572</v>
      </c>
      <c r="BV7" s="44">
        <f>ROUND(BU7*(1+取值表!$D$8)*取值表!$H$8,0)</f>
        <v>227124</v>
      </c>
      <c r="BW7" s="44">
        <f t="shared" ref="BW7:BY7" si="74">BV7</f>
        <v>227124</v>
      </c>
      <c r="BX7" s="44">
        <f t="shared" si="74"/>
        <v>227124</v>
      </c>
      <c r="BY7" s="44">
        <f t="shared" si="74"/>
        <v>227124</v>
      </c>
      <c r="BZ7" s="44">
        <f>ROUND(BY7*(1+取值表!$D$8)*取值表!$H$8,0)</f>
        <v>228687</v>
      </c>
      <c r="CA7" s="44">
        <f t="shared" ref="CA7:CC7" si="75">BZ7</f>
        <v>228687</v>
      </c>
      <c r="CB7" s="44">
        <f t="shared" si="75"/>
        <v>228687</v>
      </c>
      <c r="CC7" s="44">
        <f t="shared" si="75"/>
        <v>228687</v>
      </c>
      <c r="CD7" s="44">
        <f>ROUND(CC7*(1+取值表!$D$8)*取值表!$H$8,0)</f>
        <v>230261</v>
      </c>
      <c r="CE7" s="44">
        <f t="shared" ref="CE7:CG7" si="76">CD7</f>
        <v>230261</v>
      </c>
      <c r="CF7" s="44">
        <f t="shared" si="76"/>
        <v>230261</v>
      </c>
      <c r="CG7" s="44">
        <f t="shared" si="76"/>
        <v>230261</v>
      </c>
      <c r="CH7" s="44">
        <f>ROUND(CG7*(1+取值表!$D$8)*取值表!$H$8,0)</f>
        <v>231846</v>
      </c>
      <c r="CI7" s="44">
        <f t="shared" ref="CI7:CK7" si="77">CH7</f>
        <v>231846</v>
      </c>
      <c r="CJ7" s="44">
        <f t="shared" si="77"/>
        <v>231846</v>
      </c>
      <c r="CK7" s="44">
        <f t="shared" si="77"/>
        <v>231846</v>
      </c>
      <c r="CL7" s="44">
        <f>ROUND(CK7*(1+取值表!$D$8)*取值表!$H$8,0)</f>
        <v>233442</v>
      </c>
      <c r="CM7" s="44">
        <f t="shared" ref="CM7:CO7" si="78">CL7</f>
        <v>233442</v>
      </c>
      <c r="CN7" s="44">
        <f t="shared" si="78"/>
        <v>233442</v>
      </c>
      <c r="CO7" s="44">
        <f t="shared" si="78"/>
        <v>233442</v>
      </c>
      <c r="CP7" s="44">
        <f>ROUND(CO7*(1+取值表!$D$8)*取值表!$H$8,0)</f>
        <v>235048</v>
      </c>
      <c r="CQ7" s="44">
        <f t="shared" ref="CQ7" si="79">CP7</f>
        <v>235048</v>
      </c>
      <c r="CR7" s="44">
        <f t="shared" ref="CR7" si="80">CQ7</f>
        <v>235048</v>
      </c>
      <c r="CS7" s="44">
        <f t="shared" ref="CS7" si="81">CR7</f>
        <v>235048</v>
      </c>
      <c r="CT7" s="44">
        <f>ROUND(CS7*(1+取值表!$D$8)*取值表!$H$8,0)</f>
        <v>236666</v>
      </c>
      <c r="CU7" s="44">
        <f t="shared" ref="CU7" si="82">CT7</f>
        <v>236666</v>
      </c>
      <c r="CV7" s="44">
        <f t="shared" ref="CV7" si="83">CU7</f>
        <v>236666</v>
      </c>
      <c r="CW7" s="44">
        <f t="shared" ref="CW7" si="84">CV7</f>
        <v>236666</v>
      </c>
      <c r="CX7" s="44">
        <f>ROUND(CW7*(1+取值表!$D$8)*取值表!$H$8,0)</f>
        <v>238295</v>
      </c>
      <c r="CY7" s="44">
        <f t="shared" ref="CY7" si="85">CX7</f>
        <v>238295</v>
      </c>
      <c r="CZ7" s="44">
        <f t="shared" ref="CZ7" si="86">CY7</f>
        <v>238295</v>
      </c>
      <c r="DA7" s="44">
        <f t="shared" ref="DA7" si="87">CZ7</f>
        <v>238295</v>
      </c>
      <c r="DB7" s="44">
        <f>ROUND(DA7*(1+取值表!$D$8)*取值表!$H$8,0)</f>
        <v>239935</v>
      </c>
      <c r="DC7" s="44">
        <f t="shared" ref="DC7" si="88">DB7</f>
        <v>239935</v>
      </c>
      <c r="DD7" s="44">
        <f t="shared" ref="DD7" si="89">DC7</f>
        <v>239935</v>
      </c>
      <c r="DE7" s="44">
        <f t="shared" ref="DE7" si="90">DD7</f>
        <v>239935</v>
      </c>
      <c r="DF7" s="45">
        <f t="shared" si="30"/>
        <v>22124876</v>
      </c>
    </row>
    <row r="8" spans="1:110" s="40" customFormat="1" ht="12">
      <c r="A8" s="448"/>
      <c r="B8" s="518"/>
      <c r="C8" s="450"/>
      <c r="D8" s="451"/>
      <c r="E8" s="452"/>
      <c r="F8" s="446"/>
      <c r="G8" s="446"/>
      <c r="H8" s="447"/>
      <c r="I8" s="41"/>
      <c r="J8" s="42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5">
        <f t="shared" si="30"/>
        <v>0</v>
      </c>
    </row>
    <row r="9" spans="1:110" s="40" customFormat="1" ht="12">
      <c r="A9" s="448">
        <v>4</v>
      </c>
      <c r="B9" s="518" t="s">
        <v>41</v>
      </c>
      <c r="C9" s="450" t="s">
        <v>723</v>
      </c>
      <c r="D9" s="451" t="s">
        <v>446</v>
      </c>
      <c r="E9" s="452" t="s">
        <v>443</v>
      </c>
      <c r="F9" s="446">
        <v>20.3</v>
      </c>
      <c r="G9" s="446">
        <f>AVERAGE(44,46)</f>
        <v>45</v>
      </c>
      <c r="H9" s="447">
        <f>F9*G9*365</f>
        <v>333427.5</v>
      </c>
      <c r="I9" s="41">
        <v>85209.25</v>
      </c>
      <c r="J9" s="42">
        <f>ROUND(F9*G9*365/4,0)</f>
        <v>83357</v>
      </c>
      <c r="K9" s="43">
        <f>J9</f>
        <v>83357</v>
      </c>
      <c r="L9" s="44">
        <f>K9</f>
        <v>83357</v>
      </c>
      <c r="M9" s="44">
        <f>L9</f>
        <v>83357</v>
      </c>
      <c r="N9" s="44">
        <f>ROUND(M9*(1+取值表!$D$8)*取值表!$H$8,0)</f>
        <v>83931</v>
      </c>
      <c r="O9" s="44">
        <f>N9</f>
        <v>83931</v>
      </c>
      <c r="P9" s="44">
        <f>O9</f>
        <v>83931</v>
      </c>
      <c r="Q9" s="44">
        <f>P9</f>
        <v>83931</v>
      </c>
      <c r="R9" s="44">
        <f>ROUND(Q9*(1+取值表!$D$8)*取值表!$H$8,0)</f>
        <v>84509</v>
      </c>
      <c r="S9" s="44">
        <f t="shared" ref="S9:U9" si="91">R9</f>
        <v>84509</v>
      </c>
      <c r="T9" s="44">
        <f t="shared" si="91"/>
        <v>84509</v>
      </c>
      <c r="U9" s="44">
        <f t="shared" si="91"/>
        <v>84509</v>
      </c>
      <c r="V9" s="44">
        <f>ROUND(U9*(1+取值表!$D$8)*取值表!$H$8,0)</f>
        <v>85091</v>
      </c>
      <c r="W9" s="44">
        <f t="shared" ref="W9:Y9" si="92">V9</f>
        <v>85091</v>
      </c>
      <c r="X9" s="44">
        <f t="shared" si="92"/>
        <v>85091</v>
      </c>
      <c r="Y9" s="44">
        <f t="shared" si="92"/>
        <v>85091</v>
      </c>
      <c r="Z9" s="44">
        <f>ROUND(Y9*(1+取值表!$D$8)*取值表!$H$8,0)</f>
        <v>85677</v>
      </c>
      <c r="AA9" s="44">
        <f t="shared" ref="AA9:AC9" si="93">Z9</f>
        <v>85677</v>
      </c>
      <c r="AB9" s="44">
        <f t="shared" si="93"/>
        <v>85677</v>
      </c>
      <c r="AC9" s="44">
        <f t="shared" si="93"/>
        <v>85677</v>
      </c>
      <c r="AD9" s="44">
        <f>ROUND(AC9*(1+取值表!$D$8)*取值表!$H$8,0)</f>
        <v>86267</v>
      </c>
      <c r="AE9" s="44">
        <f t="shared" ref="AE9:AG9" si="94">AD9</f>
        <v>86267</v>
      </c>
      <c r="AF9" s="44">
        <f t="shared" si="94"/>
        <v>86267</v>
      </c>
      <c r="AG9" s="44">
        <f t="shared" si="94"/>
        <v>86267</v>
      </c>
      <c r="AH9" s="44">
        <f>ROUND(AG9*(1+取值表!$D$8)*取值表!$H$8,0)</f>
        <v>86861</v>
      </c>
      <c r="AI9" s="44">
        <f t="shared" ref="AI9:AK9" si="95">AH9</f>
        <v>86861</v>
      </c>
      <c r="AJ9" s="44">
        <f t="shared" si="95"/>
        <v>86861</v>
      </c>
      <c r="AK9" s="44">
        <f t="shared" si="95"/>
        <v>86861</v>
      </c>
      <c r="AL9" s="44">
        <f>ROUND(AK9*(1+取值表!$D$8)*取值表!$H$8,0)</f>
        <v>87459</v>
      </c>
      <c r="AM9" s="44">
        <f t="shared" ref="AM9:AO9" si="96">AL9</f>
        <v>87459</v>
      </c>
      <c r="AN9" s="44">
        <f t="shared" si="96"/>
        <v>87459</v>
      </c>
      <c r="AO9" s="44">
        <f t="shared" si="96"/>
        <v>87459</v>
      </c>
      <c r="AP9" s="44">
        <f>ROUND(AO9*(1+取值表!$D$8)*取值表!$H$8,0)</f>
        <v>88061</v>
      </c>
      <c r="AQ9" s="44">
        <f t="shared" ref="AQ9:AS9" si="97">AP9</f>
        <v>88061</v>
      </c>
      <c r="AR9" s="44">
        <f t="shared" si="97"/>
        <v>88061</v>
      </c>
      <c r="AS9" s="44">
        <f t="shared" si="97"/>
        <v>88061</v>
      </c>
      <c r="AT9" s="44">
        <f>ROUND(AS9*(1+取值表!$D$8)*取值表!$H$8,0)</f>
        <v>88667</v>
      </c>
      <c r="AU9" s="44">
        <f t="shared" ref="AU9:AW9" si="98">AT9</f>
        <v>88667</v>
      </c>
      <c r="AV9" s="44">
        <f t="shared" si="98"/>
        <v>88667</v>
      </c>
      <c r="AW9" s="44">
        <f t="shared" si="98"/>
        <v>88667</v>
      </c>
      <c r="AX9" s="44">
        <f>ROUND(AW9*(1+取值表!$D$8)*取值表!$H$8,0)</f>
        <v>89277</v>
      </c>
      <c r="AY9" s="44">
        <f t="shared" ref="AY9:BA9" si="99">AX9</f>
        <v>89277</v>
      </c>
      <c r="AZ9" s="44">
        <f t="shared" si="99"/>
        <v>89277</v>
      </c>
      <c r="BA9" s="44">
        <f t="shared" si="99"/>
        <v>89277</v>
      </c>
      <c r="BB9" s="44">
        <f>ROUND(BA9*(1+取值表!$D$8)*取值表!$H$8,0)</f>
        <v>89891</v>
      </c>
      <c r="BC9" s="44">
        <f t="shared" ref="BC9:BE9" si="100">BB9</f>
        <v>89891</v>
      </c>
      <c r="BD9" s="44">
        <f t="shared" si="100"/>
        <v>89891</v>
      </c>
      <c r="BE9" s="44">
        <f t="shared" si="100"/>
        <v>89891</v>
      </c>
      <c r="BF9" s="44">
        <f>ROUND(BE9*(1+取值表!$D$8)*取值表!$H$8,0)</f>
        <v>90510</v>
      </c>
      <c r="BG9" s="44">
        <f t="shared" ref="BG9:BI9" si="101">BF9</f>
        <v>90510</v>
      </c>
      <c r="BH9" s="44">
        <f t="shared" si="101"/>
        <v>90510</v>
      </c>
      <c r="BI9" s="44">
        <f t="shared" si="101"/>
        <v>90510</v>
      </c>
      <c r="BJ9" s="44">
        <f>ROUND(BI9*(1+取值表!$D$8)*取值表!$H$8,0)</f>
        <v>91133</v>
      </c>
      <c r="BK9" s="44">
        <f t="shared" ref="BK9:BM9" si="102">BJ9</f>
        <v>91133</v>
      </c>
      <c r="BL9" s="44">
        <f t="shared" si="102"/>
        <v>91133</v>
      </c>
      <c r="BM9" s="44">
        <f t="shared" si="102"/>
        <v>91133</v>
      </c>
      <c r="BN9" s="44">
        <f>ROUND(BM9*(1+取值表!$D$8)*取值表!$H$8,0)</f>
        <v>91760</v>
      </c>
      <c r="BO9" s="44">
        <f t="shared" ref="BO9:BQ9" si="103">BN9</f>
        <v>91760</v>
      </c>
      <c r="BP9" s="44">
        <f t="shared" si="103"/>
        <v>91760</v>
      </c>
      <c r="BQ9" s="44">
        <f t="shared" si="103"/>
        <v>91760</v>
      </c>
      <c r="BR9" s="44">
        <f>ROUND(BQ9*(1+取值表!$D$8)*取值表!$H$8,0)</f>
        <v>92391</v>
      </c>
      <c r="BS9" s="44">
        <f t="shared" ref="BS9:BU9" si="104">BR9</f>
        <v>92391</v>
      </c>
      <c r="BT9" s="44">
        <f t="shared" si="104"/>
        <v>92391</v>
      </c>
      <c r="BU9" s="44">
        <f t="shared" si="104"/>
        <v>92391</v>
      </c>
      <c r="BV9" s="44">
        <f>ROUND(BU9*(1+取值表!$D$8)*取值表!$H$8,0)</f>
        <v>93027</v>
      </c>
      <c r="BW9" s="44">
        <f t="shared" ref="BW9:BY9" si="105">BV9</f>
        <v>93027</v>
      </c>
      <c r="BX9" s="44">
        <f t="shared" si="105"/>
        <v>93027</v>
      </c>
      <c r="BY9" s="44">
        <f t="shared" si="105"/>
        <v>93027</v>
      </c>
      <c r="BZ9" s="44">
        <f>ROUND(BY9*(1+取值表!$D$8)*取值表!$H$8,0)</f>
        <v>93667</v>
      </c>
      <c r="CA9" s="44">
        <f t="shared" ref="CA9:CC9" si="106">BZ9</f>
        <v>93667</v>
      </c>
      <c r="CB9" s="44">
        <f t="shared" si="106"/>
        <v>93667</v>
      </c>
      <c r="CC9" s="44">
        <f t="shared" si="106"/>
        <v>93667</v>
      </c>
      <c r="CD9" s="44">
        <f>ROUND(CC9*(1+取值表!$D$8)*取值表!$H$8,0)</f>
        <v>94312</v>
      </c>
      <c r="CE9" s="44">
        <f t="shared" ref="CE9:CG9" si="107">CD9</f>
        <v>94312</v>
      </c>
      <c r="CF9" s="44">
        <f t="shared" si="107"/>
        <v>94312</v>
      </c>
      <c r="CG9" s="44">
        <f t="shared" si="107"/>
        <v>94312</v>
      </c>
      <c r="CH9" s="44">
        <f>ROUND(CG9*(1+取值表!$D$8)*取值表!$H$8,0)</f>
        <v>94961</v>
      </c>
      <c r="CI9" s="44">
        <f t="shared" ref="CI9:CK9" si="108">CH9</f>
        <v>94961</v>
      </c>
      <c r="CJ9" s="44">
        <f t="shared" si="108"/>
        <v>94961</v>
      </c>
      <c r="CK9" s="44">
        <f t="shared" si="108"/>
        <v>94961</v>
      </c>
      <c r="CL9" s="44">
        <f>ROUND(CK9*(1+取值表!$D$8)*取值表!$H$8,0)</f>
        <v>95615</v>
      </c>
      <c r="CM9" s="44">
        <f t="shared" ref="CM9:CO9" si="109">CL9</f>
        <v>95615</v>
      </c>
      <c r="CN9" s="44">
        <f t="shared" si="109"/>
        <v>95615</v>
      </c>
      <c r="CO9" s="44">
        <f t="shared" si="109"/>
        <v>95615</v>
      </c>
      <c r="CP9" s="44">
        <f>ROUND(CO9*(1+取值表!$D$8)*取值表!$H$8,0)</f>
        <v>96273</v>
      </c>
      <c r="CQ9" s="44">
        <f t="shared" ref="CQ9" si="110">CP9</f>
        <v>96273</v>
      </c>
      <c r="CR9" s="44">
        <f t="shared" ref="CR9" si="111">CQ9</f>
        <v>96273</v>
      </c>
      <c r="CS9" s="44">
        <f t="shared" ref="CS9" si="112">CR9</f>
        <v>96273</v>
      </c>
      <c r="CT9" s="44">
        <f>ROUND(CS9*(1+取值表!$D$8)*取值表!$H$8,0)</f>
        <v>96936</v>
      </c>
      <c r="CU9" s="44">
        <f t="shared" ref="CU9" si="113">CT9</f>
        <v>96936</v>
      </c>
      <c r="CV9" s="44">
        <f t="shared" ref="CV9" si="114">CU9</f>
        <v>96936</v>
      </c>
      <c r="CW9" s="44">
        <f t="shared" ref="CW9" si="115">CV9</f>
        <v>96936</v>
      </c>
      <c r="CX9" s="44">
        <f>ROUND(CW9*(1+取值表!$D$8)*取值表!$H$8,0)</f>
        <v>97603</v>
      </c>
      <c r="CY9" s="44">
        <f t="shared" ref="CY9" si="116">CX9</f>
        <v>97603</v>
      </c>
      <c r="CZ9" s="44">
        <f t="shared" ref="CZ9" si="117">CY9</f>
        <v>97603</v>
      </c>
      <c r="DA9" s="44">
        <f t="shared" ref="DA9" si="118">CZ9</f>
        <v>97603</v>
      </c>
      <c r="DB9" s="44">
        <f>ROUND(DA9*(1+取值表!$D$8)*取值表!$H$8,0)</f>
        <v>98275</v>
      </c>
      <c r="DC9" s="44">
        <f t="shared" ref="DC9" si="119">DB9</f>
        <v>98275</v>
      </c>
      <c r="DD9" s="44">
        <f t="shared" ref="DD9" si="120">DC9</f>
        <v>98275</v>
      </c>
      <c r="DE9" s="44">
        <f t="shared" ref="DE9" si="121">DD9</f>
        <v>98275</v>
      </c>
      <c r="DF9" s="45">
        <f t="shared" si="30"/>
        <v>9062044</v>
      </c>
    </row>
    <row r="10" spans="1:110" s="40" customFormat="1" ht="12">
      <c r="A10" s="448"/>
      <c r="B10" s="518"/>
      <c r="C10" s="450"/>
      <c r="D10" s="451"/>
      <c r="E10" s="452"/>
      <c r="F10" s="446"/>
      <c r="G10" s="446"/>
      <c r="H10" s="447"/>
      <c r="I10" s="41"/>
      <c r="J10" s="42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  <c r="AO10" s="44"/>
      <c r="AP10" s="44"/>
      <c r="AQ10" s="44"/>
      <c r="AR10" s="44"/>
      <c r="AS10" s="44"/>
      <c r="AT10" s="44"/>
      <c r="AU10" s="44"/>
      <c r="AV10" s="44"/>
      <c r="AW10" s="44"/>
      <c r="AX10" s="44"/>
      <c r="AY10" s="44"/>
      <c r="AZ10" s="44"/>
      <c r="BA10" s="44"/>
      <c r="BB10" s="44"/>
      <c r="BC10" s="44"/>
      <c r="BD10" s="44"/>
      <c r="BE10" s="44"/>
      <c r="BF10" s="44"/>
      <c r="BG10" s="44"/>
      <c r="BH10" s="44"/>
      <c r="BI10" s="44"/>
      <c r="BJ10" s="44"/>
      <c r="BK10" s="44"/>
      <c r="BL10" s="44"/>
      <c r="BM10" s="44"/>
      <c r="BN10" s="44"/>
      <c r="BO10" s="44"/>
      <c r="BP10" s="44"/>
      <c r="BQ10" s="44"/>
      <c r="BR10" s="44"/>
      <c r="BS10" s="44"/>
      <c r="BT10" s="44"/>
      <c r="BU10" s="44"/>
      <c r="BV10" s="44"/>
      <c r="BW10" s="44"/>
      <c r="BX10" s="44"/>
      <c r="BY10" s="44"/>
      <c r="BZ10" s="44"/>
      <c r="CA10" s="44"/>
      <c r="CB10" s="44"/>
      <c r="CC10" s="44"/>
      <c r="CD10" s="44"/>
      <c r="CE10" s="44"/>
      <c r="CF10" s="44"/>
      <c r="CG10" s="44"/>
      <c r="CH10" s="44"/>
      <c r="CI10" s="44"/>
      <c r="CJ10" s="44"/>
      <c r="CK10" s="44"/>
      <c r="CL10" s="44"/>
      <c r="CM10" s="44"/>
      <c r="CN10" s="44"/>
      <c r="CO10" s="44"/>
      <c r="CP10" s="44"/>
      <c r="CQ10" s="44"/>
      <c r="CR10" s="44"/>
      <c r="CS10" s="44"/>
      <c r="CT10" s="44"/>
      <c r="CU10" s="44"/>
      <c r="CV10" s="44"/>
      <c r="CW10" s="44"/>
      <c r="CX10" s="44"/>
      <c r="CY10" s="44"/>
      <c r="CZ10" s="44"/>
      <c r="DA10" s="44"/>
      <c r="DB10" s="44"/>
      <c r="DC10" s="44"/>
      <c r="DD10" s="44"/>
      <c r="DE10" s="44"/>
      <c r="DF10" s="45">
        <f t="shared" si="30"/>
        <v>0</v>
      </c>
    </row>
    <row r="11" spans="1:110" s="218" customFormat="1" ht="12.75" customHeight="1">
      <c r="A11" s="448">
        <v>5</v>
      </c>
      <c r="B11" s="518" t="s">
        <v>44</v>
      </c>
      <c r="C11" s="450" t="s">
        <v>45</v>
      </c>
      <c r="D11" s="451" t="s">
        <v>46</v>
      </c>
      <c r="E11" s="452" t="s">
        <v>443</v>
      </c>
      <c r="F11" s="446">
        <v>8.6999999999999993</v>
      </c>
      <c r="G11" s="446">
        <v>45</v>
      </c>
      <c r="H11" s="447">
        <f>F11*G11*365</f>
        <v>142897.49999999997</v>
      </c>
      <c r="I11" s="41">
        <v>35724.379999999997</v>
      </c>
      <c r="J11" s="42">
        <f>ROUND(F11*G11*365/4,0)</f>
        <v>35724</v>
      </c>
      <c r="K11" s="43">
        <f>J11</f>
        <v>35724</v>
      </c>
      <c r="L11" s="44">
        <f>K11</f>
        <v>35724</v>
      </c>
      <c r="M11" s="44">
        <f>L11</f>
        <v>35724</v>
      </c>
      <c r="N11" s="44">
        <f>ROUND(M11*(1+取值表!$D$8)*取值表!$H$8,0)</f>
        <v>35970</v>
      </c>
      <c r="O11" s="44">
        <f>N11</f>
        <v>35970</v>
      </c>
      <c r="P11" s="44">
        <f>O11</f>
        <v>35970</v>
      </c>
      <c r="Q11" s="44">
        <f>P11</f>
        <v>35970</v>
      </c>
      <c r="R11" s="44">
        <f>ROUND(Q11*(1+取值表!$D$8)*取值表!$H$8,0)</f>
        <v>36218</v>
      </c>
      <c r="S11" s="44">
        <f t="shared" ref="S11:U11" si="122">R11</f>
        <v>36218</v>
      </c>
      <c r="T11" s="44">
        <f t="shared" si="122"/>
        <v>36218</v>
      </c>
      <c r="U11" s="44">
        <f t="shared" si="122"/>
        <v>36218</v>
      </c>
      <c r="V11" s="44">
        <f>ROUND(U11*(1+取值表!$D$8)*取值表!$H$8,0)</f>
        <v>36467</v>
      </c>
      <c r="W11" s="44">
        <f t="shared" ref="W11:Y11" si="123">V11</f>
        <v>36467</v>
      </c>
      <c r="X11" s="44">
        <f t="shared" si="123"/>
        <v>36467</v>
      </c>
      <c r="Y11" s="44">
        <f t="shared" si="123"/>
        <v>36467</v>
      </c>
      <c r="Z11" s="44">
        <f>ROUND(Y11*(1+取值表!$D$8)*取值表!$H$8,0)</f>
        <v>36718</v>
      </c>
      <c r="AA11" s="44">
        <f t="shared" ref="AA11:AC11" si="124">Z11</f>
        <v>36718</v>
      </c>
      <c r="AB11" s="44">
        <f t="shared" si="124"/>
        <v>36718</v>
      </c>
      <c r="AC11" s="44">
        <f t="shared" si="124"/>
        <v>36718</v>
      </c>
      <c r="AD11" s="44">
        <f>ROUND(AC11*(1+取值表!$D$8)*取值表!$H$8,0)</f>
        <v>36971</v>
      </c>
      <c r="AE11" s="44">
        <f t="shared" ref="AE11:AG11" si="125">AD11</f>
        <v>36971</v>
      </c>
      <c r="AF11" s="44">
        <f t="shared" si="125"/>
        <v>36971</v>
      </c>
      <c r="AG11" s="44">
        <f t="shared" si="125"/>
        <v>36971</v>
      </c>
      <c r="AH11" s="44">
        <f>ROUND(AG11*(1+取值表!$D$8)*取值表!$H$8,0)</f>
        <v>37225</v>
      </c>
      <c r="AI11" s="44">
        <f t="shared" ref="AI11:AK11" si="126">AH11</f>
        <v>37225</v>
      </c>
      <c r="AJ11" s="44">
        <f t="shared" si="126"/>
        <v>37225</v>
      </c>
      <c r="AK11" s="44">
        <f t="shared" si="126"/>
        <v>37225</v>
      </c>
      <c r="AL11" s="44">
        <f>ROUND(AK11*(1+取值表!$D$8)*取值表!$H$8,0)</f>
        <v>37481</v>
      </c>
      <c r="AM11" s="44">
        <f t="shared" ref="AM11:AO11" si="127">AL11</f>
        <v>37481</v>
      </c>
      <c r="AN11" s="44">
        <f t="shared" si="127"/>
        <v>37481</v>
      </c>
      <c r="AO11" s="44">
        <f t="shared" si="127"/>
        <v>37481</v>
      </c>
      <c r="AP11" s="44">
        <f>ROUND(AO11*(1+取值表!$D$8)*取值表!$H$8,0)</f>
        <v>37739</v>
      </c>
      <c r="AQ11" s="44">
        <f t="shared" ref="AQ11:AS11" si="128">AP11</f>
        <v>37739</v>
      </c>
      <c r="AR11" s="44">
        <f t="shared" si="128"/>
        <v>37739</v>
      </c>
      <c r="AS11" s="44">
        <f t="shared" si="128"/>
        <v>37739</v>
      </c>
      <c r="AT11" s="44">
        <f>ROUND(AS11*(1+取值表!$D$8)*取值表!$H$8,0)</f>
        <v>37999</v>
      </c>
      <c r="AU11" s="44">
        <f t="shared" ref="AU11:AW11" si="129">AT11</f>
        <v>37999</v>
      </c>
      <c r="AV11" s="44">
        <f t="shared" si="129"/>
        <v>37999</v>
      </c>
      <c r="AW11" s="44">
        <f t="shared" si="129"/>
        <v>37999</v>
      </c>
      <c r="AX11" s="44">
        <f>ROUND(AW11*(1+取值表!$D$8)*取值表!$H$8,0)</f>
        <v>38261</v>
      </c>
      <c r="AY11" s="44">
        <f t="shared" ref="AY11:BA11" si="130">AX11</f>
        <v>38261</v>
      </c>
      <c r="AZ11" s="44">
        <f t="shared" si="130"/>
        <v>38261</v>
      </c>
      <c r="BA11" s="44">
        <f t="shared" si="130"/>
        <v>38261</v>
      </c>
      <c r="BB11" s="44">
        <f>ROUND(BA11*(1+取值表!$D$8)*取值表!$H$8,0)</f>
        <v>38524</v>
      </c>
      <c r="BC11" s="44">
        <f t="shared" ref="BC11:BE11" si="131">BB11</f>
        <v>38524</v>
      </c>
      <c r="BD11" s="44">
        <f t="shared" si="131"/>
        <v>38524</v>
      </c>
      <c r="BE11" s="44">
        <f t="shared" si="131"/>
        <v>38524</v>
      </c>
      <c r="BF11" s="44">
        <f>ROUND(BE11*(1+取值表!$D$8)*取值表!$H$8,0)</f>
        <v>38789</v>
      </c>
      <c r="BG11" s="44">
        <f t="shared" ref="BG11:BI11" si="132">BF11</f>
        <v>38789</v>
      </c>
      <c r="BH11" s="44">
        <f t="shared" si="132"/>
        <v>38789</v>
      </c>
      <c r="BI11" s="44">
        <f t="shared" si="132"/>
        <v>38789</v>
      </c>
      <c r="BJ11" s="44">
        <f>ROUND(BI11*(1+取值表!$D$8)*取值表!$H$8,0)</f>
        <v>39056</v>
      </c>
      <c r="BK11" s="44">
        <f t="shared" ref="BK11:BM11" si="133">BJ11</f>
        <v>39056</v>
      </c>
      <c r="BL11" s="44">
        <f t="shared" si="133"/>
        <v>39056</v>
      </c>
      <c r="BM11" s="44">
        <f t="shared" si="133"/>
        <v>39056</v>
      </c>
      <c r="BN11" s="44">
        <f>ROUND(BM11*(1+取值表!$D$8)*取值表!$H$8,0)</f>
        <v>39325</v>
      </c>
      <c r="BO11" s="44">
        <f t="shared" ref="BO11:BQ11" si="134">BN11</f>
        <v>39325</v>
      </c>
      <c r="BP11" s="44">
        <f t="shared" si="134"/>
        <v>39325</v>
      </c>
      <c r="BQ11" s="44">
        <f t="shared" si="134"/>
        <v>39325</v>
      </c>
      <c r="BR11" s="44">
        <f>ROUND(BQ11*(1+取值表!$D$8)*取值表!$H$8,0)</f>
        <v>39596</v>
      </c>
      <c r="BS11" s="44">
        <f t="shared" ref="BS11:BU11" si="135">BR11</f>
        <v>39596</v>
      </c>
      <c r="BT11" s="44">
        <f t="shared" si="135"/>
        <v>39596</v>
      </c>
      <c r="BU11" s="44">
        <f t="shared" si="135"/>
        <v>39596</v>
      </c>
      <c r="BV11" s="44">
        <f>ROUND(BU11*(1+取值表!$D$8)*取值表!$H$8,0)</f>
        <v>39868</v>
      </c>
      <c r="BW11" s="44">
        <f t="shared" ref="BW11:BY11" si="136">BV11</f>
        <v>39868</v>
      </c>
      <c r="BX11" s="44">
        <f t="shared" si="136"/>
        <v>39868</v>
      </c>
      <c r="BY11" s="44">
        <f t="shared" si="136"/>
        <v>39868</v>
      </c>
      <c r="BZ11" s="44">
        <f>ROUND(BY11*(1+取值表!$D$8)*取值表!$H$8,0)</f>
        <v>40142</v>
      </c>
      <c r="CA11" s="44">
        <f t="shared" ref="CA11:CC11" si="137">BZ11</f>
        <v>40142</v>
      </c>
      <c r="CB11" s="44">
        <f t="shared" si="137"/>
        <v>40142</v>
      </c>
      <c r="CC11" s="44">
        <f t="shared" si="137"/>
        <v>40142</v>
      </c>
      <c r="CD11" s="44">
        <f>ROUND(CC11*(1+取值表!$D$8)*取值表!$H$8,0)</f>
        <v>40418</v>
      </c>
      <c r="CE11" s="44">
        <f t="shared" ref="CE11:CG11" si="138">CD11</f>
        <v>40418</v>
      </c>
      <c r="CF11" s="44">
        <f t="shared" si="138"/>
        <v>40418</v>
      </c>
      <c r="CG11" s="44">
        <f t="shared" si="138"/>
        <v>40418</v>
      </c>
      <c r="CH11" s="44">
        <f>ROUND(CG11*(1+取值表!$D$8)*取值表!$H$8,0)</f>
        <v>40696</v>
      </c>
      <c r="CI11" s="44">
        <f t="shared" ref="CI11:CK11" si="139">CH11</f>
        <v>40696</v>
      </c>
      <c r="CJ11" s="44">
        <f t="shared" si="139"/>
        <v>40696</v>
      </c>
      <c r="CK11" s="44">
        <f t="shared" si="139"/>
        <v>40696</v>
      </c>
      <c r="CL11" s="44">
        <f>ROUND(CK11*(1+取值表!$D$8)*取值表!$H$8,0)</f>
        <v>40976</v>
      </c>
      <c r="CM11" s="44">
        <f t="shared" ref="CM11:CO11" si="140">CL11</f>
        <v>40976</v>
      </c>
      <c r="CN11" s="44">
        <f t="shared" si="140"/>
        <v>40976</v>
      </c>
      <c r="CO11" s="44">
        <f t="shared" si="140"/>
        <v>40976</v>
      </c>
      <c r="CP11" s="44">
        <f>ROUND(CO11*(1+取值表!$D$8)*取值表!$H$8,0)</f>
        <v>41258</v>
      </c>
      <c r="CQ11" s="44">
        <f t="shared" ref="CQ11" si="141">CP11</f>
        <v>41258</v>
      </c>
      <c r="CR11" s="44">
        <f t="shared" ref="CR11" si="142">CQ11</f>
        <v>41258</v>
      </c>
      <c r="CS11" s="44">
        <f t="shared" ref="CS11" si="143">CR11</f>
        <v>41258</v>
      </c>
      <c r="CT11" s="44">
        <f>ROUND(CS11*(1+取值表!$D$8)*取值表!$H$8,0)</f>
        <v>41542</v>
      </c>
      <c r="CU11" s="44">
        <f t="shared" ref="CU11" si="144">CT11</f>
        <v>41542</v>
      </c>
      <c r="CV11" s="44">
        <f t="shared" ref="CV11" si="145">CU11</f>
        <v>41542</v>
      </c>
      <c r="CW11" s="44">
        <f t="shared" ref="CW11" si="146">CV11</f>
        <v>41542</v>
      </c>
      <c r="CX11" s="44">
        <f>ROUND(CW11*(1+取值表!$D$8)*取值表!$H$8,0)</f>
        <v>41828</v>
      </c>
      <c r="CY11" s="44">
        <f t="shared" ref="CY11" si="147">CX11</f>
        <v>41828</v>
      </c>
      <c r="CZ11" s="44">
        <f t="shared" ref="CZ11" si="148">CY11</f>
        <v>41828</v>
      </c>
      <c r="DA11" s="44">
        <f t="shared" ref="DA11" si="149">CZ11</f>
        <v>41828</v>
      </c>
      <c r="DB11" s="44">
        <f>ROUND(DA11*(1+取值表!$D$8)*取值表!$H$8,0)</f>
        <v>42116</v>
      </c>
      <c r="DC11" s="44">
        <f t="shared" ref="DC11" si="150">DB11</f>
        <v>42116</v>
      </c>
      <c r="DD11" s="44">
        <f t="shared" ref="DD11" si="151">DC11</f>
        <v>42116</v>
      </c>
      <c r="DE11" s="44">
        <f t="shared" ref="DE11" si="152">DD11</f>
        <v>42116</v>
      </c>
      <c r="DF11" s="45">
        <f t="shared" si="30"/>
        <v>3883628</v>
      </c>
    </row>
    <row r="12" spans="1:110" s="218" customFormat="1" ht="12">
      <c r="A12" s="448"/>
      <c r="B12" s="518"/>
      <c r="C12" s="450"/>
      <c r="D12" s="451"/>
      <c r="E12" s="452"/>
      <c r="F12" s="446"/>
      <c r="G12" s="446"/>
      <c r="H12" s="447"/>
      <c r="I12" s="41"/>
      <c r="J12" s="42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  <c r="CE12" s="44"/>
      <c r="CF12" s="44"/>
      <c r="CG12" s="44"/>
      <c r="CH12" s="44"/>
      <c r="CI12" s="44"/>
      <c r="CJ12" s="44"/>
      <c r="CK12" s="44"/>
      <c r="CL12" s="44"/>
      <c r="CM12" s="44"/>
      <c r="CN12" s="44"/>
      <c r="CO12" s="44"/>
      <c r="CP12" s="44"/>
      <c r="CQ12" s="44"/>
      <c r="CR12" s="44"/>
      <c r="CS12" s="44"/>
      <c r="CT12" s="44"/>
      <c r="CU12" s="44"/>
      <c r="CV12" s="44"/>
      <c r="CW12" s="44"/>
      <c r="CX12" s="44"/>
      <c r="CY12" s="44"/>
      <c r="CZ12" s="44"/>
      <c r="DA12" s="44"/>
      <c r="DB12" s="44"/>
      <c r="DC12" s="44"/>
      <c r="DD12" s="44"/>
      <c r="DE12" s="44"/>
      <c r="DF12" s="45">
        <f t="shared" si="30"/>
        <v>0</v>
      </c>
    </row>
    <row r="13" spans="1:110" s="40" customFormat="1" ht="12" customHeight="1">
      <c r="A13" s="448">
        <v>6</v>
      </c>
      <c r="B13" s="518" t="s">
        <v>47</v>
      </c>
      <c r="C13" s="450" t="s">
        <v>48</v>
      </c>
      <c r="D13" s="451" t="s">
        <v>447</v>
      </c>
      <c r="E13" s="452" t="s">
        <v>443</v>
      </c>
      <c r="F13" s="446">
        <v>15.84</v>
      </c>
      <c r="G13" s="446">
        <v>46</v>
      </c>
      <c r="H13" s="447">
        <f>F13*G13*365</f>
        <v>265953.59999999998</v>
      </c>
      <c r="I13" s="41">
        <v>63597.599999999999</v>
      </c>
      <c r="J13" s="42">
        <f>ROUND(F13*G13*365/4,0)</f>
        <v>66488</v>
      </c>
      <c r="K13" s="43">
        <f>J13</f>
        <v>66488</v>
      </c>
      <c r="L13" s="44">
        <f>K13</f>
        <v>66488</v>
      </c>
      <c r="M13" s="44">
        <f>L13</f>
        <v>66488</v>
      </c>
      <c r="N13" s="44">
        <f>ROUND(M13*(1+取值表!$D$8)*取值表!$H$8,0)</f>
        <v>66946</v>
      </c>
      <c r="O13" s="44">
        <f>N13</f>
        <v>66946</v>
      </c>
      <c r="P13" s="44">
        <f>O13</f>
        <v>66946</v>
      </c>
      <c r="Q13" s="44">
        <f>P13</f>
        <v>66946</v>
      </c>
      <c r="R13" s="44">
        <f>ROUND(Q13*(1+取值表!$D$8)*取值表!$H$8,0)</f>
        <v>67407</v>
      </c>
      <c r="S13" s="44">
        <f t="shared" ref="S13:U13" si="153">R13</f>
        <v>67407</v>
      </c>
      <c r="T13" s="44">
        <f t="shared" si="153"/>
        <v>67407</v>
      </c>
      <c r="U13" s="44">
        <f t="shared" si="153"/>
        <v>67407</v>
      </c>
      <c r="V13" s="44">
        <f>ROUND(U13*(1+取值表!$D$8)*取值表!$H$8,0)</f>
        <v>67871</v>
      </c>
      <c r="W13" s="44">
        <f t="shared" ref="W13:Y13" si="154">V13</f>
        <v>67871</v>
      </c>
      <c r="X13" s="44">
        <f t="shared" si="154"/>
        <v>67871</v>
      </c>
      <c r="Y13" s="44">
        <f t="shared" si="154"/>
        <v>67871</v>
      </c>
      <c r="Z13" s="44">
        <f>ROUND(Y13*(1+取值表!$D$8)*取值表!$H$8,0)</f>
        <v>68338</v>
      </c>
      <c r="AA13" s="44">
        <f t="shared" ref="AA13:AC13" si="155">Z13</f>
        <v>68338</v>
      </c>
      <c r="AB13" s="44">
        <f t="shared" si="155"/>
        <v>68338</v>
      </c>
      <c r="AC13" s="44">
        <f t="shared" si="155"/>
        <v>68338</v>
      </c>
      <c r="AD13" s="44">
        <f>ROUND(AC13*(1+取值表!$D$8)*取值表!$H$8,0)</f>
        <v>68808</v>
      </c>
      <c r="AE13" s="44">
        <f t="shared" ref="AE13:AG13" si="156">AD13</f>
        <v>68808</v>
      </c>
      <c r="AF13" s="44">
        <f t="shared" si="156"/>
        <v>68808</v>
      </c>
      <c r="AG13" s="44">
        <f t="shared" si="156"/>
        <v>68808</v>
      </c>
      <c r="AH13" s="44">
        <f>ROUND(AG13*(1+取值表!$D$8)*取值表!$H$8,0)</f>
        <v>69282</v>
      </c>
      <c r="AI13" s="44">
        <f t="shared" ref="AI13:AK13" si="157">AH13</f>
        <v>69282</v>
      </c>
      <c r="AJ13" s="44">
        <f t="shared" si="157"/>
        <v>69282</v>
      </c>
      <c r="AK13" s="44">
        <f t="shared" si="157"/>
        <v>69282</v>
      </c>
      <c r="AL13" s="44">
        <f>ROUND(AK13*(1+取值表!$D$8)*取值表!$H$8,0)</f>
        <v>69759</v>
      </c>
      <c r="AM13" s="44">
        <f t="shared" ref="AM13:AO13" si="158">AL13</f>
        <v>69759</v>
      </c>
      <c r="AN13" s="44">
        <f t="shared" si="158"/>
        <v>69759</v>
      </c>
      <c r="AO13" s="44">
        <f t="shared" si="158"/>
        <v>69759</v>
      </c>
      <c r="AP13" s="44">
        <f>ROUND(AO13*(1+取值表!$D$8)*取值表!$H$8,0)</f>
        <v>70239</v>
      </c>
      <c r="AQ13" s="44">
        <f t="shared" ref="AQ13:AS13" si="159">AP13</f>
        <v>70239</v>
      </c>
      <c r="AR13" s="44">
        <f t="shared" si="159"/>
        <v>70239</v>
      </c>
      <c r="AS13" s="44">
        <f t="shared" si="159"/>
        <v>70239</v>
      </c>
      <c r="AT13" s="44">
        <f>ROUND(AS13*(1+取值表!$D$8)*取值表!$H$8,0)</f>
        <v>70722</v>
      </c>
      <c r="AU13" s="44">
        <f t="shared" ref="AU13:AW13" si="160">AT13</f>
        <v>70722</v>
      </c>
      <c r="AV13" s="44">
        <f t="shared" si="160"/>
        <v>70722</v>
      </c>
      <c r="AW13" s="44">
        <f t="shared" si="160"/>
        <v>70722</v>
      </c>
      <c r="AX13" s="44">
        <f>ROUND(AW13*(1+取值表!$D$8)*取值表!$H$8,0)</f>
        <v>71209</v>
      </c>
      <c r="AY13" s="44">
        <f t="shared" ref="AY13:BA13" si="161">AX13</f>
        <v>71209</v>
      </c>
      <c r="AZ13" s="44">
        <f t="shared" si="161"/>
        <v>71209</v>
      </c>
      <c r="BA13" s="44">
        <f t="shared" si="161"/>
        <v>71209</v>
      </c>
      <c r="BB13" s="44">
        <f>ROUND(BA13*(1+取值表!$D$8)*取值表!$H$8,0)</f>
        <v>71699</v>
      </c>
      <c r="BC13" s="44">
        <f t="shared" ref="BC13:BE13" si="162">BB13</f>
        <v>71699</v>
      </c>
      <c r="BD13" s="44">
        <f t="shared" si="162"/>
        <v>71699</v>
      </c>
      <c r="BE13" s="44">
        <f t="shared" si="162"/>
        <v>71699</v>
      </c>
      <c r="BF13" s="44">
        <f>ROUND(BE13*(1+取值表!$D$8)*取值表!$H$8,0)</f>
        <v>72192</v>
      </c>
      <c r="BG13" s="44">
        <f t="shared" ref="BG13:BI13" si="163">BF13</f>
        <v>72192</v>
      </c>
      <c r="BH13" s="44">
        <f t="shared" si="163"/>
        <v>72192</v>
      </c>
      <c r="BI13" s="44">
        <f t="shared" si="163"/>
        <v>72192</v>
      </c>
      <c r="BJ13" s="44">
        <f>ROUND(BI13*(1+取值表!$D$8)*取值表!$H$8,0)</f>
        <v>72689</v>
      </c>
      <c r="BK13" s="44">
        <f t="shared" ref="BK13:BM13" si="164">BJ13</f>
        <v>72689</v>
      </c>
      <c r="BL13" s="44">
        <f t="shared" si="164"/>
        <v>72689</v>
      </c>
      <c r="BM13" s="44">
        <f t="shared" si="164"/>
        <v>72689</v>
      </c>
      <c r="BN13" s="44">
        <f>ROUND(BM13*(1+取值表!$D$8)*取值表!$H$8,0)</f>
        <v>73189</v>
      </c>
      <c r="BO13" s="44">
        <f t="shared" ref="BO13:BQ13" si="165">BN13</f>
        <v>73189</v>
      </c>
      <c r="BP13" s="44">
        <f t="shared" si="165"/>
        <v>73189</v>
      </c>
      <c r="BQ13" s="44">
        <f t="shared" si="165"/>
        <v>73189</v>
      </c>
      <c r="BR13" s="44">
        <f>ROUND(BQ13*(1+取值表!$D$8)*取值表!$H$8,0)</f>
        <v>73693</v>
      </c>
      <c r="BS13" s="44">
        <f t="shared" ref="BS13:BU13" si="166">BR13</f>
        <v>73693</v>
      </c>
      <c r="BT13" s="44">
        <f t="shared" si="166"/>
        <v>73693</v>
      </c>
      <c r="BU13" s="44">
        <f t="shared" si="166"/>
        <v>73693</v>
      </c>
      <c r="BV13" s="44">
        <f>ROUND(BU13*(1+取值表!$D$8)*取值表!$H$8,0)</f>
        <v>74200</v>
      </c>
      <c r="BW13" s="44">
        <f t="shared" ref="BW13:BY13" si="167">BV13</f>
        <v>74200</v>
      </c>
      <c r="BX13" s="44">
        <f t="shared" si="167"/>
        <v>74200</v>
      </c>
      <c r="BY13" s="44">
        <f t="shared" si="167"/>
        <v>74200</v>
      </c>
      <c r="BZ13" s="44">
        <f>ROUND(BY13*(1+取值表!$D$8)*取值表!$H$8,0)</f>
        <v>74711</v>
      </c>
      <c r="CA13" s="44">
        <f t="shared" ref="CA13:CC13" si="168">BZ13</f>
        <v>74711</v>
      </c>
      <c r="CB13" s="44">
        <f t="shared" si="168"/>
        <v>74711</v>
      </c>
      <c r="CC13" s="44">
        <f t="shared" si="168"/>
        <v>74711</v>
      </c>
      <c r="CD13" s="44">
        <f>ROUND(CC13*(1+取值表!$D$8)*取值表!$H$8,0)</f>
        <v>75225</v>
      </c>
      <c r="CE13" s="44">
        <f t="shared" ref="CE13:CG13" si="169">CD13</f>
        <v>75225</v>
      </c>
      <c r="CF13" s="44">
        <f t="shared" si="169"/>
        <v>75225</v>
      </c>
      <c r="CG13" s="44">
        <f t="shared" si="169"/>
        <v>75225</v>
      </c>
      <c r="CH13" s="44">
        <f>ROUND(CG13*(1+取值表!$D$8)*取值表!$H$8,0)</f>
        <v>75743</v>
      </c>
      <c r="CI13" s="44">
        <f t="shared" ref="CI13:CK13" si="170">CH13</f>
        <v>75743</v>
      </c>
      <c r="CJ13" s="44">
        <f t="shared" si="170"/>
        <v>75743</v>
      </c>
      <c r="CK13" s="44">
        <f t="shared" si="170"/>
        <v>75743</v>
      </c>
      <c r="CL13" s="44">
        <f>ROUND(CK13*(1+取值表!$D$8)*取值表!$H$8,0)</f>
        <v>76264</v>
      </c>
      <c r="CM13" s="44">
        <f t="shared" ref="CM13:CO13" si="171">CL13</f>
        <v>76264</v>
      </c>
      <c r="CN13" s="44">
        <f t="shared" si="171"/>
        <v>76264</v>
      </c>
      <c r="CO13" s="44">
        <f t="shared" si="171"/>
        <v>76264</v>
      </c>
      <c r="CP13" s="44">
        <f>ROUND(CO13*(1+取值表!$D$8)*取值表!$H$8,0)</f>
        <v>76789</v>
      </c>
      <c r="CQ13" s="44">
        <f t="shared" ref="CQ13" si="172">CP13</f>
        <v>76789</v>
      </c>
      <c r="CR13" s="44">
        <f t="shared" ref="CR13" si="173">CQ13</f>
        <v>76789</v>
      </c>
      <c r="CS13" s="44">
        <f t="shared" ref="CS13" si="174">CR13</f>
        <v>76789</v>
      </c>
      <c r="CT13" s="44">
        <f>ROUND(CS13*(1+取值表!$D$8)*取值表!$H$8,0)</f>
        <v>77317</v>
      </c>
      <c r="CU13" s="44">
        <f t="shared" ref="CU13" si="175">CT13</f>
        <v>77317</v>
      </c>
      <c r="CV13" s="44">
        <f t="shared" ref="CV13" si="176">CU13</f>
        <v>77317</v>
      </c>
      <c r="CW13" s="44">
        <f t="shared" ref="CW13" si="177">CV13</f>
        <v>77317</v>
      </c>
      <c r="CX13" s="44">
        <f>ROUND(CW13*(1+取值表!$D$8)*取值表!$H$8,0)</f>
        <v>77849</v>
      </c>
      <c r="CY13" s="44">
        <f t="shared" ref="CY13" si="178">CX13</f>
        <v>77849</v>
      </c>
      <c r="CZ13" s="44">
        <f t="shared" ref="CZ13" si="179">CY13</f>
        <v>77849</v>
      </c>
      <c r="DA13" s="44">
        <f t="shared" ref="DA13" si="180">CZ13</f>
        <v>77849</v>
      </c>
      <c r="DB13" s="44">
        <f>ROUND(DA13*(1+取值表!$D$8)*取值表!$H$8,0)</f>
        <v>78385</v>
      </c>
      <c r="DC13" s="44">
        <f t="shared" ref="DC13" si="181">DB13</f>
        <v>78385</v>
      </c>
      <c r="DD13" s="44">
        <f t="shared" ref="DD13" si="182">DC13</f>
        <v>78385</v>
      </c>
      <c r="DE13" s="44">
        <f t="shared" ref="DE13" si="183">DD13</f>
        <v>78385</v>
      </c>
      <c r="DF13" s="45">
        <f t="shared" si="30"/>
        <v>7228056</v>
      </c>
    </row>
    <row r="14" spans="1:110" s="40" customFormat="1" ht="12" customHeight="1">
      <c r="A14" s="448"/>
      <c r="B14" s="518"/>
      <c r="C14" s="450"/>
      <c r="D14" s="451"/>
      <c r="E14" s="452"/>
      <c r="F14" s="446"/>
      <c r="G14" s="446"/>
      <c r="H14" s="447"/>
      <c r="I14" s="41"/>
      <c r="J14" s="42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5">
        <f t="shared" si="30"/>
        <v>0</v>
      </c>
    </row>
    <row r="15" spans="1:110" s="40" customFormat="1" ht="12" customHeight="1">
      <c r="A15" s="448">
        <v>7</v>
      </c>
      <c r="B15" s="518" t="s">
        <v>49</v>
      </c>
      <c r="C15" s="450" t="s">
        <v>43</v>
      </c>
      <c r="D15" s="451" t="s">
        <v>219</v>
      </c>
      <c r="E15" s="452" t="s">
        <v>443</v>
      </c>
      <c r="F15" s="446">
        <v>29</v>
      </c>
      <c r="G15" s="446">
        <v>40</v>
      </c>
      <c r="H15" s="447">
        <f>F15*G15*365</f>
        <v>423400</v>
      </c>
      <c r="I15" s="41">
        <v>105850</v>
      </c>
      <c r="J15" s="42">
        <f>ROUND(F15*G15*365/4,0)</f>
        <v>105850</v>
      </c>
      <c r="K15" s="43">
        <f>J15</f>
        <v>105850</v>
      </c>
      <c r="L15" s="44">
        <f>K15</f>
        <v>105850</v>
      </c>
      <c r="M15" s="44">
        <f>L15</f>
        <v>105850</v>
      </c>
      <c r="N15" s="44">
        <f>ROUND(M15*(1+取值表!$D$8)*取值表!$H$8,0)</f>
        <v>106578</v>
      </c>
      <c r="O15" s="44">
        <f>N15</f>
        <v>106578</v>
      </c>
      <c r="P15" s="44">
        <f>O15</f>
        <v>106578</v>
      </c>
      <c r="Q15" s="44">
        <f>P15</f>
        <v>106578</v>
      </c>
      <c r="R15" s="44">
        <f>ROUND(Q15*(1+取值表!$D$8)*取值表!$H$8,0)</f>
        <v>107311</v>
      </c>
      <c r="S15" s="44">
        <f t="shared" ref="S15:U15" si="184">R15</f>
        <v>107311</v>
      </c>
      <c r="T15" s="44">
        <f t="shared" si="184"/>
        <v>107311</v>
      </c>
      <c r="U15" s="44">
        <f t="shared" si="184"/>
        <v>107311</v>
      </c>
      <c r="V15" s="44">
        <f>ROUND(U15*(1+取值表!$D$8)*取值表!$H$8,0)</f>
        <v>108049</v>
      </c>
      <c r="W15" s="44">
        <f t="shared" ref="W15:Y15" si="185">V15</f>
        <v>108049</v>
      </c>
      <c r="X15" s="44">
        <f t="shared" si="185"/>
        <v>108049</v>
      </c>
      <c r="Y15" s="44">
        <f t="shared" si="185"/>
        <v>108049</v>
      </c>
      <c r="Z15" s="44">
        <f>ROUND(Y15*(1+取值表!$D$8)*取值表!$H$8,0)</f>
        <v>108793</v>
      </c>
      <c r="AA15" s="44">
        <f t="shared" ref="AA15:AC15" si="186">Z15</f>
        <v>108793</v>
      </c>
      <c r="AB15" s="44">
        <f t="shared" si="186"/>
        <v>108793</v>
      </c>
      <c r="AC15" s="44">
        <f t="shared" si="186"/>
        <v>108793</v>
      </c>
      <c r="AD15" s="44">
        <f>ROUND(AC15*(1+取值表!$D$8)*取值表!$H$8,0)</f>
        <v>109542</v>
      </c>
      <c r="AE15" s="44">
        <f t="shared" ref="AE15:AG15" si="187">AD15</f>
        <v>109542</v>
      </c>
      <c r="AF15" s="44">
        <f t="shared" si="187"/>
        <v>109542</v>
      </c>
      <c r="AG15" s="44">
        <f t="shared" si="187"/>
        <v>109542</v>
      </c>
      <c r="AH15" s="44">
        <f>ROUND(AG15*(1+取值表!$D$8)*取值表!$H$8,0)</f>
        <v>110296</v>
      </c>
      <c r="AI15" s="44">
        <f t="shared" ref="AI15:AK15" si="188">AH15</f>
        <v>110296</v>
      </c>
      <c r="AJ15" s="44">
        <f t="shared" si="188"/>
        <v>110296</v>
      </c>
      <c r="AK15" s="44">
        <f t="shared" si="188"/>
        <v>110296</v>
      </c>
      <c r="AL15" s="44">
        <f>ROUND(AK15*(1+取值表!$D$8)*取值表!$H$8,0)</f>
        <v>111055</v>
      </c>
      <c r="AM15" s="44">
        <f t="shared" ref="AM15:AO15" si="189">AL15</f>
        <v>111055</v>
      </c>
      <c r="AN15" s="44">
        <f t="shared" si="189"/>
        <v>111055</v>
      </c>
      <c r="AO15" s="44">
        <f t="shared" si="189"/>
        <v>111055</v>
      </c>
      <c r="AP15" s="44">
        <f>ROUND(AO15*(1+取值表!$D$8)*取值表!$H$8,0)</f>
        <v>111819</v>
      </c>
      <c r="AQ15" s="44">
        <f t="shared" ref="AQ15:AS15" si="190">AP15</f>
        <v>111819</v>
      </c>
      <c r="AR15" s="44">
        <f t="shared" si="190"/>
        <v>111819</v>
      </c>
      <c r="AS15" s="44">
        <f t="shared" si="190"/>
        <v>111819</v>
      </c>
      <c r="AT15" s="44">
        <f>ROUND(AS15*(1+取值表!$D$8)*取值表!$H$8,0)</f>
        <v>112589</v>
      </c>
      <c r="AU15" s="44">
        <f t="shared" ref="AU15:AW15" si="191">AT15</f>
        <v>112589</v>
      </c>
      <c r="AV15" s="44">
        <f t="shared" si="191"/>
        <v>112589</v>
      </c>
      <c r="AW15" s="44">
        <f t="shared" si="191"/>
        <v>112589</v>
      </c>
      <c r="AX15" s="44">
        <f>ROUND(AW15*(1+取值表!$D$8)*取值表!$H$8,0)</f>
        <v>113364</v>
      </c>
      <c r="AY15" s="44">
        <f t="shared" ref="AY15:BA15" si="192">AX15</f>
        <v>113364</v>
      </c>
      <c r="AZ15" s="44">
        <f t="shared" si="192"/>
        <v>113364</v>
      </c>
      <c r="BA15" s="44">
        <f t="shared" si="192"/>
        <v>113364</v>
      </c>
      <c r="BB15" s="44">
        <f>ROUND(BA15*(1+取值表!$D$8)*取值表!$H$8,0)</f>
        <v>114144</v>
      </c>
      <c r="BC15" s="44">
        <f t="shared" ref="BC15:BE15" si="193">BB15</f>
        <v>114144</v>
      </c>
      <c r="BD15" s="44">
        <f t="shared" si="193"/>
        <v>114144</v>
      </c>
      <c r="BE15" s="44">
        <f t="shared" si="193"/>
        <v>114144</v>
      </c>
      <c r="BF15" s="44">
        <f>ROUND(BE15*(1+取值表!$D$8)*取值表!$H$8,0)</f>
        <v>114930</v>
      </c>
      <c r="BG15" s="44">
        <f t="shared" ref="BG15:BI15" si="194">BF15</f>
        <v>114930</v>
      </c>
      <c r="BH15" s="44">
        <f t="shared" si="194"/>
        <v>114930</v>
      </c>
      <c r="BI15" s="44">
        <f t="shared" si="194"/>
        <v>114930</v>
      </c>
      <c r="BJ15" s="44">
        <f>ROUND(BI15*(1+取值表!$D$8)*取值表!$H$8,0)</f>
        <v>115721</v>
      </c>
      <c r="BK15" s="44">
        <f t="shared" ref="BK15:BM15" si="195">BJ15</f>
        <v>115721</v>
      </c>
      <c r="BL15" s="44">
        <f t="shared" si="195"/>
        <v>115721</v>
      </c>
      <c r="BM15" s="44">
        <f t="shared" si="195"/>
        <v>115721</v>
      </c>
      <c r="BN15" s="44">
        <f>ROUND(BM15*(1+取值表!$D$8)*取值表!$H$8,0)</f>
        <v>116517</v>
      </c>
      <c r="BO15" s="44">
        <f t="shared" ref="BO15:BQ15" si="196">BN15</f>
        <v>116517</v>
      </c>
      <c r="BP15" s="44">
        <f t="shared" si="196"/>
        <v>116517</v>
      </c>
      <c r="BQ15" s="44">
        <f t="shared" si="196"/>
        <v>116517</v>
      </c>
      <c r="BR15" s="44">
        <f>ROUND(BQ15*(1+取值表!$D$8)*取值表!$H$8,0)</f>
        <v>117319</v>
      </c>
      <c r="BS15" s="44">
        <f t="shared" ref="BS15:BU15" si="197">BR15</f>
        <v>117319</v>
      </c>
      <c r="BT15" s="44">
        <f t="shared" si="197"/>
        <v>117319</v>
      </c>
      <c r="BU15" s="44">
        <f t="shared" si="197"/>
        <v>117319</v>
      </c>
      <c r="BV15" s="44">
        <f>ROUND(BU15*(1+取值表!$D$8)*取值表!$H$8,0)</f>
        <v>118126</v>
      </c>
      <c r="BW15" s="44">
        <f t="shared" ref="BW15:BY15" si="198">BV15</f>
        <v>118126</v>
      </c>
      <c r="BX15" s="44">
        <f t="shared" si="198"/>
        <v>118126</v>
      </c>
      <c r="BY15" s="44">
        <f t="shared" si="198"/>
        <v>118126</v>
      </c>
      <c r="BZ15" s="44">
        <f>ROUND(BY15*(1+取值表!$D$8)*取值表!$H$8,0)</f>
        <v>118939</v>
      </c>
      <c r="CA15" s="44">
        <f t="shared" ref="CA15:CC15" si="199">BZ15</f>
        <v>118939</v>
      </c>
      <c r="CB15" s="44">
        <f t="shared" si="199"/>
        <v>118939</v>
      </c>
      <c r="CC15" s="44">
        <f t="shared" si="199"/>
        <v>118939</v>
      </c>
      <c r="CD15" s="44">
        <f>ROUND(CC15*(1+取值表!$D$8)*取值表!$H$8,0)</f>
        <v>119758</v>
      </c>
      <c r="CE15" s="44">
        <f t="shared" ref="CE15:CG15" si="200">CD15</f>
        <v>119758</v>
      </c>
      <c r="CF15" s="44">
        <f t="shared" si="200"/>
        <v>119758</v>
      </c>
      <c r="CG15" s="44">
        <f t="shared" si="200"/>
        <v>119758</v>
      </c>
      <c r="CH15" s="44">
        <f>ROUND(CG15*(1+取值表!$D$8)*取值表!$H$8,0)</f>
        <v>120582</v>
      </c>
      <c r="CI15" s="44">
        <f t="shared" ref="CI15:CK15" si="201">CH15</f>
        <v>120582</v>
      </c>
      <c r="CJ15" s="44">
        <f t="shared" si="201"/>
        <v>120582</v>
      </c>
      <c r="CK15" s="44">
        <f t="shared" si="201"/>
        <v>120582</v>
      </c>
      <c r="CL15" s="44">
        <f>ROUND(CK15*(1+取值表!$D$8)*取值表!$H$8,0)</f>
        <v>121412</v>
      </c>
      <c r="CM15" s="44">
        <f t="shared" ref="CM15:CO15" si="202">CL15</f>
        <v>121412</v>
      </c>
      <c r="CN15" s="44">
        <f t="shared" si="202"/>
        <v>121412</v>
      </c>
      <c r="CO15" s="44">
        <f t="shared" si="202"/>
        <v>121412</v>
      </c>
      <c r="CP15" s="44">
        <f>ROUND(CO15*(1+取值表!$D$8)*取值表!$H$8,0)</f>
        <v>122248</v>
      </c>
      <c r="CQ15" s="44">
        <f t="shared" ref="CQ15" si="203">CP15</f>
        <v>122248</v>
      </c>
      <c r="CR15" s="44">
        <f t="shared" ref="CR15" si="204">CQ15</f>
        <v>122248</v>
      </c>
      <c r="CS15" s="44">
        <f t="shared" ref="CS15" si="205">CR15</f>
        <v>122248</v>
      </c>
      <c r="CT15" s="44">
        <f>ROUND(CS15*(1+取值表!$D$8)*取值表!$H$8,0)</f>
        <v>123089</v>
      </c>
      <c r="CU15" s="44">
        <f t="shared" ref="CU15" si="206">CT15</f>
        <v>123089</v>
      </c>
      <c r="CV15" s="44">
        <f t="shared" ref="CV15" si="207">CU15</f>
        <v>123089</v>
      </c>
      <c r="CW15" s="44">
        <f t="shared" ref="CW15" si="208">CV15</f>
        <v>123089</v>
      </c>
      <c r="CX15" s="44">
        <f>ROUND(CW15*(1+取值表!$D$8)*取值表!$H$8,0)</f>
        <v>123936</v>
      </c>
      <c r="CY15" s="44">
        <f t="shared" ref="CY15" si="209">CX15</f>
        <v>123936</v>
      </c>
      <c r="CZ15" s="44">
        <f t="shared" ref="CZ15" si="210">CY15</f>
        <v>123936</v>
      </c>
      <c r="DA15" s="44">
        <f t="shared" ref="DA15" si="211">CZ15</f>
        <v>123936</v>
      </c>
      <c r="DB15" s="44">
        <f>ROUND(DA15*(1+取值表!$D$8)*取值表!$H$8,0)</f>
        <v>124789</v>
      </c>
      <c r="DC15" s="44">
        <f t="shared" ref="DC15" si="212">DB15</f>
        <v>124789</v>
      </c>
      <c r="DD15" s="44">
        <f t="shared" ref="DD15" si="213">DC15</f>
        <v>124789</v>
      </c>
      <c r="DE15" s="44">
        <f t="shared" ref="DE15" si="214">DD15</f>
        <v>124789</v>
      </c>
      <c r="DF15" s="45">
        <f t="shared" si="30"/>
        <v>11507024</v>
      </c>
    </row>
    <row r="16" spans="1:110" s="40" customFormat="1" ht="12" customHeight="1">
      <c r="A16" s="448"/>
      <c r="B16" s="518"/>
      <c r="C16" s="450"/>
      <c r="D16" s="451"/>
      <c r="E16" s="452"/>
      <c r="F16" s="446"/>
      <c r="G16" s="446"/>
      <c r="H16" s="447"/>
      <c r="I16" s="41"/>
      <c r="J16" s="42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5">
        <f t="shared" si="30"/>
        <v>0</v>
      </c>
    </row>
    <row r="17" spans="1:110" s="40" customFormat="1" ht="12" customHeight="1">
      <c r="A17" s="448">
        <v>8</v>
      </c>
      <c r="B17" s="518" t="s">
        <v>50</v>
      </c>
      <c r="C17" s="450" t="s">
        <v>724</v>
      </c>
      <c r="D17" s="451" t="s">
        <v>51</v>
      </c>
      <c r="E17" s="452" t="s">
        <v>443</v>
      </c>
      <c r="F17" s="446">
        <v>153</v>
      </c>
      <c r="G17" s="446">
        <v>11.9</v>
      </c>
      <c r="H17" s="447">
        <f>F17*G17*365</f>
        <v>664555.5</v>
      </c>
      <c r="I17" s="41">
        <v>73529.259999999995</v>
      </c>
      <c r="J17" s="42">
        <f>ROUND(F17*G17*365/4,0)</f>
        <v>166139</v>
      </c>
      <c r="K17" s="43">
        <f>J17</f>
        <v>166139</v>
      </c>
      <c r="L17" s="44">
        <f>K17</f>
        <v>166139</v>
      </c>
      <c r="M17" s="44">
        <f>L17</f>
        <v>166139</v>
      </c>
      <c r="N17" s="44">
        <f>ROUND(M17*(1+取值表!$D$8)*取值表!$H$8,0)</f>
        <v>167282</v>
      </c>
      <c r="O17" s="44">
        <f>N17</f>
        <v>167282</v>
      </c>
      <c r="P17" s="44">
        <f>O17</f>
        <v>167282</v>
      </c>
      <c r="Q17" s="44">
        <f>P17</f>
        <v>167282</v>
      </c>
      <c r="R17" s="44">
        <f>ROUND(Q17*(1+取值表!$D$8)*取值表!$H$8,0)</f>
        <v>168433</v>
      </c>
      <c r="S17" s="44">
        <f t="shared" ref="S17:U17" si="215">R17</f>
        <v>168433</v>
      </c>
      <c r="T17" s="44">
        <f t="shared" si="215"/>
        <v>168433</v>
      </c>
      <c r="U17" s="44">
        <f t="shared" si="215"/>
        <v>168433</v>
      </c>
      <c r="V17" s="44">
        <f>ROUND(U17*(1+取值表!$D$8)*取值表!$H$8,0)</f>
        <v>169592</v>
      </c>
      <c r="W17" s="44">
        <f t="shared" ref="W17:Y17" si="216">V17</f>
        <v>169592</v>
      </c>
      <c r="X17" s="44">
        <f t="shared" si="216"/>
        <v>169592</v>
      </c>
      <c r="Y17" s="44">
        <f t="shared" si="216"/>
        <v>169592</v>
      </c>
      <c r="Z17" s="44">
        <f>ROUND(Y17*(1+取值表!$D$8)*取值表!$H$8,0)</f>
        <v>170759</v>
      </c>
      <c r="AA17" s="44">
        <f t="shared" ref="AA17:AC17" si="217">Z17</f>
        <v>170759</v>
      </c>
      <c r="AB17" s="44">
        <f t="shared" si="217"/>
        <v>170759</v>
      </c>
      <c r="AC17" s="44">
        <f t="shared" si="217"/>
        <v>170759</v>
      </c>
      <c r="AD17" s="44">
        <f>ROUND(AC17*(1+取值表!$D$8)*取值表!$H$8,0)</f>
        <v>171934</v>
      </c>
      <c r="AE17" s="44">
        <f t="shared" ref="AE17:AG17" si="218">AD17</f>
        <v>171934</v>
      </c>
      <c r="AF17" s="44">
        <f t="shared" si="218"/>
        <v>171934</v>
      </c>
      <c r="AG17" s="44">
        <f t="shared" si="218"/>
        <v>171934</v>
      </c>
      <c r="AH17" s="44">
        <f>ROUND(AG17*(1+取值表!$D$8)*取值表!$H$8,0)</f>
        <v>173117</v>
      </c>
      <c r="AI17" s="44">
        <f t="shared" ref="AI17:AK17" si="219">AH17</f>
        <v>173117</v>
      </c>
      <c r="AJ17" s="44">
        <f t="shared" si="219"/>
        <v>173117</v>
      </c>
      <c r="AK17" s="44">
        <f t="shared" si="219"/>
        <v>173117</v>
      </c>
      <c r="AL17" s="44">
        <f>ROUND(AK17*(1+取值表!$D$8)*取值表!$H$8,0)</f>
        <v>174308</v>
      </c>
      <c r="AM17" s="44">
        <f t="shared" ref="AM17:AO17" si="220">AL17</f>
        <v>174308</v>
      </c>
      <c r="AN17" s="44">
        <f t="shared" si="220"/>
        <v>174308</v>
      </c>
      <c r="AO17" s="44">
        <f t="shared" si="220"/>
        <v>174308</v>
      </c>
      <c r="AP17" s="44">
        <f>ROUND(AO17*(1+取值表!$D$8)*取值表!$H$8,0)</f>
        <v>175508</v>
      </c>
      <c r="AQ17" s="44">
        <f t="shared" ref="AQ17:AS17" si="221">AP17</f>
        <v>175508</v>
      </c>
      <c r="AR17" s="44">
        <f t="shared" si="221"/>
        <v>175508</v>
      </c>
      <c r="AS17" s="44">
        <f t="shared" si="221"/>
        <v>175508</v>
      </c>
      <c r="AT17" s="44">
        <f>ROUND(AS17*(1+取值表!$D$8)*取值表!$H$8,0)</f>
        <v>176716</v>
      </c>
      <c r="AU17" s="44">
        <f t="shared" ref="AU17:AW17" si="222">AT17</f>
        <v>176716</v>
      </c>
      <c r="AV17" s="44">
        <f t="shared" si="222"/>
        <v>176716</v>
      </c>
      <c r="AW17" s="44">
        <f t="shared" si="222"/>
        <v>176716</v>
      </c>
      <c r="AX17" s="44">
        <f>ROUND(AW17*(1+取值表!$D$8)*取值表!$H$8,0)</f>
        <v>177932</v>
      </c>
      <c r="AY17" s="44">
        <f t="shared" ref="AY17:BA17" si="223">AX17</f>
        <v>177932</v>
      </c>
      <c r="AZ17" s="44">
        <f t="shared" si="223"/>
        <v>177932</v>
      </c>
      <c r="BA17" s="44">
        <f t="shared" si="223"/>
        <v>177932</v>
      </c>
      <c r="BB17" s="44">
        <f>ROUND(BA17*(1+取值表!$D$8)*取值表!$H$8,0)</f>
        <v>179156</v>
      </c>
      <c r="BC17" s="44">
        <f t="shared" ref="BC17:BE17" si="224">BB17</f>
        <v>179156</v>
      </c>
      <c r="BD17" s="44">
        <f t="shared" si="224"/>
        <v>179156</v>
      </c>
      <c r="BE17" s="44">
        <f t="shared" si="224"/>
        <v>179156</v>
      </c>
      <c r="BF17" s="44">
        <f>ROUND(BE17*(1+取值表!$D$8)*取值表!$H$8,0)</f>
        <v>180389</v>
      </c>
      <c r="BG17" s="44">
        <f t="shared" ref="BG17:BI17" si="225">BF17</f>
        <v>180389</v>
      </c>
      <c r="BH17" s="44">
        <f t="shared" si="225"/>
        <v>180389</v>
      </c>
      <c r="BI17" s="44">
        <f t="shared" si="225"/>
        <v>180389</v>
      </c>
      <c r="BJ17" s="44">
        <f>ROUND(BI17*(1+取值表!$D$8)*取值表!$H$8,0)</f>
        <v>181630</v>
      </c>
      <c r="BK17" s="44">
        <f t="shared" ref="BK17:BM17" si="226">BJ17</f>
        <v>181630</v>
      </c>
      <c r="BL17" s="44">
        <f t="shared" si="226"/>
        <v>181630</v>
      </c>
      <c r="BM17" s="44">
        <f t="shared" si="226"/>
        <v>181630</v>
      </c>
      <c r="BN17" s="44">
        <f>ROUND(BM17*(1+取值表!$D$8)*取值表!$H$8,0)</f>
        <v>182880</v>
      </c>
      <c r="BO17" s="44">
        <f t="shared" ref="BO17:BQ17" si="227">BN17</f>
        <v>182880</v>
      </c>
      <c r="BP17" s="44">
        <f t="shared" si="227"/>
        <v>182880</v>
      </c>
      <c r="BQ17" s="44">
        <f t="shared" si="227"/>
        <v>182880</v>
      </c>
      <c r="BR17" s="44">
        <f>ROUND(BQ17*(1+取值表!$D$8)*取值表!$H$8,0)</f>
        <v>184139</v>
      </c>
      <c r="BS17" s="44">
        <f t="shared" ref="BS17:BU17" si="228">BR17</f>
        <v>184139</v>
      </c>
      <c r="BT17" s="44">
        <f t="shared" si="228"/>
        <v>184139</v>
      </c>
      <c r="BU17" s="44">
        <f t="shared" si="228"/>
        <v>184139</v>
      </c>
      <c r="BV17" s="44">
        <f>ROUND(BU17*(1+取值表!$D$8)*取值表!$H$8,0)</f>
        <v>185406</v>
      </c>
      <c r="BW17" s="44">
        <f t="shared" ref="BW17:BY17" si="229">BV17</f>
        <v>185406</v>
      </c>
      <c r="BX17" s="44">
        <f t="shared" si="229"/>
        <v>185406</v>
      </c>
      <c r="BY17" s="44">
        <f t="shared" si="229"/>
        <v>185406</v>
      </c>
      <c r="BZ17" s="44">
        <f>ROUND(BY17*(1+取值表!$D$8)*取值表!$H$8,0)</f>
        <v>186682</v>
      </c>
      <c r="CA17" s="44">
        <f t="shared" ref="CA17:CC17" si="230">BZ17</f>
        <v>186682</v>
      </c>
      <c r="CB17" s="44">
        <f t="shared" si="230"/>
        <v>186682</v>
      </c>
      <c r="CC17" s="44">
        <f t="shared" si="230"/>
        <v>186682</v>
      </c>
      <c r="CD17" s="44">
        <f>ROUND(CC17*(1+取值表!$D$8)*取值表!$H$8,0)</f>
        <v>187967</v>
      </c>
      <c r="CE17" s="44">
        <f t="shared" ref="CE17:CG17" si="231">CD17</f>
        <v>187967</v>
      </c>
      <c r="CF17" s="44">
        <f t="shared" si="231"/>
        <v>187967</v>
      </c>
      <c r="CG17" s="44">
        <f t="shared" si="231"/>
        <v>187967</v>
      </c>
      <c r="CH17" s="44">
        <f>ROUND(CG17*(1+取值表!$D$8)*取值表!$H$8,0)</f>
        <v>189261</v>
      </c>
      <c r="CI17" s="44">
        <f t="shared" ref="CI17:CK17" si="232">CH17</f>
        <v>189261</v>
      </c>
      <c r="CJ17" s="44">
        <f t="shared" si="232"/>
        <v>189261</v>
      </c>
      <c r="CK17" s="44">
        <f t="shared" si="232"/>
        <v>189261</v>
      </c>
      <c r="CL17" s="44">
        <f>ROUND(CK17*(1+取值表!$D$8)*取值表!$H$8,0)</f>
        <v>190563</v>
      </c>
      <c r="CM17" s="44">
        <f t="shared" ref="CM17:CO17" si="233">CL17</f>
        <v>190563</v>
      </c>
      <c r="CN17" s="44">
        <f t="shared" si="233"/>
        <v>190563</v>
      </c>
      <c r="CO17" s="44">
        <f t="shared" si="233"/>
        <v>190563</v>
      </c>
      <c r="CP17" s="44">
        <f>ROUND(CO17*(1+取值表!$D$8)*取值表!$H$8,0)</f>
        <v>191874</v>
      </c>
      <c r="CQ17" s="44">
        <f t="shared" ref="CQ17" si="234">CP17</f>
        <v>191874</v>
      </c>
      <c r="CR17" s="44">
        <f t="shared" ref="CR17" si="235">CQ17</f>
        <v>191874</v>
      </c>
      <c r="CS17" s="44">
        <f t="shared" ref="CS17" si="236">CR17</f>
        <v>191874</v>
      </c>
      <c r="CT17" s="44">
        <f>ROUND(CS17*(1+取值表!$D$8)*取值表!$H$8,0)</f>
        <v>193194</v>
      </c>
      <c r="CU17" s="44">
        <f t="shared" ref="CU17" si="237">CT17</f>
        <v>193194</v>
      </c>
      <c r="CV17" s="44">
        <f t="shared" ref="CV17" si="238">CU17</f>
        <v>193194</v>
      </c>
      <c r="CW17" s="44">
        <f t="shared" ref="CW17" si="239">CV17</f>
        <v>193194</v>
      </c>
      <c r="CX17" s="44">
        <f>ROUND(CW17*(1+取值表!$D$8)*取值表!$H$8,0)</f>
        <v>194524</v>
      </c>
      <c r="CY17" s="44">
        <f t="shared" ref="CY17" si="240">CX17</f>
        <v>194524</v>
      </c>
      <c r="CZ17" s="44">
        <f t="shared" ref="CZ17" si="241">CY17</f>
        <v>194524</v>
      </c>
      <c r="DA17" s="44">
        <f t="shared" ref="DA17" si="242">CZ17</f>
        <v>194524</v>
      </c>
      <c r="DB17" s="44">
        <f>ROUND(DA17*(1+取值表!$D$8)*取值表!$H$8,0)</f>
        <v>195863</v>
      </c>
      <c r="DC17" s="44">
        <f t="shared" ref="DC17" si="243">DB17</f>
        <v>195863</v>
      </c>
      <c r="DD17" s="44">
        <f t="shared" ref="DD17" si="244">DC17</f>
        <v>195863</v>
      </c>
      <c r="DE17" s="44">
        <f t="shared" ref="DE17" si="245">DD17</f>
        <v>195863</v>
      </c>
      <c r="DF17" s="45">
        <f t="shared" si="30"/>
        <v>18060992</v>
      </c>
    </row>
    <row r="18" spans="1:110" s="40" customFormat="1" ht="12" customHeight="1">
      <c r="A18" s="448"/>
      <c r="B18" s="518"/>
      <c r="C18" s="450"/>
      <c r="D18" s="451"/>
      <c r="E18" s="452"/>
      <c r="F18" s="446"/>
      <c r="G18" s="446"/>
      <c r="H18" s="447"/>
      <c r="I18" s="41"/>
      <c r="J18" s="42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5">
        <f t="shared" si="30"/>
        <v>0</v>
      </c>
    </row>
    <row r="19" spans="1:110" s="40" customFormat="1" ht="12">
      <c r="A19" s="448">
        <v>9</v>
      </c>
      <c r="B19" s="518" t="s">
        <v>52</v>
      </c>
      <c r="C19" s="450" t="s">
        <v>42</v>
      </c>
      <c r="D19" s="451" t="s">
        <v>448</v>
      </c>
      <c r="E19" s="452" t="s">
        <v>443</v>
      </c>
      <c r="F19" s="446">
        <v>12.9</v>
      </c>
      <c r="G19" s="446">
        <v>44</v>
      </c>
      <c r="H19" s="447">
        <f>F19*G19*365</f>
        <v>207174</v>
      </c>
      <c r="I19" s="41">
        <v>51793.5</v>
      </c>
      <c r="J19" s="43">
        <f>ROUND(F19*G19*365/4,0)</f>
        <v>51794</v>
      </c>
      <c r="K19" s="44">
        <f>J19</f>
        <v>51794</v>
      </c>
      <c r="L19" s="44">
        <f>K19</f>
        <v>51794</v>
      </c>
      <c r="M19" s="44">
        <f>L19</f>
        <v>51794</v>
      </c>
      <c r="N19" s="44">
        <f>ROUND(M19*(1+取值表!$D$8)*取值表!$H$8,0)</f>
        <v>52150</v>
      </c>
      <c r="O19" s="44">
        <f>N19</f>
        <v>52150</v>
      </c>
      <c r="P19" s="44">
        <f>O19</f>
        <v>52150</v>
      </c>
      <c r="Q19" s="44">
        <f>P19</f>
        <v>52150</v>
      </c>
      <c r="R19" s="44">
        <f>ROUND(Q19*(1+取值表!$D$8)*取值表!$H$8,0)</f>
        <v>52509</v>
      </c>
      <c r="S19" s="44">
        <f t="shared" ref="S19:U19" si="246">R19</f>
        <v>52509</v>
      </c>
      <c r="T19" s="44">
        <f t="shared" si="246"/>
        <v>52509</v>
      </c>
      <c r="U19" s="44">
        <f t="shared" si="246"/>
        <v>52509</v>
      </c>
      <c r="V19" s="44">
        <f>ROUND(U19*(1+取值表!$D$8)*取值表!$H$8,0)</f>
        <v>52870</v>
      </c>
      <c r="W19" s="44">
        <f t="shared" ref="W19:Y19" si="247">V19</f>
        <v>52870</v>
      </c>
      <c r="X19" s="44">
        <f t="shared" si="247"/>
        <v>52870</v>
      </c>
      <c r="Y19" s="44">
        <f t="shared" si="247"/>
        <v>52870</v>
      </c>
      <c r="Z19" s="44">
        <f>ROUND(Y19*(1+取值表!$D$8)*取值表!$H$8,0)</f>
        <v>53234</v>
      </c>
      <c r="AA19" s="44">
        <f t="shared" ref="AA19:AC19" si="248">Z19</f>
        <v>53234</v>
      </c>
      <c r="AB19" s="44">
        <f t="shared" si="248"/>
        <v>53234</v>
      </c>
      <c r="AC19" s="44">
        <f t="shared" si="248"/>
        <v>53234</v>
      </c>
      <c r="AD19" s="44">
        <f>ROUND(AC19*(1+取值表!$D$8)*取值表!$H$8,0)</f>
        <v>53600</v>
      </c>
      <c r="AE19" s="44">
        <f t="shared" ref="AE19:AG19" si="249">AD19</f>
        <v>53600</v>
      </c>
      <c r="AF19" s="44">
        <f t="shared" si="249"/>
        <v>53600</v>
      </c>
      <c r="AG19" s="44">
        <f t="shared" si="249"/>
        <v>53600</v>
      </c>
      <c r="AH19" s="44">
        <f>ROUND(AG19*(1+取值表!$D$8)*取值表!$H$8,0)</f>
        <v>53969</v>
      </c>
      <c r="AI19" s="44">
        <f t="shared" ref="AI19:AK19" si="250">AH19</f>
        <v>53969</v>
      </c>
      <c r="AJ19" s="44">
        <f t="shared" si="250"/>
        <v>53969</v>
      </c>
      <c r="AK19" s="44">
        <f t="shared" si="250"/>
        <v>53969</v>
      </c>
      <c r="AL19" s="44">
        <f>ROUND(AK19*(1+取值表!$D$8)*取值表!$H$8,0)</f>
        <v>54340</v>
      </c>
      <c r="AM19" s="44">
        <f t="shared" ref="AM19:AO19" si="251">AL19</f>
        <v>54340</v>
      </c>
      <c r="AN19" s="44">
        <f t="shared" si="251"/>
        <v>54340</v>
      </c>
      <c r="AO19" s="44">
        <f t="shared" si="251"/>
        <v>54340</v>
      </c>
      <c r="AP19" s="44">
        <f>ROUND(AO19*(1+取值表!$D$8)*取值表!$H$8,0)</f>
        <v>54714</v>
      </c>
      <c r="AQ19" s="44">
        <f t="shared" ref="AQ19:AS19" si="252">AP19</f>
        <v>54714</v>
      </c>
      <c r="AR19" s="44">
        <f t="shared" si="252"/>
        <v>54714</v>
      </c>
      <c r="AS19" s="44">
        <f t="shared" si="252"/>
        <v>54714</v>
      </c>
      <c r="AT19" s="44">
        <f>ROUND(AS19*(1+取值表!$D$8)*取值表!$H$8,0)</f>
        <v>55091</v>
      </c>
      <c r="AU19" s="44">
        <f t="shared" ref="AU19:AW19" si="253">AT19</f>
        <v>55091</v>
      </c>
      <c r="AV19" s="44">
        <f t="shared" si="253"/>
        <v>55091</v>
      </c>
      <c r="AW19" s="44">
        <f t="shared" si="253"/>
        <v>55091</v>
      </c>
      <c r="AX19" s="44">
        <f>ROUND(AW19*(1+取值表!$D$8)*取值表!$H$8,0)</f>
        <v>55470</v>
      </c>
      <c r="AY19" s="44">
        <f t="shared" ref="AY19:BA19" si="254">AX19</f>
        <v>55470</v>
      </c>
      <c r="AZ19" s="44">
        <f t="shared" si="254"/>
        <v>55470</v>
      </c>
      <c r="BA19" s="44">
        <f t="shared" si="254"/>
        <v>55470</v>
      </c>
      <c r="BB19" s="44">
        <f>ROUND(BA19*(1+取值表!$D$8)*取值表!$H$8,0)</f>
        <v>55852</v>
      </c>
      <c r="BC19" s="44">
        <f t="shared" ref="BC19:BE19" si="255">BB19</f>
        <v>55852</v>
      </c>
      <c r="BD19" s="44">
        <f t="shared" si="255"/>
        <v>55852</v>
      </c>
      <c r="BE19" s="44">
        <f t="shared" si="255"/>
        <v>55852</v>
      </c>
      <c r="BF19" s="44">
        <f>ROUND(BE19*(1+取值表!$D$8)*取值表!$H$8,0)</f>
        <v>56236</v>
      </c>
      <c r="BG19" s="44">
        <f t="shared" ref="BG19:BI19" si="256">BF19</f>
        <v>56236</v>
      </c>
      <c r="BH19" s="44">
        <f t="shared" si="256"/>
        <v>56236</v>
      </c>
      <c r="BI19" s="44">
        <f t="shared" si="256"/>
        <v>56236</v>
      </c>
      <c r="BJ19" s="44">
        <f>ROUND(BI19*(1+取值表!$D$8)*取值表!$H$8,0)</f>
        <v>56623</v>
      </c>
      <c r="BK19" s="44">
        <f t="shared" ref="BK19:BM19" si="257">BJ19</f>
        <v>56623</v>
      </c>
      <c r="BL19" s="44">
        <f t="shared" si="257"/>
        <v>56623</v>
      </c>
      <c r="BM19" s="44">
        <f t="shared" si="257"/>
        <v>56623</v>
      </c>
      <c r="BN19" s="44">
        <f>ROUND(BM19*(1+取值表!$D$8)*取值表!$H$8,0)</f>
        <v>57013</v>
      </c>
      <c r="BO19" s="44">
        <f t="shared" ref="BO19:BQ19" si="258">BN19</f>
        <v>57013</v>
      </c>
      <c r="BP19" s="44">
        <f t="shared" si="258"/>
        <v>57013</v>
      </c>
      <c r="BQ19" s="44">
        <f t="shared" si="258"/>
        <v>57013</v>
      </c>
      <c r="BR19" s="44">
        <f>ROUND(BQ19*(1+取值表!$D$8)*取值表!$H$8,0)</f>
        <v>57405</v>
      </c>
      <c r="BS19" s="44">
        <f t="shared" ref="BS19:BU19" si="259">BR19</f>
        <v>57405</v>
      </c>
      <c r="BT19" s="44">
        <f t="shared" si="259"/>
        <v>57405</v>
      </c>
      <c r="BU19" s="44">
        <f t="shared" si="259"/>
        <v>57405</v>
      </c>
      <c r="BV19" s="44">
        <f>ROUND(BU19*(1+取值表!$D$8)*取值表!$H$8,0)</f>
        <v>57800</v>
      </c>
      <c r="BW19" s="44">
        <f t="shared" ref="BW19:BY19" si="260">BV19</f>
        <v>57800</v>
      </c>
      <c r="BX19" s="44">
        <f t="shared" si="260"/>
        <v>57800</v>
      </c>
      <c r="BY19" s="44">
        <f t="shared" si="260"/>
        <v>57800</v>
      </c>
      <c r="BZ19" s="44">
        <f>ROUND(BY19*(1+取值表!$D$8)*取值表!$H$8,0)</f>
        <v>58198</v>
      </c>
      <c r="CA19" s="44">
        <f t="shared" ref="CA19:CC19" si="261">BZ19</f>
        <v>58198</v>
      </c>
      <c r="CB19" s="44">
        <f t="shared" si="261"/>
        <v>58198</v>
      </c>
      <c r="CC19" s="44">
        <f t="shared" si="261"/>
        <v>58198</v>
      </c>
      <c r="CD19" s="44">
        <f>ROUND(CC19*(1+取值表!$D$8)*取值表!$H$8,0)</f>
        <v>58599</v>
      </c>
      <c r="CE19" s="44">
        <f t="shared" ref="CE19:CG19" si="262">CD19</f>
        <v>58599</v>
      </c>
      <c r="CF19" s="44">
        <f t="shared" si="262"/>
        <v>58599</v>
      </c>
      <c r="CG19" s="44">
        <f t="shared" si="262"/>
        <v>58599</v>
      </c>
      <c r="CH19" s="44">
        <f>ROUND(CG19*(1+取值表!$D$8)*取值表!$H$8,0)</f>
        <v>59002</v>
      </c>
      <c r="CI19" s="44">
        <f t="shared" ref="CI19:CK19" si="263">CH19</f>
        <v>59002</v>
      </c>
      <c r="CJ19" s="44">
        <f t="shared" si="263"/>
        <v>59002</v>
      </c>
      <c r="CK19" s="44">
        <f t="shared" si="263"/>
        <v>59002</v>
      </c>
      <c r="CL19" s="44">
        <f>ROUND(CK19*(1+取值表!$D$8)*取值表!$H$8,0)</f>
        <v>59408</v>
      </c>
      <c r="CM19" s="44">
        <f t="shared" ref="CM19:CO19" si="264">CL19</f>
        <v>59408</v>
      </c>
      <c r="CN19" s="44">
        <f t="shared" si="264"/>
        <v>59408</v>
      </c>
      <c r="CO19" s="44">
        <f t="shared" si="264"/>
        <v>59408</v>
      </c>
      <c r="CP19" s="44">
        <f>ROUND(CO19*(1+取值表!$D$8)*取值表!$H$8,0)</f>
        <v>59817</v>
      </c>
      <c r="CQ19" s="44">
        <f t="shared" ref="CQ19" si="265">CP19</f>
        <v>59817</v>
      </c>
      <c r="CR19" s="44">
        <f t="shared" ref="CR19" si="266">CQ19</f>
        <v>59817</v>
      </c>
      <c r="CS19" s="44">
        <f t="shared" ref="CS19" si="267">CR19</f>
        <v>59817</v>
      </c>
      <c r="CT19" s="44">
        <f>ROUND(CS19*(1+取值表!$D$8)*取值表!$H$8,0)</f>
        <v>60229</v>
      </c>
      <c r="CU19" s="44">
        <f t="shared" ref="CU19" si="268">CT19</f>
        <v>60229</v>
      </c>
      <c r="CV19" s="44">
        <f t="shared" ref="CV19" si="269">CU19</f>
        <v>60229</v>
      </c>
      <c r="CW19" s="44">
        <f t="shared" ref="CW19" si="270">CV19</f>
        <v>60229</v>
      </c>
      <c r="CX19" s="44">
        <f>ROUND(CW19*(1+取值表!$D$8)*取值表!$H$8,0)</f>
        <v>60643</v>
      </c>
      <c r="CY19" s="44">
        <f t="shared" ref="CY19" si="271">CX19</f>
        <v>60643</v>
      </c>
      <c r="CZ19" s="44">
        <f t="shared" ref="CZ19" si="272">CY19</f>
        <v>60643</v>
      </c>
      <c r="DA19" s="44">
        <f t="shared" ref="DA19" si="273">CZ19</f>
        <v>60643</v>
      </c>
      <c r="DB19" s="44">
        <f>ROUND(DA19*(1+取值表!$D$8)*取值表!$H$8,0)</f>
        <v>61060</v>
      </c>
      <c r="DC19" s="44">
        <f t="shared" ref="DC19" si="274">DB19</f>
        <v>61060</v>
      </c>
      <c r="DD19" s="44">
        <f t="shared" ref="DD19" si="275">DC19</f>
        <v>61060</v>
      </c>
      <c r="DE19" s="44">
        <f t="shared" ref="DE19" si="276">DD19</f>
        <v>61060</v>
      </c>
      <c r="DF19" s="45">
        <f t="shared" si="30"/>
        <v>5630504</v>
      </c>
    </row>
    <row r="20" spans="1:110" s="40" customFormat="1" ht="12">
      <c r="A20" s="448"/>
      <c r="B20" s="518"/>
      <c r="C20" s="450"/>
      <c r="D20" s="451"/>
      <c r="E20" s="452"/>
      <c r="F20" s="446"/>
      <c r="G20" s="446"/>
      <c r="H20" s="447"/>
      <c r="I20" s="41"/>
      <c r="J20" s="42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5">
        <f t="shared" si="30"/>
        <v>0</v>
      </c>
    </row>
    <row r="21" spans="1:110" s="40" customFormat="1" ht="12" customHeight="1">
      <c r="A21" s="448">
        <v>10</v>
      </c>
      <c r="B21" s="518" t="s">
        <v>53</v>
      </c>
      <c r="C21" s="450" t="s">
        <v>54</v>
      </c>
      <c r="D21" s="451" t="s">
        <v>51</v>
      </c>
      <c r="E21" s="452" t="s">
        <v>451</v>
      </c>
      <c r="F21" s="446">
        <v>430.19</v>
      </c>
      <c r="G21" s="446">
        <v>6.16</v>
      </c>
      <c r="H21" s="447">
        <f>F21*G21*365</f>
        <v>967239.19600000011</v>
      </c>
      <c r="I21" s="41">
        <v>161177.85999999999</v>
      </c>
      <c r="J21" s="42">
        <f>ROUND(F21*G21*365/4,0)</f>
        <v>241810</v>
      </c>
      <c r="K21" s="43">
        <f>J21</f>
        <v>241810</v>
      </c>
      <c r="L21" s="44">
        <f>K21</f>
        <v>241810</v>
      </c>
      <c r="M21" s="44">
        <f>L21</f>
        <v>241810</v>
      </c>
      <c r="N21" s="44">
        <f>ROUND(M21*(1+取值表!$D$8)*取值表!$H$8,0)</f>
        <v>243474</v>
      </c>
      <c r="O21" s="44">
        <f>N21</f>
        <v>243474</v>
      </c>
      <c r="P21" s="44">
        <f>O21</f>
        <v>243474</v>
      </c>
      <c r="Q21" s="44">
        <f>P21</f>
        <v>243474</v>
      </c>
      <c r="R21" s="44">
        <f>ROUND(Q21*(1+取值表!$D$8)*取值表!$H$8,0)</f>
        <v>245150</v>
      </c>
      <c r="S21" s="44">
        <f t="shared" ref="S21:U21" si="277">R21</f>
        <v>245150</v>
      </c>
      <c r="T21" s="44">
        <f t="shared" si="277"/>
        <v>245150</v>
      </c>
      <c r="U21" s="44">
        <f t="shared" si="277"/>
        <v>245150</v>
      </c>
      <c r="V21" s="44">
        <f>ROUND(U21*(1+取值表!$D$8)*取值表!$H$8,0)</f>
        <v>246837</v>
      </c>
      <c r="W21" s="44">
        <f t="shared" ref="W21:Y21" si="278">V21</f>
        <v>246837</v>
      </c>
      <c r="X21" s="44">
        <f t="shared" si="278"/>
        <v>246837</v>
      </c>
      <c r="Y21" s="44">
        <f t="shared" si="278"/>
        <v>246837</v>
      </c>
      <c r="Z21" s="44">
        <f>ROUND(Y21*(1+取值表!$D$8)*取值表!$H$8,0)</f>
        <v>248536</v>
      </c>
      <c r="AA21" s="44">
        <f t="shared" ref="AA21:AC21" si="279">Z21</f>
        <v>248536</v>
      </c>
      <c r="AB21" s="44">
        <f t="shared" si="279"/>
        <v>248536</v>
      </c>
      <c r="AC21" s="44">
        <f t="shared" si="279"/>
        <v>248536</v>
      </c>
      <c r="AD21" s="44">
        <f>ROUND(AC21*(1+取值表!$D$8)*取值表!$H$8,0)</f>
        <v>250246</v>
      </c>
      <c r="AE21" s="44">
        <f t="shared" ref="AE21:AG21" si="280">AD21</f>
        <v>250246</v>
      </c>
      <c r="AF21" s="44">
        <f t="shared" si="280"/>
        <v>250246</v>
      </c>
      <c r="AG21" s="44">
        <f t="shared" si="280"/>
        <v>250246</v>
      </c>
      <c r="AH21" s="44">
        <f>ROUND(AG21*(1+取值表!$D$8)*取值表!$H$8,0)</f>
        <v>251968</v>
      </c>
      <c r="AI21" s="44">
        <f t="shared" ref="AI21:AK21" si="281">AH21</f>
        <v>251968</v>
      </c>
      <c r="AJ21" s="44">
        <f t="shared" si="281"/>
        <v>251968</v>
      </c>
      <c r="AK21" s="44">
        <f t="shared" si="281"/>
        <v>251968</v>
      </c>
      <c r="AL21" s="44">
        <f>ROUND(AK21*(1+取值表!$D$8)*取值表!$H$8,0)</f>
        <v>253702</v>
      </c>
      <c r="AM21" s="44">
        <f t="shared" ref="AM21:AO21" si="282">AL21</f>
        <v>253702</v>
      </c>
      <c r="AN21" s="44">
        <f t="shared" si="282"/>
        <v>253702</v>
      </c>
      <c r="AO21" s="44">
        <f t="shared" si="282"/>
        <v>253702</v>
      </c>
      <c r="AP21" s="44">
        <f>ROUND(AO21*(1+取值表!$D$8)*取值表!$H$8,0)</f>
        <v>255448</v>
      </c>
      <c r="AQ21" s="44">
        <f t="shared" ref="AQ21:AS21" si="283">AP21</f>
        <v>255448</v>
      </c>
      <c r="AR21" s="44">
        <f t="shared" si="283"/>
        <v>255448</v>
      </c>
      <c r="AS21" s="44">
        <f t="shared" si="283"/>
        <v>255448</v>
      </c>
      <c r="AT21" s="44">
        <f>ROUND(AS21*(1+取值表!$D$8)*取值表!$H$8,0)</f>
        <v>257206</v>
      </c>
      <c r="AU21" s="44">
        <f t="shared" ref="AU21:AW21" si="284">AT21</f>
        <v>257206</v>
      </c>
      <c r="AV21" s="44">
        <f t="shared" si="284"/>
        <v>257206</v>
      </c>
      <c r="AW21" s="44">
        <f t="shared" si="284"/>
        <v>257206</v>
      </c>
      <c r="AX21" s="44">
        <f>ROUND(AW21*(1+取值表!$D$8)*取值表!$H$8,0)</f>
        <v>258976</v>
      </c>
      <c r="AY21" s="44">
        <f t="shared" ref="AY21:BA21" si="285">AX21</f>
        <v>258976</v>
      </c>
      <c r="AZ21" s="44">
        <f t="shared" si="285"/>
        <v>258976</v>
      </c>
      <c r="BA21" s="44">
        <f t="shared" si="285"/>
        <v>258976</v>
      </c>
      <c r="BB21" s="44">
        <f>ROUND(BA21*(1+取值表!$D$8)*取值表!$H$8,0)</f>
        <v>260758</v>
      </c>
      <c r="BC21" s="44">
        <f t="shared" ref="BC21:BE21" si="286">BB21</f>
        <v>260758</v>
      </c>
      <c r="BD21" s="44">
        <f t="shared" si="286"/>
        <v>260758</v>
      </c>
      <c r="BE21" s="44">
        <f t="shared" si="286"/>
        <v>260758</v>
      </c>
      <c r="BF21" s="44">
        <f>ROUND(BE21*(1+取值表!$D$8)*取值表!$H$8,0)</f>
        <v>262552</v>
      </c>
      <c r="BG21" s="44">
        <f t="shared" ref="BG21:BI21" si="287">BF21</f>
        <v>262552</v>
      </c>
      <c r="BH21" s="44">
        <f t="shared" si="287"/>
        <v>262552</v>
      </c>
      <c r="BI21" s="44">
        <f t="shared" si="287"/>
        <v>262552</v>
      </c>
      <c r="BJ21" s="44">
        <f>ROUND(BI21*(1+取值表!$D$8)*取值表!$H$8,0)</f>
        <v>264359</v>
      </c>
      <c r="BK21" s="44">
        <f t="shared" ref="BK21:BM21" si="288">BJ21</f>
        <v>264359</v>
      </c>
      <c r="BL21" s="44">
        <f t="shared" si="288"/>
        <v>264359</v>
      </c>
      <c r="BM21" s="44">
        <f t="shared" si="288"/>
        <v>264359</v>
      </c>
      <c r="BN21" s="44">
        <f>ROUND(BM21*(1+取值表!$D$8)*取值表!$H$8,0)</f>
        <v>266178</v>
      </c>
      <c r="BO21" s="44">
        <f t="shared" ref="BO21:BQ21" si="289">BN21</f>
        <v>266178</v>
      </c>
      <c r="BP21" s="44">
        <f t="shared" si="289"/>
        <v>266178</v>
      </c>
      <c r="BQ21" s="44">
        <f t="shared" si="289"/>
        <v>266178</v>
      </c>
      <c r="BR21" s="44">
        <f>ROUND(BQ21*(1+取值表!$D$8)*取值表!$H$8,0)</f>
        <v>268010</v>
      </c>
      <c r="BS21" s="44">
        <f t="shared" ref="BS21:BU21" si="290">BR21</f>
        <v>268010</v>
      </c>
      <c r="BT21" s="44">
        <f t="shared" si="290"/>
        <v>268010</v>
      </c>
      <c r="BU21" s="44">
        <f t="shared" si="290"/>
        <v>268010</v>
      </c>
      <c r="BV21" s="44">
        <f>ROUND(BU21*(1+取值表!$D$8)*取值表!$H$8,0)</f>
        <v>269854</v>
      </c>
      <c r="BW21" s="44">
        <f t="shared" ref="BW21:BY21" si="291">BV21</f>
        <v>269854</v>
      </c>
      <c r="BX21" s="44">
        <f t="shared" si="291"/>
        <v>269854</v>
      </c>
      <c r="BY21" s="44">
        <f t="shared" si="291"/>
        <v>269854</v>
      </c>
      <c r="BZ21" s="44">
        <f>ROUND(BY21*(1+取值表!$D$8)*取值表!$H$8,0)</f>
        <v>271711</v>
      </c>
      <c r="CA21" s="44">
        <f t="shared" ref="CA21:CC21" si="292">BZ21</f>
        <v>271711</v>
      </c>
      <c r="CB21" s="44">
        <f t="shared" si="292"/>
        <v>271711</v>
      </c>
      <c r="CC21" s="44">
        <f t="shared" si="292"/>
        <v>271711</v>
      </c>
      <c r="CD21" s="44">
        <f>ROUND(CC21*(1+取值表!$D$8)*取值表!$H$8,0)</f>
        <v>273581</v>
      </c>
      <c r="CE21" s="44">
        <f t="shared" ref="CE21:CG21" si="293">CD21</f>
        <v>273581</v>
      </c>
      <c r="CF21" s="44">
        <f t="shared" si="293"/>
        <v>273581</v>
      </c>
      <c r="CG21" s="44">
        <f t="shared" si="293"/>
        <v>273581</v>
      </c>
      <c r="CH21" s="44">
        <f>ROUND(CG21*(1+取值表!$D$8)*取值表!$H$8,0)</f>
        <v>275464</v>
      </c>
      <c r="CI21" s="44">
        <f t="shared" ref="CI21:CK21" si="294">CH21</f>
        <v>275464</v>
      </c>
      <c r="CJ21" s="44">
        <f t="shared" si="294"/>
        <v>275464</v>
      </c>
      <c r="CK21" s="44">
        <f t="shared" si="294"/>
        <v>275464</v>
      </c>
      <c r="CL21" s="44">
        <f>ROUND(CK21*(1+取值表!$D$8)*取值表!$H$8,0)</f>
        <v>277360</v>
      </c>
      <c r="CM21" s="44">
        <f t="shared" ref="CM21:CO21" si="295">CL21</f>
        <v>277360</v>
      </c>
      <c r="CN21" s="44">
        <f t="shared" si="295"/>
        <v>277360</v>
      </c>
      <c r="CO21" s="44">
        <f t="shared" si="295"/>
        <v>277360</v>
      </c>
      <c r="CP21" s="44">
        <f>ROUND(CO21*(1+取值表!$D$8)*取值表!$H$8,0)</f>
        <v>279269</v>
      </c>
      <c r="CQ21" s="44">
        <f t="shared" ref="CQ21" si="296">CP21</f>
        <v>279269</v>
      </c>
      <c r="CR21" s="44">
        <f t="shared" ref="CR21" si="297">CQ21</f>
        <v>279269</v>
      </c>
      <c r="CS21" s="44">
        <f t="shared" ref="CS21" si="298">CR21</f>
        <v>279269</v>
      </c>
      <c r="CT21" s="44">
        <f>ROUND(CS21*(1+取值表!$D$8)*取值表!$H$8,0)</f>
        <v>281191</v>
      </c>
      <c r="CU21" s="44">
        <f t="shared" ref="CU21" si="299">CT21</f>
        <v>281191</v>
      </c>
      <c r="CV21" s="44">
        <f t="shared" ref="CV21" si="300">CU21</f>
        <v>281191</v>
      </c>
      <c r="CW21" s="44">
        <f t="shared" ref="CW21" si="301">CV21</f>
        <v>281191</v>
      </c>
      <c r="CX21" s="44">
        <f>ROUND(CW21*(1+取值表!$D$8)*取值表!$H$8,0)</f>
        <v>283126</v>
      </c>
      <c r="CY21" s="44">
        <f t="shared" ref="CY21" si="302">CX21</f>
        <v>283126</v>
      </c>
      <c r="CZ21" s="44">
        <f t="shared" ref="CZ21" si="303">CY21</f>
        <v>283126</v>
      </c>
      <c r="DA21" s="44">
        <f t="shared" ref="DA21" si="304">CZ21</f>
        <v>283126</v>
      </c>
      <c r="DB21" s="44">
        <f>ROUND(DA21*(1+取值表!$D$8)*取值表!$H$8,0)</f>
        <v>285074</v>
      </c>
      <c r="DC21" s="44">
        <f t="shared" ref="DC21" si="305">DB21</f>
        <v>285074</v>
      </c>
      <c r="DD21" s="44">
        <f t="shared" ref="DD21" si="306">DC21</f>
        <v>285074</v>
      </c>
      <c r="DE21" s="44">
        <f t="shared" ref="DE21" si="307">DD21</f>
        <v>285074</v>
      </c>
      <c r="DF21" s="45">
        <f t="shared" si="30"/>
        <v>26287360</v>
      </c>
    </row>
    <row r="22" spans="1:110" s="40" customFormat="1" ht="12" customHeight="1">
      <c r="A22" s="448"/>
      <c r="B22" s="518"/>
      <c r="C22" s="450"/>
      <c r="D22" s="451"/>
      <c r="E22" s="452"/>
      <c r="F22" s="446"/>
      <c r="G22" s="446"/>
      <c r="H22" s="447"/>
      <c r="I22" s="41"/>
      <c r="J22" s="42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5">
        <f t="shared" si="30"/>
        <v>0</v>
      </c>
    </row>
    <row r="23" spans="1:110" s="98" customFormat="1" ht="12" customHeight="1">
      <c r="A23" s="448">
        <v>11</v>
      </c>
      <c r="B23" s="456" t="s">
        <v>55</v>
      </c>
      <c r="C23" s="450" t="s">
        <v>56</v>
      </c>
      <c r="D23" s="451" t="s">
        <v>57</v>
      </c>
      <c r="E23" s="452" t="s">
        <v>443</v>
      </c>
      <c r="F23" s="446">
        <v>1685.7</v>
      </c>
      <c r="G23" s="446"/>
      <c r="H23" s="447"/>
      <c r="I23" s="41"/>
      <c r="J23" s="42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5">
        <f t="shared" si="30"/>
        <v>0</v>
      </c>
    </row>
    <row r="24" spans="1:110" s="98" customFormat="1" ht="12" customHeight="1">
      <c r="A24" s="448"/>
      <c r="B24" s="538"/>
      <c r="C24" s="450"/>
      <c r="D24" s="451"/>
      <c r="E24" s="452"/>
      <c r="F24" s="446"/>
      <c r="G24" s="446"/>
      <c r="H24" s="447"/>
      <c r="I24" s="41"/>
      <c r="J24" s="42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5">
        <f t="shared" si="30"/>
        <v>0</v>
      </c>
    </row>
    <row r="25" spans="1:110" s="40" customFormat="1" ht="12" customHeight="1">
      <c r="A25" s="448">
        <v>12</v>
      </c>
      <c r="B25" s="518" t="s">
        <v>58</v>
      </c>
      <c r="C25" s="450" t="s">
        <v>15</v>
      </c>
      <c r="D25" s="451" t="s">
        <v>449</v>
      </c>
      <c r="E25" s="452" t="s">
        <v>443</v>
      </c>
      <c r="F25" s="446">
        <v>230.06</v>
      </c>
      <c r="G25" s="446">
        <f>AVERAGE(23)</f>
        <v>23</v>
      </c>
      <c r="H25" s="447">
        <f>G25*F25*365</f>
        <v>1931353.7</v>
      </c>
      <c r="I25" s="41">
        <v>433924.79</v>
      </c>
      <c r="J25" s="42">
        <f>ROUND(G25*F25*365/4,0)</f>
        <v>482838</v>
      </c>
      <c r="K25" s="44">
        <f>J25</f>
        <v>482838</v>
      </c>
      <c r="L25" s="44">
        <f>K25</f>
        <v>482838</v>
      </c>
      <c r="M25" s="43">
        <f>L25</f>
        <v>482838</v>
      </c>
      <c r="N25" s="44">
        <f>ROUND(M25*(1+取值表!$D$8)*取值表!$H$8,0)</f>
        <v>486161</v>
      </c>
      <c r="O25" s="44">
        <f>N25</f>
        <v>486161</v>
      </c>
      <c r="P25" s="44">
        <f>O25</f>
        <v>486161</v>
      </c>
      <c r="Q25" s="44">
        <f>P25</f>
        <v>486161</v>
      </c>
      <c r="R25" s="44">
        <f>ROUND(Q25*(1+取值表!$D$8)*取值表!$H$8,0)</f>
        <v>489507</v>
      </c>
      <c r="S25" s="44">
        <f t="shared" ref="S25:U25" si="308">R25</f>
        <v>489507</v>
      </c>
      <c r="T25" s="44">
        <f t="shared" si="308"/>
        <v>489507</v>
      </c>
      <c r="U25" s="44">
        <f t="shared" si="308"/>
        <v>489507</v>
      </c>
      <c r="V25" s="44">
        <f>ROUND(U25*(1+取值表!$D$8)*取值表!$H$8,0)</f>
        <v>492876</v>
      </c>
      <c r="W25" s="44">
        <f t="shared" ref="W25:Y25" si="309">V25</f>
        <v>492876</v>
      </c>
      <c r="X25" s="44">
        <f t="shared" si="309"/>
        <v>492876</v>
      </c>
      <c r="Y25" s="44">
        <f t="shared" si="309"/>
        <v>492876</v>
      </c>
      <c r="Z25" s="44">
        <f>ROUND(Y25*(1+取值表!$D$8)*取值表!$H$8,0)</f>
        <v>496268</v>
      </c>
      <c r="AA25" s="44">
        <f t="shared" ref="AA25:AC25" si="310">Z25</f>
        <v>496268</v>
      </c>
      <c r="AB25" s="44">
        <f t="shared" si="310"/>
        <v>496268</v>
      </c>
      <c r="AC25" s="44">
        <f t="shared" si="310"/>
        <v>496268</v>
      </c>
      <c r="AD25" s="44">
        <f>ROUND(AC25*(1+取值表!$D$8)*取值表!$H$8,0)</f>
        <v>499683</v>
      </c>
      <c r="AE25" s="44">
        <f t="shared" ref="AE25:AG25" si="311">AD25</f>
        <v>499683</v>
      </c>
      <c r="AF25" s="44">
        <f t="shared" si="311"/>
        <v>499683</v>
      </c>
      <c r="AG25" s="44">
        <f t="shared" si="311"/>
        <v>499683</v>
      </c>
      <c r="AH25" s="44">
        <f>ROUND(AG25*(1+取值表!$D$8)*取值表!$H$8,0)</f>
        <v>503122</v>
      </c>
      <c r="AI25" s="44">
        <f t="shared" ref="AI25:AK25" si="312">AH25</f>
        <v>503122</v>
      </c>
      <c r="AJ25" s="44">
        <f t="shared" si="312"/>
        <v>503122</v>
      </c>
      <c r="AK25" s="44">
        <f t="shared" si="312"/>
        <v>503122</v>
      </c>
      <c r="AL25" s="44">
        <f>ROUND(AK25*(1+取值表!$D$8)*取值表!$H$8,0)</f>
        <v>506584</v>
      </c>
      <c r="AM25" s="44">
        <f t="shared" ref="AM25:AO25" si="313">AL25</f>
        <v>506584</v>
      </c>
      <c r="AN25" s="44">
        <f t="shared" si="313"/>
        <v>506584</v>
      </c>
      <c r="AO25" s="44">
        <f t="shared" si="313"/>
        <v>506584</v>
      </c>
      <c r="AP25" s="44">
        <f>ROUND(AO25*(1+取值表!$D$8)*取值表!$H$8,0)</f>
        <v>510070</v>
      </c>
      <c r="AQ25" s="44">
        <f t="shared" ref="AQ25:AS25" si="314">AP25</f>
        <v>510070</v>
      </c>
      <c r="AR25" s="44">
        <f t="shared" si="314"/>
        <v>510070</v>
      </c>
      <c r="AS25" s="44">
        <f t="shared" si="314"/>
        <v>510070</v>
      </c>
      <c r="AT25" s="44">
        <f>ROUND(AS25*(1+取值表!$D$8)*取值表!$H$8,0)</f>
        <v>513580</v>
      </c>
      <c r="AU25" s="44">
        <f t="shared" ref="AU25:AW25" si="315">AT25</f>
        <v>513580</v>
      </c>
      <c r="AV25" s="44">
        <f t="shared" si="315"/>
        <v>513580</v>
      </c>
      <c r="AW25" s="44">
        <f t="shared" si="315"/>
        <v>513580</v>
      </c>
      <c r="AX25" s="44">
        <f>ROUND(AW25*(1+取值表!$D$8)*取值表!$H$8,0)</f>
        <v>517114</v>
      </c>
      <c r="AY25" s="44">
        <f t="shared" ref="AY25:BA25" si="316">AX25</f>
        <v>517114</v>
      </c>
      <c r="AZ25" s="44">
        <f t="shared" si="316"/>
        <v>517114</v>
      </c>
      <c r="BA25" s="44">
        <f t="shared" si="316"/>
        <v>517114</v>
      </c>
      <c r="BB25" s="44">
        <f>ROUND(BA25*(1+取值表!$D$8)*取值表!$H$8,0)</f>
        <v>520673</v>
      </c>
      <c r="BC25" s="44">
        <f t="shared" ref="BC25:BE25" si="317">BB25</f>
        <v>520673</v>
      </c>
      <c r="BD25" s="44">
        <f t="shared" si="317"/>
        <v>520673</v>
      </c>
      <c r="BE25" s="44">
        <f t="shared" si="317"/>
        <v>520673</v>
      </c>
      <c r="BF25" s="44">
        <f>ROUND(BE25*(1+取值表!$D$8)*取值表!$H$8,0)</f>
        <v>524256</v>
      </c>
      <c r="BG25" s="44">
        <f t="shared" ref="BG25:BI25" si="318">BF25</f>
        <v>524256</v>
      </c>
      <c r="BH25" s="44">
        <f t="shared" si="318"/>
        <v>524256</v>
      </c>
      <c r="BI25" s="44">
        <f t="shared" si="318"/>
        <v>524256</v>
      </c>
      <c r="BJ25" s="44">
        <f>ROUND(BI25*(1+取值表!$D$8)*取值表!$H$8,0)</f>
        <v>527864</v>
      </c>
      <c r="BK25" s="44">
        <f t="shared" ref="BK25:BM25" si="319">BJ25</f>
        <v>527864</v>
      </c>
      <c r="BL25" s="44">
        <f t="shared" si="319"/>
        <v>527864</v>
      </c>
      <c r="BM25" s="44">
        <f t="shared" si="319"/>
        <v>527864</v>
      </c>
      <c r="BN25" s="44">
        <f>ROUND(BM25*(1+取值表!$D$8)*取值表!$H$8,0)</f>
        <v>531497</v>
      </c>
      <c r="BO25" s="44">
        <f t="shared" ref="BO25:BQ25" si="320">BN25</f>
        <v>531497</v>
      </c>
      <c r="BP25" s="44">
        <f t="shared" si="320"/>
        <v>531497</v>
      </c>
      <c r="BQ25" s="44">
        <f t="shared" si="320"/>
        <v>531497</v>
      </c>
      <c r="BR25" s="44">
        <f>ROUND(BQ25*(1+取值表!$D$8)*取值表!$H$8,0)</f>
        <v>535155</v>
      </c>
      <c r="BS25" s="44">
        <f t="shared" ref="BS25:BU25" si="321">BR25</f>
        <v>535155</v>
      </c>
      <c r="BT25" s="44">
        <f t="shared" si="321"/>
        <v>535155</v>
      </c>
      <c r="BU25" s="44">
        <f t="shared" si="321"/>
        <v>535155</v>
      </c>
      <c r="BV25" s="44">
        <f>ROUND(BU25*(1+取值表!$D$8)*取值表!$H$8,0)</f>
        <v>538838</v>
      </c>
      <c r="BW25" s="44">
        <f t="shared" ref="BW25:BY25" si="322">BV25</f>
        <v>538838</v>
      </c>
      <c r="BX25" s="44">
        <f t="shared" si="322"/>
        <v>538838</v>
      </c>
      <c r="BY25" s="44">
        <f t="shared" si="322"/>
        <v>538838</v>
      </c>
      <c r="BZ25" s="44">
        <f>ROUND(BY25*(1+取值表!$D$8)*取值表!$H$8,0)</f>
        <v>542546</v>
      </c>
      <c r="CA25" s="44">
        <f t="shared" ref="CA25:CC25" si="323">BZ25</f>
        <v>542546</v>
      </c>
      <c r="CB25" s="44">
        <f t="shared" si="323"/>
        <v>542546</v>
      </c>
      <c r="CC25" s="44">
        <f t="shared" si="323"/>
        <v>542546</v>
      </c>
      <c r="CD25" s="44">
        <f>ROUND(CC25*(1+取值表!$D$8)*取值表!$H$8,0)</f>
        <v>546280</v>
      </c>
      <c r="CE25" s="44">
        <f t="shared" ref="CE25:CG25" si="324">CD25</f>
        <v>546280</v>
      </c>
      <c r="CF25" s="44">
        <f t="shared" si="324"/>
        <v>546280</v>
      </c>
      <c r="CG25" s="44">
        <f t="shared" si="324"/>
        <v>546280</v>
      </c>
      <c r="CH25" s="44">
        <f>ROUND(CG25*(1+取值表!$D$8)*取值表!$H$8,0)</f>
        <v>550039</v>
      </c>
      <c r="CI25" s="44">
        <f t="shared" ref="CI25:CK25" si="325">CH25</f>
        <v>550039</v>
      </c>
      <c r="CJ25" s="44">
        <f t="shared" si="325"/>
        <v>550039</v>
      </c>
      <c r="CK25" s="44">
        <f t="shared" si="325"/>
        <v>550039</v>
      </c>
      <c r="CL25" s="44">
        <f>ROUND(CK25*(1+取值表!$D$8)*取值表!$H$8,0)</f>
        <v>553824</v>
      </c>
      <c r="CM25" s="44">
        <f t="shared" ref="CM25:CO25" si="326">CL25</f>
        <v>553824</v>
      </c>
      <c r="CN25" s="44">
        <f t="shared" si="326"/>
        <v>553824</v>
      </c>
      <c r="CO25" s="44">
        <f t="shared" si="326"/>
        <v>553824</v>
      </c>
      <c r="CP25" s="44">
        <f>ROUND(CO25*(1+取值表!$D$8)*取值表!$H$8,0)</f>
        <v>557635</v>
      </c>
      <c r="CQ25" s="44">
        <f t="shared" ref="CQ25" si="327">CP25</f>
        <v>557635</v>
      </c>
      <c r="CR25" s="44">
        <f t="shared" ref="CR25" si="328">CQ25</f>
        <v>557635</v>
      </c>
      <c r="CS25" s="44">
        <f t="shared" ref="CS25" si="329">CR25</f>
        <v>557635</v>
      </c>
      <c r="CT25" s="44">
        <f>ROUND(CS25*(1+取值表!$D$8)*取值表!$H$8,0)</f>
        <v>561473</v>
      </c>
      <c r="CU25" s="44">
        <f t="shared" ref="CU25" si="330">CT25</f>
        <v>561473</v>
      </c>
      <c r="CV25" s="44">
        <f t="shared" ref="CV25" si="331">CU25</f>
        <v>561473</v>
      </c>
      <c r="CW25" s="44">
        <f t="shared" ref="CW25" si="332">CV25</f>
        <v>561473</v>
      </c>
      <c r="CX25" s="44">
        <f>ROUND(CW25*(1+取值表!$D$8)*取值表!$H$8,0)</f>
        <v>565337</v>
      </c>
      <c r="CY25" s="44">
        <f t="shared" ref="CY25" si="333">CX25</f>
        <v>565337</v>
      </c>
      <c r="CZ25" s="44">
        <f t="shared" ref="CZ25" si="334">CY25</f>
        <v>565337</v>
      </c>
      <c r="DA25" s="44">
        <f t="shared" ref="DA25" si="335">CZ25</f>
        <v>565337</v>
      </c>
      <c r="DB25" s="44">
        <f>ROUND(DA25*(1+取值表!$D$8)*取值表!$H$8,0)</f>
        <v>569228</v>
      </c>
      <c r="DC25" s="44">
        <f t="shared" ref="DC25" si="336">DB25</f>
        <v>569228</v>
      </c>
      <c r="DD25" s="44">
        <f t="shared" ref="DD25" si="337">DC25</f>
        <v>569228</v>
      </c>
      <c r="DE25" s="44">
        <f t="shared" ref="DE25" si="338">DD25</f>
        <v>569228</v>
      </c>
      <c r="DF25" s="45">
        <f t="shared" si="30"/>
        <v>52489792</v>
      </c>
    </row>
    <row r="26" spans="1:110" s="40" customFormat="1" ht="12">
      <c r="A26" s="448"/>
      <c r="B26" s="518"/>
      <c r="C26" s="450"/>
      <c r="D26" s="451"/>
      <c r="E26" s="452"/>
      <c r="F26" s="446"/>
      <c r="G26" s="446"/>
      <c r="H26" s="447"/>
      <c r="I26" s="41"/>
      <c r="J26" s="42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5">
        <f t="shared" si="30"/>
        <v>0</v>
      </c>
    </row>
    <row r="27" spans="1:110" s="40" customFormat="1" ht="12" customHeight="1">
      <c r="A27" s="448">
        <v>13</v>
      </c>
      <c r="B27" s="518" t="s">
        <v>59</v>
      </c>
      <c r="C27" s="450" t="s">
        <v>60</v>
      </c>
      <c r="D27" s="451" t="s">
        <v>450</v>
      </c>
      <c r="E27" s="452" t="s">
        <v>443</v>
      </c>
      <c r="F27" s="446">
        <v>112.44</v>
      </c>
      <c r="G27" s="446">
        <v>27</v>
      </c>
      <c r="H27" s="447">
        <f>F27*G27*365</f>
        <v>1108096.2</v>
      </c>
      <c r="I27" s="41">
        <v>273638.2</v>
      </c>
      <c r="J27" s="42">
        <f>ROUND(F27*G27*365/4,0)</f>
        <v>277024</v>
      </c>
      <c r="K27" s="44">
        <f t="shared" ref="K27:S27" si="339">J27</f>
        <v>277024</v>
      </c>
      <c r="L27" s="44">
        <f t="shared" si="339"/>
        <v>277024</v>
      </c>
      <c r="M27" s="44">
        <f t="shared" si="339"/>
        <v>277024</v>
      </c>
      <c r="N27" s="44">
        <f t="shared" si="339"/>
        <v>277024</v>
      </c>
      <c r="O27" s="44">
        <f t="shared" si="339"/>
        <v>277024</v>
      </c>
      <c r="P27" s="44">
        <f t="shared" si="339"/>
        <v>277024</v>
      </c>
      <c r="Q27" s="44">
        <f t="shared" si="339"/>
        <v>277024</v>
      </c>
      <c r="R27" s="44">
        <f t="shared" si="339"/>
        <v>277024</v>
      </c>
      <c r="S27" s="43">
        <f t="shared" si="339"/>
        <v>277024</v>
      </c>
      <c r="T27" s="44">
        <f>S27</f>
        <v>277024</v>
      </c>
      <c r="U27" s="44">
        <f>T27</f>
        <v>277024</v>
      </c>
      <c r="V27" s="44">
        <f>ROUND(U27*(1+取值表!$D$8)*取值表!$H$8,0)</f>
        <v>278930</v>
      </c>
      <c r="W27" s="44">
        <f>V27</f>
        <v>278930</v>
      </c>
      <c r="X27" s="44">
        <f>W27</f>
        <v>278930</v>
      </c>
      <c r="Y27" s="44">
        <f>X27</f>
        <v>278930</v>
      </c>
      <c r="Z27" s="44">
        <f>ROUND(Y27*(1+取值表!$D$8)*取值表!$H$8,0)</f>
        <v>280850</v>
      </c>
      <c r="AA27" s="44">
        <f t="shared" ref="AA27:AC27" si="340">Z27</f>
        <v>280850</v>
      </c>
      <c r="AB27" s="44">
        <f t="shared" si="340"/>
        <v>280850</v>
      </c>
      <c r="AC27" s="44">
        <f t="shared" si="340"/>
        <v>280850</v>
      </c>
      <c r="AD27" s="44">
        <f>ROUND(AC27*(1+取值表!$D$8)*取值表!$H$8,0)</f>
        <v>282783</v>
      </c>
      <c r="AE27" s="44">
        <f t="shared" ref="AE27:AG27" si="341">AD27</f>
        <v>282783</v>
      </c>
      <c r="AF27" s="44">
        <f t="shared" si="341"/>
        <v>282783</v>
      </c>
      <c r="AG27" s="44">
        <f t="shared" si="341"/>
        <v>282783</v>
      </c>
      <c r="AH27" s="44">
        <f>ROUND(AG27*(1+取值表!$D$8)*取值表!$H$8,0)</f>
        <v>284729</v>
      </c>
      <c r="AI27" s="44">
        <f t="shared" ref="AI27:AK27" si="342">AH27</f>
        <v>284729</v>
      </c>
      <c r="AJ27" s="44">
        <f t="shared" si="342"/>
        <v>284729</v>
      </c>
      <c r="AK27" s="44">
        <f t="shared" si="342"/>
        <v>284729</v>
      </c>
      <c r="AL27" s="44">
        <f>ROUND(AK27*(1+取值表!$D$8)*取值表!$H$8,0)</f>
        <v>286688</v>
      </c>
      <c r="AM27" s="44">
        <f t="shared" ref="AM27:AO27" si="343">AL27</f>
        <v>286688</v>
      </c>
      <c r="AN27" s="44">
        <f t="shared" si="343"/>
        <v>286688</v>
      </c>
      <c r="AO27" s="44">
        <f t="shared" si="343"/>
        <v>286688</v>
      </c>
      <c r="AP27" s="44">
        <f>ROUND(AO27*(1+取值表!$D$8)*取值表!$H$8,0)</f>
        <v>288661</v>
      </c>
      <c r="AQ27" s="44">
        <f t="shared" ref="AQ27:AS27" si="344">AP27</f>
        <v>288661</v>
      </c>
      <c r="AR27" s="44">
        <f t="shared" si="344"/>
        <v>288661</v>
      </c>
      <c r="AS27" s="44">
        <f t="shared" si="344"/>
        <v>288661</v>
      </c>
      <c r="AT27" s="44">
        <f>ROUND(AS27*(1+取值表!$D$8)*取值表!$H$8,0)</f>
        <v>290648</v>
      </c>
      <c r="AU27" s="44">
        <f t="shared" ref="AU27:AW27" si="345">AT27</f>
        <v>290648</v>
      </c>
      <c r="AV27" s="44">
        <f t="shared" si="345"/>
        <v>290648</v>
      </c>
      <c r="AW27" s="44">
        <f t="shared" si="345"/>
        <v>290648</v>
      </c>
      <c r="AX27" s="44">
        <f>ROUND(AW27*(1+取值表!$D$8)*取值表!$H$8,0)</f>
        <v>292648</v>
      </c>
      <c r="AY27" s="44">
        <f t="shared" ref="AY27:BA27" si="346">AX27</f>
        <v>292648</v>
      </c>
      <c r="AZ27" s="44">
        <f t="shared" si="346"/>
        <v>292648</v>
      </c>
      <c r="BA27" s="44">
        <f t="shared" si="346"/>
        <v>292648</v>
      </c>
      <c r="BB27" s="44">
        <f>ROUND(BA27*(1+取值表!$D$8)*取值表!$H$8,0)</f>
        <v>294662</v>
      </c>
      <c r="BC27" s="44">
        <f t="shared" ref="BC27:BE27" si="347">BB27</f>
        <v>294662</v>
      </c>
      <c r="BD27" s="44">
        <f t="shared" si="347"/>
        <v>294662</v>
      </c>
      <c r="BE27" s="44">
        <f t="shared" si="347"/>
        <v>294662</v>
      </c>
      <c r="BF27" s="44">
        <f>ROUND(BE27*(1+取值表!$D$8)*取值表!$H$8,0)</f>
        <v>296690</v>
      </c>
      <c r="BG27" s="44">
        <f t="shared" ref="BG27:BI27" si="348">BF27</f>
        <v>296690</v>
      </c>
      <c r="BH27" s="44">
        <f t="shared" si="348"/>
        <v>296690</v>
      </c>
      <c r="BI27" s="44">
        <f t="shared" si="348"/>
        <v>296690</v>
      </c>
      <c r="BJ27" s="44">
        <f>ROUND(BI27*(1+取值表!$D$8)*取值表!$H$8,0)</f>
        <v>298732</v>
      </c>
      <c r="BK27" s="44">
        <f t="shared" ref="BK27:BM27" si="349">BJ27</f>
        <v>298732</v>
      </c>
      <c r="BL27" s="44">
        <f t="shared" si="349"/>
        <v>298732</v>
      </c>
      <c r="BM27" s="44">
        <f t="shared" si="349"/>
        <v>298732</v>
      </c>
      <c r="BN27" s="44">
        <f>ROUND(BM27*(1+取值表!$D$8)*取值表!$H$8,0)</f>
        <v>300788</v>
      </c>
      <c r="BO27" s="44">
        <f t="shared" ref="BO27:BQ27" si="350">BN27</f>
        <v>300788</v>
      </c>
      <c r="BP27" s="44">
        <f t="shared" si="350"/>
        <v>300788</v>
      </c>
      <c r="BQ27" s="44">
        <f t="shared" si="350"/>
        <v>300788</v>
      </c>
      <c r="BR27" s="44">
        <f>ROUND(BQ27*(1+取值表!$D$8)*取值表!$H$8,0)</f>
        <v>302858</v>
      </c>
      <c r="BS27" s="44">
        <f t="shared" ref="BS27:BU27" si="351">BR27</f>
        <v>302858</v>
      </c>
      <c r="BT27" s="44">
        <f t="shared" si="351"/>
        <v>302858</v>
      </c>
      <c r="BU27" s="44">
        <f t="shared" si="351"/>
        <v>302858</v>
      </c>
      <c r="BV27" s="44">
        <f>ROUND(BU27*(1+取值表!$D$8)*取值表!$H$8,0)</f>
        <v>304942</v>
      </c>
      <c r="BW27" s="44">
        <f t="shared" ref="BW27:BY27" si="352">BV27</f>
        <v>304942</v>
      </c>
      <c r="BX27" s="44">
        <f t="shared" si="352"/>
        <v>304942</v>
      </c>
      <c r="BY27" s="44">
        <f t="shared" si="352"/>
        <v>304942</v>
      </c>
      <c r="BZ27" s="44">
        <f>ROUND(BY27*(1+取值表!$D$8)*取值表!$H$8,0)</f>
        <v>307041</v>
      </c>
      <c r="CA27" s="44">
        <f t="shared" ref="CA27:CC27" si="353">BZ27</f>
        <v>307041</v>
      </c>
      <c r="CB27" s="44">
        <f t="shared" si="353"/>
        <v>307041</v>
      </c>
      <c r="CC27" s="44">
        <f t="shared" si="353"/>
        <v>307041</v>
      </c>
      <c r="CD27" s="44">
        <f>ROUND(CC27*(1+取值表!$D$8)*取值表!$H$8,0)</f>
        <v>309154</v>
      </c>
      <c r="CE27" s="44">
        <f t="shared" ref="CE27:CG27" si="354">CD27</f>
        <v>309154</v>
      </c>
      <c r="CF27" s="44">
        <f t="shared" si="354"/>
        <v>309154</v>
      </c>
      <c r="CG27" s="44">
        <f t="shared" si="354"/>
        <v>309154</v>
      </c>
      <c r="CH27" s="44">
        <f>ROUND(CG27*(1+取值表!$D$8)*取值表!$H$8,0)</f>
        <v>311282</v>
      </c>
      <c r="CI27" s="44">
        <f t="shared" ref="CI27:CK27" si="355">CH27</f>
        <v>311282</v>
      </c>
      <c r="CJ27" s="44">
        <f t="shared" si="355"/>
        <v>311282</v>
      </c>
      <c r="CK27" s="44">
        <f t="shared" si="355"/>
        <v>311282</v>
      </c>
      <c r="CL27" s="44">
        <f>ROUND(CK27*(1+取值表!$D$8)*取值表!$H$8,0)</f>
        <v>313424</v>
      </c>
      <c r="CM27" s="44">
        <f t="shared" ref="CM27:CO27" si="356">CL27</f>
        <v>313424</v>
      </c>
      <c r="CN27" s="44">
        <f t="shared" si="356"/>
        <v>313424</v>
      </c>
      <c r="CO27" s="44">
        <f t="shared" si="356"/>
        <v>313424</v>
      </c>
      <c r="CP27" s="44">
        <f>ROUND(CO27*(1+取值表!$D$8)*取值表!$H$8,0)</f>
        <v>315581</v>
      </c>
      <c r="CQ27" s="44">
        <f t="shared" ref="CQ27" si="357">CP27</f>
        <v>315581</v>
      </c>
      <c r="CR27" s="44">
        <f t="shared" ref="CR27" si="358">CQ27</f>
        <v>315581</v>
      </c>
      <c r="CS27" s="44">
        <f t="shared" ref="CS27" si="359">CR27</f>
        <v>315581</v>
      </c>
      <c r="CT27" s="44">
        <f>ROUND(CS27*(1+取值表!$D$8)*取值表!$H$8,0)</f>
        <v>317753</v>
      </c>
      <c r="CU27" s="44">
        <f t="shared" ref="CU27" si="360">CT27</f>
        <v>317753</v>
      </c>
      <c r="CV27" s="44">
        <f t="shared" ref="CV27" si="361">CU27</f>
        <v>317753</v>
      </c>
      <c r="CW27" s="44">
        <f t="shared" ref="CW27" si="362">CV27</f>
        <v>317753</v>
      </c>
      <c r="CX27" s="44">
        <f>ROUND(CW27*(1+取值表!$D$8)*取值表!$H$8,0)</f>
        <v>319940</v>
      </c>
      <c r="CY27" s="44">
        <f t="shared" ref="CY27" si="363">CX27</f>
        <v>319940</v>
      </c>
      <c r="CZ27" s="44">
        <f t="shared" ref="CZ27" si="364">CY27</f>
        <v>319940</v>
      </c>
      <c r="DA27" s="44">
        <f t="shared" ref="DA27" si="365">CZ27</f>
        <v>319940</v>
      </c>
      <c r="DB27" s="44">
        <f>ROUND(DA27*(1+取值表!$D$8)*取值表!$H$8,0)</f>
        <v>322142</v>
      </c>
      <c r="DC27" s="44">
        <f t="shared" ref="DC27" si="366">DB27</f>
        <v>322142</v>
      </c>
      <c r="DD27" s="44">
        <f t="shared" ref="DD27" si="367">DC27</f>
        <v>322142</v>
      </c>
      <c r="DE27" s="44">
        <f t="shared" ref="DE27" si="368">DD27</f>
        <v>322142</v>
      </c>
      <c r="DF27" s="45">
        <f t="shared" si="30"/>
        <v>29727992</v>
      </c>
    </row>
    <row r="28" spans="1:110" s="40" customFormat="1" ht="12">
      <c r="A28" s="448"/>
      <c r="B28" s="518"/>
      <c r="C28" s="450"/>
      <c r="D28" s="451"/>
      <c r="E28" s="452"/>
      <c r="F28" s="446"/>
      <c r="G28" s="446"/>
      <c r="H28" s="447"/>
      <c r="I28" s="41"/>
      <c r="J28" s="42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5">
        <f t="shared" si="30"/>
        <v>0</v>
      </c>
    </row>
    <row r="29" spans="1:110" s="52" customFormat="1" ht="12" customHeight="1">
      <c r="A29" s="448">
        <v>14</v>
      </c>
      <c r="B29" s="456" t="s">
        <v>61</v>
      </c>
      <c r="C29" s="457" t="s">
        <v>62</v>
      </c>
      <c r="D29" s="458" t="s">
        <v>63</v>
      </c>
      <c r="E29" s="459" t="s">
        <v>451</v>
      </c>
      <c r="F29" s="453">
        <v>1508.58</v>
      </c>
      <c r="G29" s="453">
        <f>AVERAGE(9,10,11)</f>
        <v>10</v>
      </c>
      <c r="H29" s="454">
        <f>F29*G29*365</f>
        <v>5506317</v>
      </c>
      <c r="I29" s="219">
        <v>1357714.23</v>
      </c>
      <c r="J29" s="42">
        <f>K29</f>
        <v>1376579</v>
      </c>
      <c r="K29" s="42">
        <f>L29</f>
        <v>1376579</v>
      </c>
      <c r="L29" s="42">
        <f>M29</f>
        <v>1376579</v>
      </c>
      <c r="M29" s="42">
        <f>N29</f>
        <v>1376579</v>
      </c>
      <c r="N29" s="42">
        <f>ROUND(10*365*F29/4,0)</f>
        <v>1376579</v>
      </c>
      <c r="O29" s="42">
        <f t="shared" ref="O29:U29" si="369">P29</f>
        <v>1514237</v>
      </c>
      <c r="P29" s="42">
        <f t="shared" si="369"/>
        <v>1514237</v>
      </c>
      <c r="Q29" s="42">
        <f t="shared" si="369"/>
        <v>1514237</v>
      </c>
      <c r="R29" s="42">
        <f t="shared" si="369"/>
        <v>1514237</v>
      </c>
      <c r="S29" s="42">
        <f t="shared" si="369"/>
        <v>1514237</v>
      </c>
      <c r="T29" s="42">
        <f t="shared" si="369"/>
        <v>1514237</v>
      </c>
      <c r="U29" s="42">
        <f t="shared" si="369"/>
        <v>1514237</v>
      </c>
      <c r="V29" s="43">
        <f>ROUND(11*365*F29/4,0)</f>
        <v>1514237</v>
      </c>
      <c r="W29" s="42">
        <f>V29</f>
        <v>1514237</v>
      </c>
      <c r="X29" s="42">
        <f>W29</f>
        <v>1514237</v>
      </c>
      <c r="Y29" s="42">
        <f>X29</f>
        <v>1514237</v>
      </c>
      <c r="Z29" s="44">
        <f>ROUND(Y29*(1+取值表!$D$8)*取值表!$H$8,0)</f>
        <v>1524658</v>
      </c>
      <c r="AA29" s="42">
        <f>Z29</f>
        <v>1524658</v>
      </c>
      <c r="AB29" s="42">
        <f>AA29</f>
        <v>1524658</v>
      </c>
      <c r="AC29" s="42">
        <f>AB29</f>
        <v>1524658</v>
      </c>
      <c r="AD29" s="44">
        <f>ROUND(AC29*(1+取值表!$D$8)*取值表!$H$8,0)</f>
        <v>1535150</v>
      </c>
      <c r="AE29" s="42">
        <f t="shared" ref="AE29:AG29" si="370">AD29</f>
        <v>1535150</v>
      </c>
      <c r="AF29" s="42">
        <f t="shared" si="370"/>
        <v>1535150</v>
      </c>
      <c r="AG29" s="42">
        <f t="shared" si="370"/>
        <v>1535150</v>
      </c>
      <c r="AH29" s="44">
        <f>ROUND(AG29*(1+取值表!$D$8)*取值表!$H$8,0)</f>
        <v>1545715</v>
      </c>
      <c r="AI29" s="42">
        <f t="shared" ref="AI29:AK29" si="371">AH29</f>
        <v>1545715</v>
      </c>
      <c r="AJ29" s="42">
        <f t="shared" si="371"/>
        <v>1545715</v>
      </c>
      <c r="AK29" s="42">
        <f t="shared" si="371"/>
        <v>1545715</v>
      </c>
      <c r="AL29" s="44">
        <f>ROUND(AK29*(1+取值表!$D$8)*取值表!$H$8,0)</f>
        <v>1556352</v>
      </c>
      <c r="AM29" s="42">
        <f t="shared" ref="AM29:AO29" si="372">AL29</f>
        <v>1556352</v>
      </c>
      <c r="AN29" s="42">
        <f t="shared" si="372"/>
        <v>1556352</v>
      </c>
      <c r="AO29" s="42">
        <f t="shared" si="372"/>
        <v>1556352</v>
      </c>
      <c r="AP29" s="44">
        <f>ROUND(AO29*(1+取值表!$D$8)*取值表!$H$8,0)</f>
        <v>1567062</v>
      </c>
      <c r="AQ29" s="42">
        <f t="shared" ref="AQ29:AS29" si="373">AP29</f>
        <v>1567062</v>
      </c>
      <c r="AR29" s="42">
        <f t="shared" si="373"/>
        <v>1567062</v>
      </c>
      <c r="AS29" s="42">
        <f t="shared" si="373"/>
        <v>1567062</v>
      </c>
      <c r="AT29" s="44">
        <f>ROUND(AS29*(1+取值表!$D$8)*取值表!$H$8,0)</f>
        <v>1577846</v>
      </c>
      <c r="AU29" s="42">
        <f t="shared" ref="AU29:AW29" si="374">AT29</f>
        <v>1577846</v>
      </c>
      <c r="AV29" s="42">
        <f t="shared" si="374"/>
        <v>1577846</v>
      </c>
      <c r="AW29" s="42">
        <f t="shared" si="374"/>
        <v>1577846</v>
      </c>
      <c r="AX29" s="44">
        <f>ROUND(AW29*(1+取值表!$D$8)*取值表!$H$8,0)</f>
        <v>1588704</v>
      </c>
      <c r="AY29" s="42">
        <f t="shared" ref="AY29:BA29" si="375">AX29</f>
        <v>1588704</v>
      </c>
      <c r="AZ29" s="42">
        <f t="shared" si="375"/>
        <v>1588704</v>
      </c>
      <c r="BA29" s="42">
        <f t="shared" si="375"/>
        <v>1588704</v>
      </c>
      <c r="BB29" s="44">
        <f>ROUND(BA29*(1+取值表!$D$8)*取值表!$H$8,0)</f>
        <v>1599637</v>
      </c>
      <c r="BC29" s="42">
        <f t="shared" ref="BC29:BE29" si="376">BB29</f>
        <v>1599637</v>
      </c>
      <c r="BD29" s="42">
        <f t="shared" si="376"/>
        <v>1599637</v>
      </c>
      <c r="BE29" s="42">
        <f t="shared" si="376"/>
        <v>1599637</v>
      </c>
      <c r="BF29" s="44">
        <f>ROUND(BE29*(1+取值表!$D$8)*取值表!$H$8,0)</f>
        <v>1610645</v>
      </c>
      <c r="BG29" s="42">
        <f t="shared" ref="BG29:BI29" si="377">BF29</f>
        <v>1610645</v>
      </c>
      <c r="BH29" s="42">
        <f t="shared" si="377"/>
        <v>1610645</v>
      </c>
      <c r="BI29" s="42">
        <f t="shared" si="377"/>
        <v>1610645</v>
      </c>
      <c r="BJ29" s="44">
        <f>ROUND(BI29*(1+取值表!$D$8)*取值表!$H$8,0)</f>
        <v>1621729</v>
      </c>
      <c r="BK29" s="42">
        <f t="shared" ref="BK29:BM29" si="378">BJ29</f>
        <v>1621729</v>
      </c>
      <c r="BL29" s="42">
        <f t="shared" si="378"/>
        <v>1621729</v>
      </c>
      <c r="BM29" s="42">
        <f t="shared" si="378"/>
        <v>1621729</v>
      </c>
      <c r="BN29" s="44">
        <f>ROUND(BM29*(1+取值表!$D$8)*取值表!$H$8,0)</f>
        <v>1632889</v>
      </c>
      <c r="BO29" s="42">
        <f t="shared" ref="BO29:BQ29" si="379">BN29</f>
        <v>1632889</v>
      </c>
      <c r="BP29" s="42">
        <f t="shared" si="379"/>
        <v>1632889</v>
      </c>
      <c r="BQ29" s="42">
        <f t="shared" si="379"/>
        <v>1632889</v>
      </c>
      <c r="BR29" s="44">
        <f>ROUND(BQ29*(1+取值表!$D$8)*取值表!$H$8,0)</f>
        <v>1644126</v>
      </c>
      <c r="BS29" s="42">
        <f t="shared" ref="BS29:BU29" si="380">BR29</f>
        <v>1644126</v>
      </c>
      <c r="BT29" s="42">
        <f t="shared" si="380"/>
        <v>1644126</v>
      </c>
      <c r="BU29" s="42">
        <f t="shared" si="380"/>
        <v>1644126</v>
      </c>
      <c r="BV29" s="44">
        <f>ROUND(BU29*(1+取值表!$D$8)*取值表!$H$8,0)</f>
        <v>1655441</v>
      </c>
      <c r="BW29" s="42">
        <f t="shared" ref="BW29:BY29" si="381">BV29</f>
        <v>1655441</v>
      </c>
      <c r="BX29" s="42">
        <f t="shared" si="381"/>
        <v>1655441</v>
      </c>
      <c r="BY29" s="42">
        <f t="shared" si="381"/>
        <v>1655441</v>
      </c>
      <c r="BZ29" s="44">
        <f>ROUND(BY29*(1+取值表!$D$8)*取值表!$H$8,0)</f>
        <v>1666833</v>
      </c>
      <c r="CA29" s="42">
        <f t="shared" ref="CA29:CC29" si="382">BZ29</f>
        <v>1666833</v>
      </c>
      <c r="CB29" s="42">
        <f t="shared" si="382"/>
        <v>1666833</v>
      </c>
      <c r="CC29" s="42">
        <f t="shared" si="382"/>
        <v>1666833</v>
      </c>
      <c r="CD29" s="44">
        <f>ROUND(CC29*(1+取值表!$D$8)*取值表!$H$8,0)</f>
        <v>1678304</v>
      </c>
      <c r="CE29" s="42">
        <f t="shared" ref="CE29:CG29" si="383">CD29</f>
        <v>1678304</v>
      </c>
      <c r="CF29" s="42">
        <f t="shared" si="383"/>
        <v>1678304</v>
      </c>
      <c r="CG29" s="42">
        <f t="shared" si="383"/>
        <v>1678304</v>
      </c>
      <c r="CH29" s="44">
        <f>ROUND(CG29*(1+取值表!$D$8)*取值表!$H$8,0)</f>
        <v>1689854</v>
      </c>
      <c r="CI29" s="42">
        <f t="shared" ref="CI29:CK29" si="384">CH29</f>
        <v>1689854</v>
      </c>
      <c r="CJ29" s="42">
        <f t="shared" si="384"/>
        <v>1689854</v>
      </c>
      <c r="CK29" s="42">
        <f t="shared" si="384"/>
        <v>1689854</v>
      </c>
      <c r="CL29" s="44">
        <f>ROUND(CK29*(1+取值表!$D$8)*取值表!$H$8,0)</f>
        <v>1701483</v>
      </c>
      <c r="CM29" s="42">
        <f t="shared" ref="CM29:CO29" si="385">CL29</f>
        <v>1701483</v>
      </c>
      <c r="CN29" s="42">
        <f t="shared" si="385"/>
        <v>1701483</v>
      </c>
      <c r="CO29" s="42">
        <f t="shared" si="385"/>
        <v>1701483</v>
      </c>
      <c r="CP29" s="44">
        <f>ROUND(CO29*(1+取值表!$D$8)*取值表!$H$8,0)</f>
        <v>1713192</v>
      </c>
      <c r="CQ29" s="42">
        <f t="shared" ref="CQ29" si="386">CP29</f>
        <v>1713192</v>
      </c>
      <c r="CR29" s="42">
        <f t="shared" ref="CR29" si="387">CQ29</f>
        <v>1713192</v>
      </c>
      <c r="CS29" s="42">
        <f t="shared" ref="CS29" si="388">CR29</f>
        <v>1713192</v>
      </c>
      <c r="CT29" s="44">
        <f>ROUND(CS29*(1+取值表!$D$8)*取值表!$H$8,0)</f>
        <v>1724982</v>
      </c>
      <c r="CU29" s="42">
        <f t="shared" ref="CU29" si="389">CT29</f>
        <v>1724982</v>
      </c>
      <c r="CV29" s="42">
        <f t="shared" ref="CV29" si="390">CU29</f>
        <v>1724982</v>
      </c>
      <c r="CW29" s="42">
        <f t="shared" ref="CW29" si="391">CV29</f>
        <v>1724982</v>
      </c>
      <c r="CX29" s="44">
        <f>ROUND(CW29*(1+取值表!$D$8)*取值表!$H$8,0)</f>
        <v>1736853</v>
      </c>
      <c r="CY29" s="42">
        <f t="shared" ref="CY29" si="392">CX29</f>
        <v>1736853</v>
      </c>
      <c r="CZ29" s="42">
        <f t="shared" ref="CZ29" si="393">CY29</f>
        <v>1736853</v>
      </c>
      <c r="DA29" s="42">
        <f t="shared" ref="DA29" si="394">CZ29</f>
        <v>1736853</v>
      </c>
      <c r="DB29" s="44">
        <f>ROUND(DA29*(1+取值表!$D$8)*取值表!$H$8,0)</f>
        <v>1748806</v>
      </c>
      <c r="DC29" s="42">
        <f t="shared" ref="DC29" si="395">DB29</f>
        <v>1748806</v>
      </c>
      <c r="DD29" s="42">
        <f t="shared" ref="DD29" si="396">DC29</f>
        <v>1748806</v>
      </c>
      <c r="DE29" s="42">
        <f t="shared" ref="DE29" si="397">DD29</f>
        <v>1748806</v>
      </c>
      <c r="DF29" s="45">
        <f t="shared" si="30"/>
        <v>160820546</v>
      </c>
    </row>
    <row r="30" spans="1:110" s="52" customFormat="1" ht="12">
      <c r="A30" s="448"/>
      <c r="B30" s="456"/>
      <c r="C30" s="457"/>
      <c r="D30" s="458"/>
      <c r="E30" s="459"/>
      <c r="F30" s="453"/>
      <c r="G30" s="453"/>
      <c r="H30" s="454"/>
      <c r="I30" s="219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5">
        <f t="shared" si="30"/>
        <v>0</v>
      </c>
    </row>
    <row r="31" spans="1:110" s="40" customFormat="1" ht="12" customHeight="1">
      <c r="A31" s="448">
        <v>15</v>
      </c>
      <c r="B31" s="518" t="s">
        <v>64</v>
      </c>
      <c r="C31" s="450" t="s">
        <v>65</v>
      </c>
      <c r="D31" s="451" t="s">
        <v>66</v>
      </c>
      <c r="E31" s="452" t="s">
        <v>443</v>
      </c>
      <c r="F31" s="446">
        <v>133.52000000000001</v>
      </c>
      <c r="G31" s="453">
        <f>AVERAGE(27,28,29)</f>
        <v>28</v>
      </c>
      <c r="H31" s="447">
        <f>F31*G31*365</f>
        <v>1364574.4000000001</v>
      </c>
      <c r="I31" s="41">
        <v>341143.6</v>
      </c>
      <c r="J31" s="42">
        <f>K31</f>
        <v>341144</v>
      </c>
      <c r="K31" s="44">
        <f>L31</f>
        <v>341144</v>
      </c>
      <c r="L31" s="44">
        <f>M31</f>
        <v>341144</v>
      </c>
      <c r="M31" s="44">
        <f>ROUND(28*365*F31/4,0)</f>
        <v>341144</v>
      </c>
      <c r="N31" s="44">
        <f>O31</f>
        <v>353327</v>
      </c>
      <c r="O31" s="44">
        <f>P31</f>
        <v>353327</v>
      </c>
      <c r="P31" s="44">
        <f>Q31</f>
        <v>353327</v>
      </c>
      <c r="Q31" s="43">
        <f>ROUND(29*365*F31/4,0)</f>
        <v>353327</v>
      </c>
      <c r="R31" s="44">
        <f>ROUND(Q31*(1+取值表!$D$8)*取值表!$H$8,0)</f>
        <v>355759</v>
      </c>
      <c r="S31" s="44">
        <f>R31</f>
        <v>355759</v>
      </c>
      <c r="T31" s="44">
        <f>S31</f>
        <v>355759</v>
      </c>
      <c r="U31" s="44">
        <f>T31</f>
        <v>355759</v>
      </c>
      <c r="V31" s="44">
        <f>ROUND(U31*(1+取值表!$D$8)*取值表!$H$8,0)</f>
        <v>358207</v>
      </c>
      <c r="W31" s="44">
        <f t="shared" ref="W31:Y31" si="398">V31</f>
        <v>358207</v>
      </c>
      <c r="X31" s="44">
        <f t="shared" si="398"/>
        <v>358207</v>
      </c>
      <c r="Y31" s="44">
        <f t="shared" si="398"/>
        <v>358207</v>
      </c>
      <c r="Z31" s="44">
        <f>ROUND(Y31*(1+取值表!$D$8)*取值表!$H$8,0)</f>
        <v>360672</v>
      </c>
      <c r="AA31" s="44">
        <f t="shared" ref="AA31:AC31" si="399">Z31</f>
        <v>360672</v>
      </c>
      <c r="AB31" s="44">
        <f t="shared" si="399"/>
        <v>360672</v>
      </c>
      <c r="AC31" s="44">
        <f t="shared" si="399"/>
        <v>360672</v>
      </c>
      <c r="AD31" s="44">
        <f>ROUND(AC31*(1+取值表!$D$8)*取值表!$H$8,0)</f>
        <v>363154</v>
      </c>
      <c r="AE31" s="44">
        <f t="shared" ref="AE31:AG31" si="400">AD31</f>
        <v>363154</v>
      </c>
      <c r="AF31" s="44">
        <f t="shared" si="400"/>
        <v>363154</v>
      </c>
      <c r="AG31" s="44">
        <f t="shared" si="400"/>
        <v>363154</v>
      </c>
      <c r="AH31" s="44">
        <f>ROUND(AG31*(1+取值表!$D$8)*取值表!$H$8,0)</f>
        <v>365653</v>
      </c>
      <c r="AI31" s="44">
        <f t="shared" ref="AI31:AK31" si="401">AH31</f>
        <v>365653</v>
      </c>
      <c r="AJ31" s="44">
        <f t="shared" si="401"/>
        <v>365653</v>
      </c>
      <c r="AK31" s="44">
        <f t="shared" si="401"/>
        <v>365653</v>
      </c>
      <c r="AL31" s="44">
        <f>ROUND(AK31*(1+取值表!$D$8)*取值表!$H$8,0)</f>
        <v>368169</v>
      </c>
      <c r="AM31" s="44">
        <f t="shared" ref="AM31:AO31" si="402">AL31</f>
        <v>368169</v>
      </c>
      <c r="AN31" s="44">
        <f t="shared" si="402"/>
        <v>368169</v>
      </c>
      <c r="AO31" s="44">
        <f t="shared" si="402"/>
        <v>368169</v>
      </c>
      <c r="AP31" s="44">
        <f>ROUND(AO31*(1+取值表!$D$8)*取值表!$H$8,0)</f>
        <v>370703</v>
      </c>
      <c r="AQ31" s="44">
        <f t="shared" ref="AQ31:AS31" si="403">AP31</f>
        <v>370703</v>
      </c>
      <c r="AR31" s="44">
        <f t="shared" si="403"/>
        <v>370703</v>
      </c>
      <c r="AS31" s="44">
        <f t="shared" si="403"/>
        <v>370703</v>
      </c>
      <c r="AT31" s="44">
        <f>ROUND(AS31*(1+取值表!$D$8)*取值表!$H$8,0)</f>
        <v>373254</v>
      </c>
      <c r="AU31" s="44">
        <f t="shared" ref="AU31:AW31" si="404">AT31</f>
        <v>373254</v>
      </c>
      <c r="AV31" s="44">
        <f t="shared" si="404"/>
        <v>373254</v>
      </c>
      <c r="AW31" s="44">
        <f t="shared" si="404"/>
        <v>373254</v>
      </c>
      <c r="AX31" s="44">
        <f>ROUND(AW31*(1+取值表!$D$8)*取值表!$H$8,0)</f>
        <v>375823</v>
      </c>
      <c r="AY31" s="44">
        <f t="shared" ref="AY31:BA31" si="405">AX31</f>
        <v>375823</v>
      </c>
      <c r="AZ31" s="44">
        <f t="shared" si="405"/>
        <v>375823</v>
      </c>
      <c r="BA31" s="44">
        <f t="shared" si="405"/>
        <v>375823</v>
      </c>
      <c r="BB31" s="44">
        <f>ROUND(BA31*(1+取值表!$D$8)*取值表!$H$8,0)</f>
        <v>378409</v>
      </c>
      <c r="BC31" s="44">
        <f t="shared" ref="BC31:BE31" si="406">BB31</f>
        <v>378409</v>
      </c>
      <c r="BD31" s="44">
        <f t="shared" si="406"/>
        <v>378409</v>
      </c>
      <c r="BE31" s="44">
        <f t="shared" si="406"/>
        <v>378409</v>
      </c>
      <c r="BF31" s="44">
        <f>ROUND(BE31*(1+取值表!$D$8)*取值表!$H$8,0)</f>
        <v>381013</v>
      </c>
      <c r="BG31" s="44">
        <f t="shared" ref="BG31:BI31" si="407">BF31</f>
        <v>381013</v>
      </c>
      <c r="BH31" s="44">
        <f t="shared" si="407"/>
        <v>381013</v>
      </c>
      <c r="BI31" s="44">
        <f t="shared" si="407"/>
        <v>381013</v>
      </c>
      <c r="BJ31" s="44">
        <f>ROUND(BI31*(1+取值表!$D$8)*取值表!$H$8,0)</f>
        <v>383635</v>
      </c>
      <c r="BK31" s="44">
        <f t="shared" ref="BK31:BM31" si="408">BJ31</f>
        <v>383635</v>
      </c>
      <c r="BL31" s="44">
        <f t="shared" si="408"/>
        <v>383635</v>
      </c>
      <c r="BM31" s="44">
        <f t="shared" si="408"/>
        <v>383635</v>
      </c>
      <c r="BN31" s="44">
        <f>ROUND(BM31*(1+取值表!$D$8)*取值表!$H$8,0)</f>
        <v>386275</v>
      </c>
      <c r="BO31" s="44">
        <f t="shared" ref="BO31:BQ31" si="409">BN31</f>
        <v>386275</v>
      </c>
      <c r="BP31" s="44">
        <f t="shared" si="409"/>
        <v>386275</v>
      </c>
      <c r="BQ31" s="44">
        <f t="shared" si="409"/>
        <v>386275</v>
      </c>
      <c r="BR31" s="44">
        <f>ROUND(BQ31*(1+取值表!$D$8)*取值表!$H$8,0)</f>
        <v>388933</v>
      </c>
      <c r="BS31" s="44">
        <f t="shared" ref="BS31:BU31" si="410">BR31</f>
        <v>388933</v>
      </c>
      <c r="BT31" s="44">
        <f t="shared" si="410"/>
        <v>388933</v>
      </c>
      <c r="BU31" s="44">
        <f t="shared" si="410"/>
        <v>388933</v>
      </c>
      <c r="BV31" s="44">
        <f>ROUND(BU31*(1+取值表!$D$8)*取值表!$H$8,0)</f>
        <v>391610</v>
      </c>
      <c r="BW31" s="44">
        <f t="shared" ref="BW31:BY31" si="411">BV31</f>
        <v>391610</v>
      </c>
      <c r="BX31" s="44">
        <f t="shared" si="411"/>
        <v>391610</v>
      </c>
      <c r="BY31" s="44">
        <f t="shared" si="411"/>
        <v>391610</v>
      </c>
      <c r="BZ31" s="44">
        <f>ROUND(BY31*(1+取值表!$D$8)*取值表!$H$8,0)</f>
        <v>394305</v>
      </c>
      <c r="CA31" s="44">
        <f t="shared" ref="CA31:CC31" si="412">BZ31</f>
        <v>394305</v>
      </c>
      <c r="CB31" s="44">
        <f t="shared" si="412"/>
        <v>394305</v>
      </c>
      <c r="CC31" s="44">
        <f t="shared" si="412"/>
        <v>394305</v>
      </c>
      <c r="CD31" s="44">
        <f>ROUND(CC31*(1+取值表!$D$8)*取值表!$H$8,0)</f>
        <v>397019</v>
      </c>
      <c r="CE31" s="44">
        <f t="shared" ref="CE31:CG31" si="413">CD31</f>
        <v>397019</v>
      </c>
      <c r="CF31" s="44">
        <f t="shared" si="413"/>
        <v>397019</v>
      </c>
      <c r="CG31" s="44">
        <f t="shared" si="413"/>
        <v>397019</v>
      </c>
      <c r="CH31" s="44">
        <f>ROUND(CG31*(1+取值表!$D$8)*取值表!$H$8,0)</f>
        <v>399751</v>
      </c>
      <c r="CI31" s="44">
        <f t="shared" ref="CI31:CK31" si="414">CH31</f>
        <v>399751</v>
      </c>
      <c r="CJ31" s="44">
        <f t="shared" si="414"/>
        <v>399751</v>
      </c>
      <c r="CK31" s="44">
        <f t="shared" si="414"/>
        <v>399751</v>
      </c>
      <c r="CL31" s="44">
        <f>ROUND(CK31*(1+取值表!$D$8)*取值表!$H$8,0)</f>
        <v>402502</v>
      </c>
      <c r="CM31" s="44">
        <f t="shared" ref="CM31:CO31" si="415">CL31</f>
        <v>402502</v>
      </c>
      <c r="CN31" s="44">
        <f t="shared" si="415"/>
        <v>402502</v>
      </c>
      <c r="CO31" s="44">
        <f t="shared" si="415"/>
        <v>402502</v>
      </c>
      <c r="CP31" s="44">
        <f>ROUND(CO31*(1+取值表!$D$8)*取值表!$H$8,0)</f>
        <v>405272</v>
      </c>
      <c r="CQ31" s="44">
        <f t="shared" ref="CQ31" si="416">CP31</f>
        <v>405272</v>
      </c>
      <c r="CR31" s="44">
        <f t="shared" ref="CR31" si="417">CQ31</f>
        <v>405272</v>
      </c>
      <c r="CS31" s="44">
        <f t="shared" ref="CS31" si="418">CR31</f>
        <v>405272</v>
      </c>
      <c r="CT31" s="44">
        <f>ROUND(CS31*(1+取值表!$D$8)*取值表!$H$8,0)</f>
        <v>408061</v>
      </c>
      <c r="CU31" s="44">
        <f t="shared" ref="CU31" si="419">CT31</f>
        <v>408061</v>
      </c>
      <c r="CV31" s="44">
        <f t="shared" ref="CV31" si="420">CU31</f>
        <v>408061</v>
      </c>
      <c r="CW31" s="44">
        <f t="shared" ref="CW31" si="421">CV31</f>
        <v>408061</v>
      </c>
      <c r="CX31" s="44">
        <f>ROUND(CW31*(1+取值表!$D$8)*取值表!$H$8,0)</f>
        <v>410869</v>
      </c>
      <c r="CY31" s="44">
        <f t="shared" ref="CY31" si="422">CX31</f>
        <v>410869</v>
      </c>
      <c r="CZ31" s="44">
        <f t="shared" ref="CZ31" si="423">CY31</f>
        <v>410869</v>
      </c>
      <c r="DA31" s="44">
        <f t="shared" ref="DA31" si="424">CZ31</f>
        <v>410869</v>
      </c>
      <c r="DB31" s="44">
        <f>ROUND(DA31*(1+取值表!$D$8)*取值表!$H$8,0)</f>
        <v>413697</v>
      </c>
      <c r="DC31" s="44">
        <f t="shared" ref="DC31" si="425">DB31</f>
        <v>413697</v>
      </c>
      <c r="DD31" s="44">
        <f t="shared" ref="DD31" si="426">DC31</f>
        <v>413697</v>
      </c>
      <c r="DE31" s="44">
        <f t="shared" ref="DE31" si="427">DD31</f>
        <v>413697</v>
      </c>
      <c r="DF31" s="45">
        <f t="shared" si="30"/>
        <v>38108864</v>
      </c>
    </row>
    <row r="32" spans="1:110" s="40" customFormat="1" ht="12" customHeight="1">
      <c r="A32" s="448"/>
      <c r="B32" s="518"/>
      <c r="C32" s="450"/>
      <c r="D32" s="451"/>
      <c r="E32" s="452"/>
      <c r="F32" s="446"/>
      <c r="G32" s="453"/>
      <c r="H32" s="447"/>
      <c r="I32" s="41"/>
      <c r="J32" s="42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5">
        <f t="shared" si="30"/>
        <v>0</v>
      </c>
    </row>
    <row r="33" spans="1:110" s="40" customFormat="1" ht="12" customHeight="1">
      <c r="A33" s="448">
        <v>16</v>
      </c>
      <c r="B33" s="518" t="s">
        <v>67</v>
      </c>
      <c r="C33" s="450" t="s">
        <v>725</v>
      </c>
      <c r="D33" s="451" t="s">
        <v>452</v>
      </c>
      <c r="E33" s="452" t="s">
        <v>443</v>
      </c>
      <c r="F33" s="446">
        <v>140.52000000000001</v>
      </c>
      <c r="G33" s="446">
        <v>27</v>
      </c>
      <c r="H33" s="447">
        <f>F33*G33*365</f>
        <v>1384824.6</v>
      </c>
      <c r="I33" s="41">
        <v>346206.15</v>
      </c>
      <c r="J33" s="42">
        <f>ROUND(27*365*F33/4,0)</f>
        <v>346206</v>
      </c>
      <c r="K33" s="44">
        <f t="shared" ref="K33:Q33" si="428">J33</f>
        <v>346206</v>
      </c>
      <c r="L33" s="44">
        <f t="shared" si="428"/>
        <v>346206</v>
      </c>
      <c r="M33" s="44">
        <f t="shared" si="428"/>
        <v>346206</v>
      </c>
      <c r="N33" s="44">
        <f t="shared" si="428"/>
        <v>346206</v>
      </c>
      <c r="O33" s="44">
        <f t="shared" si="428"/>
        <v>346206</v>
      </c>
      <c r="P33" s="44">
        <f t="shared" si="428"/>
        <v>346206</v>
      </c>
      <c r="Q33" s="43">
        <f t="shared" si="428"/>
        <v>346206</v>
      </c>
      <c r="R33" s="44">
        <f>ROUND(Q33*(1+取值表!$D$8)*取值表!$H$8,0)</f>
        <v>348589</v>
      </c>
      <c r="S33" s="44">
        <f>R33</f>
        <v>348589</v>
      </c>
      <c r="T33" s="44">
        <f>S33</f>
        <v>348589</v>
      </c>
      <c r="U33" s="44">
        <f>T33</f>
        <v>348589</v>
      </c>
      <c r="V33" s="44">
        <f>ROUND(U33*(1+取值表!$D$8)*取值表!$H$8,0)</f>
        <v>350988</v>
      </c>
      <c r="W33" s="44">
        <f t="shared" ref="W33:Y33" si="429">V33</f>
        <v>350988</v>
      </c>
      <c r="X33" s="44">
        <f t="shared" si="429"/>
        <v>350988</v>
      </c>
      <c r="Y33" s="44">
        <f t="shared" si="429"/>
        <v>350988</v>
      </c>
      <c r="Z33" s="44">
        <f>ROUND(Y33*(1+取值表!$D$8)*取值表!$H$8,0)</f>
        <v>353403</v>
      </c>
      <c r="AA33" s="44">
        <f t="shared" ref="AA33:AC33" si="430">Z33</f>
        <v>353403</v>
      </c>
      <c r="AB33" s="44">
        <f t="shared" si="430"/>
        <v>353403</v>
      </c>
      <c r="AC33" s="44">
        <f t="shared" si="430"/>
        <v>353403</v>
      </c>
      <c r="AD33" s="44">
        <f>ROUND(AC33*(1+取值表!$D$8)*取值表!$H$8,0)</f>
        <v>355835</v>
      </c>
      <c r="AE33" s="44">
        <f t="shared" ref="AE33:AG33" si="431">AD33</f>
        <v>355835</v>
      </c>
      <c r="AF33" s="44">
        <f t="shared" si="431"/>
        <v>355835</v>
      </c>
      <c r="AG33" s="44">
        <f t="shared" si="431"/>
        <v>355835</v>
      </c>
      <c r="AH33" s="44">
        <f>ROUND(AG33*(1+取值表!$D$8)*取值表!$H$8,0)</f>
        <v>358284</v>
      </c>
      <c r="AI33" s="44">
        <f t="shared" ref="AI33:AK33" si="432">AH33</f>
        <v>358284</v>
      </c>
      <c r="AJ33" s="44">
        <f t="shared" si="432"/>
        <v>358284</v>
      </c>
      <c r="AK33" s="44">
        <f t="shared" si="432"/>
        <v>358284</v>
      </c>
      <c r="AL33" s="44">
        <f>ROUND(AK33*(1+取值表!$D$8)*取值表!$H$8,0)</f>
        <v>360750</v>
      </c>
      <c r="AM33" s="44">
        <f t="shared" ref="AM33:AO33" si="433">AL33</f>
        <v>360750</v>
      </c>
      <c r="AN33" s="44">
        <f t="shared" si="433"/>
        <v>360750</v>
      </c>
      <c r="AO33" s="44">
        <f t="shared" si="433"/>
        <v>360750</v>
      </c>
      <c r="AP33" s="44">
        <f>ROUND(AO33*(1+取值表!$D$8)*取值表!$H$8,0)</f>
        <v>363233</v>
      </c>
      <c r="AQ33" s="44">
        <f t="shared" ref="AQ33:AS33" si="434">AP33</f>
        <v>363233</v>
      </c>
      <c r="AR33" s="44">
        <f t="shared" si="434"/>
        <v>363233</v>
      </c>
      <c r="AS33" s="44">
        <f t="shared" si="434"/>
        <v>363233</v>
      </c>
      <c r="AT33" s="44">
        <f>ROUND(AS33*(1+取值表!$D$8)*取值表!$H$8,0)</f>
        <v>365733</v>
      </c>
      <c r="AU33" s="44">
        <f t="shared" ref="AU33:AW33" si="435">AT33</f>
        <v>365733</v>
      </c>
      <c r="AV33" s="44">
        <f t="shared" si="435"/>
        <v>365733</v>
      </c>
      <c r="AW33" s="44">
        <f t="shared" si="435"/>
        <v>365733</v>
      </c>
      <c r="AX33" s="44">
        <f>ROUND(AW33*(1+取值表!$D$8)*取值表!$H$8,0)</f>
        <v>368250</v>
      </c>
      <c r="AY33" s="44">
        <f t="shared" ref="AY33:BA33" si="436">AX33</f>
        <v>368250</v>
      </c>
      <c r="AZ33" s="44">
        <f t="shared" si="436"/>
        <v>368250</v>
      </c>
      <c r="BA33" s="44">
        <f t="shared" si="436"/>
        <v>368250</v>
      </c>
      <c r="BB33" s="44">
        <f>ROUND(BA33*(1+取值表!$D$8)*取值表!$H$8,0)</f>
        <v>370784</v>
      </c>
      <c r="BC33" s="44">
        <f t="shared" ref="BC33:BE33" si="437">BB33</f>
        <v>370784</v>
      </c>
      <c r="BD33" s="44">
        <f t="shared" si="437"/>
        <v>370784</v>
      </c>
      <c r="BE33" s="44">
        <f t="shared" si="437"/>
        <v>370784</v>
      </c>
      <c r="BF33" s="44">
        <f>ROUND(BE33*(1+取值表!$D$8)*取值表!$H$8,0)</f>
        <v>373336</v>
      </c>
      <c r="BG33" s="44">
        <f t="shared" ref="BG33:BI33" si="438">BF33</f>
        <v>373336</v>
      </c>
      <c r="BH33" s="44">
        <f t="shared" si="438"/>
        <v>373336</v>
      </c>
      <c r="BI33" s="44">
        <f t="shared" si="438"/>
        <v>373336</v>
      </c>
      <c r="BJ33" s="44">
        <f>ROUND(BI33*(1+取值表!$D$8)*取值表!$H$8,0)</f>
        <v>375905</v>
      </c>
      <c r="BK33" s="44">
        <f t="shared" ref="BK33:BM33" si="439">BJ33</f>
        <v>375905</v>
      </c>
      <c r="BL33" s="44">
        <f t="shared" si="439"/>
        <v>375905</v>
      </c>
      <c r="BM33" s="44">
        <f t="shared" si="439"/>
        <v>375905</v>
      </c>
      <c r="BN33" s="44">
        <f>ROUND(BM33*(1+取值表!$D$8)*取值表!$H$8,0)</f>
        <v>378492</v>
      </c>
      <c r="BO33" s="44">
        <f t="shared" ref="BO33:BQ33" si="440">BN33</f>
        <v>378492</v>
      </c>
      <c r="BP33" s="44">
        <f t="shared" si="440"/>
        <v>378492</v>
      </c>
      <c r="BQ33" s="44">
        <f t="shared" si="440"/>
        <v>378492</v>
      </c>
      <c r="BR33" s="44">
        <f>ROUND(BQ33*(1+取值表!$D$8)*取值表!$H$8,0)</f>
        <v>381097</v>
      </c>
      <c r="BS33" s="44">
        <f t="shared" ref="BS33:BU33" si="441">BR33</f>
        <v>381097</v>
      </c>
      <c r="BT33" s="44">
        <f t="shared" si="441"/>
        <v>381097</v>
      </c>
      <c r="BU33" s="44">
        <f t="shared" si="441"/>
        <v>381097</v>
      </c>
      <c r="BV33" s="44">
        <f>ROUND(BU33*(1+取值表!$D$8)*取值表!$H$8,0)</f>
        <v>383720</v>
      </c>
      <c r="BW33" s="44">
        <f t="shared" ref="BW33:BY33" si="442">BV33</f>
        <v>383720</v>
      </c>
      <c r="BX33" s="44">
        <f t="shared" si="442"/>
        <v>383720</v>
      </c>
      <c r="BY33" s="44">
        <f t="shared" si="442"/>
        <v>383720</v>
      </c>
      <c r="BZ33" s="44">
        <f>ROUND(BY33*(1+取值表!$D$8)*取值表!$H$8,0)</f>
        <v>386361</v>
      </c>
      <c r="CA33" s="44">
        <f t="shared" ref="CA33:CC33" si="443">BZ33</f>
        <v>386361</v>
      </c>
      <c r="CB33" s="44">
        <f t="shared" si="443"/>
        <v>386361</v>
      </c>
      <c r="CC33" s="44">
        <f t="shared" si="443"/>
        <v>386361</v>
      </c>
      <c r="CD33" s="44">
        <f>ROUND(CC33*(1+取值表!$D$8)*取值表!$H$8,0)</f>
        <v>389020</v>
      </c>
      <c r="CE33" s="44">
        <f t="shared" ref="CE33:CG33" si="444">CD33</f>
        <v>389020</v>
      </c>
      <c r="CF33" s="44">
        <f t="shared" si="444"/>
        <v>389020</v>
      </c>
      <c r="CG33" s="44">
        <f t="shared" si="444"/>
        <v>389020</v>
      </c>
      <c r="CH33" s="44">
        <f>ROUND(CG33*(1+取值表!$D$8)*取值表!$H$8,0)</f>
        <v>391697</v>
      </c>
      <c r="CI33" s="44">
        <f t="shared" ref="CI33:CK33" si="445">CH33</f>
        <v>391697</v>
      </c>
      <c r="CJ33" s="44">
        <f t="shared" si="445"/>
        <v>391697</v>
      </c>
      <c r="CK33" s="44">
        <f t="shared" si="445"/>
        <v>391697</v>
      </c>
      <c r="CL33" s="44">
        <f>ROUND(CK33*(1+取值表!$D$8)*取值表!$H$8,0)</f>
        <v>394393</v>
      </c>
      <c r="CM33" s="44">
        <f t="shared" ref="CM33:CO33" si="446">CL33</f>
        <v>394393</v>
      </c>
      <c r="CN33" s="44">
        <f t="shared" si="446"/>
        <v>394393</v>
      </c>
      <c r="CO33" s="44">
        <f t="shared" si="446"/>
        <v>394393</v>
      </c>
      <c r="CP33" s="44">
        <f>ROUND(CO33*(1+取值表!$D$8)*取值表!$H$8,0)</f>
        <v>397107</v>
      </c>
      <c r="CQ33" s="44">
        <f t="shared" ref="CQ33" si="447">CP33</f>
        <v>397107</v>
      </c>
      <c r="CR33" s="44">
        <f t="shared" ref="CR33" si="448">CQ33</f>
        <v>397107</v>
      </c>
      <c r="CS33" s="44">
        <f t="shared" ref="CS33" si="449">CR33</f>
        <v>397107</v>
      </c>
      <c r="CT33" s="44">
        <f>ROUND(CS33*(1+取值表!$D$8)*取值表!$H$8,0)</f>
        <v>399840</v>
      </c>
      <c r="CU33" s="44">
        <f t="shared" ref="CU33" si="450">CT33</f>
        <v>399840</v>
      </c>
      <c r="CV33" s="44">
        <f t="shared" ref="CV33" si="451">CU33</f>
        <v>399840</v>
      </c>
      <c r="CW33" s="44">
        <f t="shared" ref="CW33" si="452">CV33</f>
        <v>399840</v>
      </c>
      <c r="CX33" s="44">
        <f>ROUND(CW33*(1+取值表!$D$8)*取值表!$H$8,0)</f>
        <v>402592</v>
      </c>
      <c r="CY33" s="44">
        <f t="shared" ref="CY33" si="453">CX33</f>
        <v>402592</v>
      </c>
      <c r="CZ33" s="44">
        <f t="shared" ref="CZ33" si="454">CY33</f>
        <v>402592</v>
      </c>
      <c r="DA33" s="44">
        <f t="shared" ref="DA33" si="455">CZ33</f>
        <v>402592</v>
      </c>
      <c r="DB33" s="44">
        <f>ROUND(DA33*(1+取值表!$D$8)*取值表!$H$8,0)</f>
        <v>405363</v>
      </c>
      <c r="DC33" s="44">
        <f t="shared" ref="DC33" si="456">DB33</f>
        <v>405363</v>
      </c>
      <c r="DD33" s="44">
        <f t="shared" ref="DD33" si="457">DC33</f>
        <v>405363</v>
      </c>
      <c r="DE33" s="44">
        <f t="shared" ref="DE33" si="458">DD33</f>
        <v>405363</v>
      </c>
      <c r="DF33" s="45">
        <f t="shared" si="30"/>
        <v>37388736</v>
      </c>
    </row>
    <row r="34" spans="1:110" s="40" customFormat="1" ht="12" customHeight="1">
      <c r="A34" s="448"/>
      <c r="B34" s="518"/>
      <c r="C34" s="450"/>
      <c r="D34" s="451"/>
      <c r="E34" s="452"/>
      <c r="F34" s="446"/>
      <c r="G34" s="446"/>
      <c r="H34" s="447"/>
      <c r="I34" s="41"/>
      <c r="J34" s="42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5">
        <f t="shared" si="30"/>
        <v>0</v>
      </c>
    </row>
    <row r="35" spans="1:110" s="40" customFormat="1" ht="12" customHeight="1">
      <c r="A35" s="448">
        <v>17</v>
      </c>
      <c r="B35" s="518" t="s">
        <v>68</v>
      </c>
      <c r="C35" s="450" t="s">
        <v>69</v>
      </c>
      <c r="D35" s="451" t="s">
        <v>70</v>
      </c>
      <c r="E35" s="452" t="s">
        <v>443</v>
      </c>
      <c r="F35" s="446">
        <v>158.51</v>
      </c>
      <c r="G35" s="453">
        <f>AVERAGE(15)</f>
        <v>15</v>
      </c>
      <c r="H35" s="447">
        <f>F35*G35*365</f>
        <v>867842.24999999988</v>
      </c>
      <c r="I35" s="41">
        <v>202496.52</v>
      </c>
      <c r="J35" s="42">
        <f>K35</f>
        <v>216961</v>
      </c>
      <c r="K35" s="44">
        <f>L35</f>
        <v>216961</v>
      </c>
      <c r="L35" s="44">
        <f>M35</f>
        <v>216961</v>
      </c>
      <c r="M35" s="43">
        <f>ROUND(15*365*F35/4,0)</f>
        <v>216961</v>
      </c>
      <c r="N35" s="44">
        <f>ROUND(M35*(1+取值表!$D$8)*取值表!$H$8,0)</f>
        <v>218454</v>
      </c>
      <c r="O35" s="44">
        <f>N35</f>
        <v>218454</v>
      </c>
      <c r="P35" s="44">
        <f>O35</f>
        <v>218454</v>
      </c>
      <c r="Q35" s="44">
        <f>P35</f>
        <v>218454</v>
      </c>
      <c r="R35" s="44">
        <f>ROUND(Q35*(1+取值表!$D$8)*取值表!$H$8,0)</f>
        <v>219957</v>
      </c>
      <c r="S35" s="44">
        <f t="shared" ref="S35:U35" si="459">R35</f>
        <v>219957</v>
      </c>
      <c r="T35" s="44">
        <f t="shared" si="459"/>
        <v>219957</v>
      </c>
      <c r="U35" s="44">
        <f t="shared" si="459"/>
        <v>219957</v>
      </c>
      <c r="V35" s="44">
        <f>ROUND(U35*(1+取值表!$D$8)*取值表!$H$8,0)</f>
        <v>221471</v>
      </c>
      <c r="W35" s="44">
        <f t="shared" ref="W35:Y35" si="460">V35</f>
        <v>221471</v>
      </c>
      <c r="X35" s="44">
        <f t="shared" si="460"/>
        <v>221471</v>
      </c>
      <c r="Y35" s="44">
        <f t="shared" si="460"/>
        <v>221471</v>
      </c>
      <c r="Z35" s="44">
        <f>ROUND(Y35*(1+取值表!$D$8)*取值表!$H$8,0)</f>
        <v>222995</v>
      </c>
      <c r="AA35" s="44">
        <f t="shared" ref="AA35:AC35" si="461">Z35</f>
        <v>222995</v>
      </c>
      <c r="AB35" s="44">
        <f t="shared" si="461"/>
        <v>222995</v>
      </c>
      <c r="AC35" s="44">
        <f t="shared" si="461"/>
        <v>222995</v>
      </c>
      <c r="AD35" s="44">
        <f>ROUND(AC35*(1+取值表!$D$8)*取值表!$H$8,0)</f>
        <v>224530</v>
      </c>
      <c r="AE35" s="44">
        <f t="shared" ref="AE35:AG35" si="462">AD35</f>
        <v>224530</v>
      </c>
      <c r="AF35" s="44">
        <f t="shared" si="462"/>
        <v>224530</v>
      </c>
      <c r="AG35" s="44">
        <f t="shared" si="462"/>
        <v>224530</v>
      </c>
      <c r="AH35" s="44">
        <f>ROUND(AG35*(1+取值表!$D$8)*取值表!$H$8,0)</f>
        <v>226075</v>
      </c>
      <c r="AI35" s="44">
        <f t="shared" ref="AI35:AK35" si="463">AH35</f>
        <v>226075</v>
      </c>
      <c r="AJ35" s="44">
        <f t="shared" si="463"/>
        <v>226075</v>
      </c>
      <c r="AK35" s="44">
        <f t="shared" si="463"/>
        <v>226075</v>
      </c>
      <c r="AL35" s="44">
        <f>ROUND(AK35*(1+取值表!$D$8)*取值表!$H$8,0)</f>
        <v>227631</v>
      </c>
      <c r="AM35" s="44">
        <f t="shared" ref="AM35:AO35" si="464">AL35</f>
        <v>227631</v>
      </c>
      <c r="AN35" s="44">
        <f t="shared" si="464"/>
        <v>227631</v>
      </c>
      <c r="AO35" s="44">
        <f t="shared" si="464"/>
        <v>227631</v>
      </c>
      <c r="AP35" s="44">
        <f>ROUND(AO35*(1+取值表!$D$8)*取值表!$H$8,0)</f>
        <v>229198</v>
      </c>
      <c r="AQ35" s="44">
        <f t="shared" ref="AQ35:AS35" si="465">AP35</f>
        <v>229198</v>
      </c>
      <c r="AR35" s="44">
        <f t="shared" si="465"/>
        <v>229198</v>
      </c>
      <c r="AS35" s="44">
        <f t="shared" si="465"/>
        <v>229198</v>
      </c>
      <c r="AT35" s="44">
        <f>ROUND(AS35*(1+取值表!$D$8)*取值表!$H$8,0)</f>
        <v>230775</v>
      </c>
      <c r="AU35" s="44">
        <f t="shared" ref="AU35:AW35" si="466">AT35</f>
        <v>230775</v>
      </c>
      <c r="AV35" s="44">
        <f t="shared" si="466"/>
        <v>230775</v>
      </c>
      <c r="AW35" s="44">
        <f t="shared" si="466"/>
        <v>230775</v>
      </c>
      <c r="AX35" s="44">
        <f>ROUND(AW35*(1+取值表!$D$8)*取值表!$H$8,0)</f>
        <v>232363</v>
      </c>
      <c r="AY35" s="44">
        <f t="shared" ref="AY35:BA35" si="467">AX35</f>
        <v>232363</v>
      </c>
      <c r="AZ35" s="44">
        <f t="shared" si="467"/>
        <v>232363</v>
      </c>
      <c r="BA35" s="44">
        <f t="shared" si="467"/>
        <v>232363</v>
      </c>
      <c r="BB35" s="44">
        <f>ROUND(BA35*(1+取值表!$D$8)*取值表!$H$8,0)</f>
        <v>233962</v>
      </c>
      <c r="BC35" s="44">
        <f t="shared" ref="BC35:BE35" si="468">BB35</f>
        <v>233962</v>
      </c>
      <c r="BD35" s="44">
        <f t="shared" si="468"/>
        <v>233962</v>
      </c>
      <c r="BE35" s="44">
        <f t="shared" si="468"/>
        <v>233962</v>
      </c>
      <c r="BF35" s="44">
        <f>ROUND(BE35*(1+取值表!$D$8)*取值表!$H$8,0)</f>
        <v>235572</v>
      </c>
      <c r="BG35" s="44">
        <f t="shared" ref="BG35:BI35" si="469">BF35</f>
        <v>235572</v>
      </c>
      <c r="BH35" s="44">
        <f t="shared" si="469"/>
        <v>235572</v>
      </c>
      <c r="BI35" s="44">
        <f t="shared" si="469"/>
        <v>235572</v>
      </c>
      <c r="BJ35" s="44">
        <f>ROUND(BI35*(1+取值表!$D$8)*取值表!$H$8,0)</f>
        <v>237193</v>
      </c>
      <c r="BK35" s="44">
        <f t="shared" ref="BK35:BM35" si="470">BJ35</f>
        <v>237193</v>
      </c>
      <c r="BL35" s="44">
        <f t="shared" si="470"/>
        <v>237193</v>
      </c>
      <c r="BM35" s="44">
        <f t="shared" si="470"/>
        <v>237193</v>
      </c>
      <c r="BN35" s="44">
        <f>ROUND(BM35*(1+取值表!$D$8)*取值表!$H$8,0)</f>
        <v>238825</v>
      </c>
      <c r="BO35" s="44">
        <f t="shared" ref="BO35:BQ35" si="471">BN35</f>
        <v>238825</v>
      </c>
      <c r="BP35" s="44">
        <f t="shared" si="471"/>
        <v>238825</v>
      </c>
      <c r="BQ35" s="44">
        <f t="shared" si="471"/>
        <v>238825</v>
      </c>
      <c r="BR35" s="44">
        <f>ROUND(BQ35*(1+取值表!$D$8)*取值表!$H$8,0)</f>
        <v>240469</v>
      </c>
      <c r="BS35" s="44">
        <f t="shared" ref="BS35:BU35" si="472">BR35</f>
        <v>240469</v>
      </c>
      <c r="BT35" s="44">
        <f t="shared" si="472"/>
        <v>240469</v>
      </c>
      <c r="BU35" s="44">
        <f t="shared" si="472"/>
        <v>240469</v>
      </c>
      <c r="BV35" s="44">
        <f>ROUND(BU35*(1+取值表!$D$8)*取值表!$H$8,0)</f>
        <v>242124</v>
      </c>
      <c r="BW35" s="44">
        <f t="shared" ref="BW35:BY35" si="473">BV35</f>
        <v>242124</v>
      </c>
      <c r="BX35" s="44">
        <f t="shared" si="473"/>
        <v>242124</v>
      </c>
      <c r="BY35" s="44">
        <f t="shared" si="473"/>
        <v>242124</v>
      </c>
      <c r="BZ35" s="44">
        <f>ROUND(BY35*(1+取值表!$D$8)*取值表!$H$8,0)</f>
        <v>243790</v>
      </c>
      <c r="CA35" s="44">
        <f t="shared" ref="CA35:CC35" si="474">BZ35</f>
        <v>243790</v>
      </c>
      <c r="CB35" s="44">
        <f t="shared" si="474"/>
        <v>243790</v>
      </c>
      <c r="CC35" s="44">
        <f t="shared" si="474"/>
        <v>243790</v>
      </c>
      <c r="CD35" s="44">
        <f>ROUND(CC35*(1+取值表!$D$8)*取值表!$H$8,0)</f>
        <v>245468</v>
      </c>
      <c r="CE35" s="44">
        <f t="shared" ref="CE35:CG35" si="475">CD35</f>
        <v>245468</v>
      </c>
      <c r="CF35" s="44">
        <f t="shared" si="475"/>
        <v>245468</v>
      </c>
      <c r="CG35" s="44">
        <f t="shared" si="475"/>
        <v>245468</v>
      </c>
      <c r="CH35" s="44">
        <f>ROUND(CG35*(1+取值表!$D$8)*取值表!$H$8,0)</f>
        <v>247157</v>
      </c>
      <c r="CI35" s="44">
        <f t="shared" ref="CI35:CK35" si="476">CH35</f>
        <v>247157</v>
      </c>
      <c r="CJ35" s="44">
        <f t="shared" si="476"/>
        <v>247157</v>
      </c>
      <c r="CK35" s="44">
        <f t="shared" si="476"/>
        <v>247157</v>
      </c>
      <c r="CL35" s="44">
        <f>ROUND(CK35*(1+取值表!$D$8)*取值表!$H$8,0)</f>
        <v>248858</v>
      </c>
      <c r="CM35" s="44">
        <f t="shared" ref="CM35:CO35" si="477">CL35</f>
        <v>248858</v>
      </c>
      <c r="CN35" s="44">
        <f t="shared" si="477"/>
        <v>248858</v>
      </c>
      <c r="CO35" s="44">
        <f t="shared" si="477"/>
        <v>248858</v>
      </c>
      <c r="CP35" s="44">
        <f>ROUND(CO35*(1+取值表!$D$8)*取值表!$H$8,0)</f>
        <v>250571</v>
      </c>
      <c r="CQ35" s="44">
        <f t="shared" ref="CQ35" si="478">CP35</f>
        <v>250571</v>
      </c>
      <c r="CR35" s="44">
        <f t="shared" ref="CR35" si="479">CQ35</f>
        <v>250571</v>
      </c>
      <c r="CS35" s="44">
        <f t="shared" ref="CS35" si="480">CR35</f>
        <v>250571</v>
      </c>
      <c r="CT35" s="44">
        <f>ROUND(CS35*(1+取值表!$D$8)*取值表!$H$8,0)</f>
        <v>252295</v>
      </c>
      <c r="CU35" s="44">
        <f t="shared" ref="CU35" si="481">CT35</f>
        <v>252295</v>
      </c>
      <c r="CV35" s="44">
        <f t="shared" ref="CV35" si="482">CU35</f>
        <v>252295</v>
      </c>
      <c r="CW35" s="44">
        <f t="shared" ref="CW35" si="483">CV35</f>
        <v>252295</v>
      </c>
      <c r="CX35" s="44">
        <f>ROUND(CW35*(1+取值表!$D$8)*取值表!$H$8,0)</f>
        <v>254031</v>
      </c>
      <c r="CY35" s="44">
        <f t="shared" ref="CY35" si="484">CX35</f>
        <v>254031</v>
      </c>
      <c r="CZ35" s="44">
        <f t="shared" ref="CZ35" si="485">CY35</f>
        <v>254031</v>
      </c>
      <c r="DA35" s="44">
        <f t="shared" ref="DA35" si="486">CZ35</f>
        <v>254031</v>
      </c>
      <c r="DB35" s="44">
        <f>ROUND(DA35*(1+取值表!$D$8)*取值表!$H$8,0)</f>
        <v>255779</v>
      </c>
      <c r="DC35" s="44">
        <f t="shared" ref="DC35" si="487">DB35</f>
        <v>255779</v>
      </c>
      <c r="DD35" s="44">
        <f t="shared" ref="DD35" si="488">DC35</f>
        <v>255779</v>
      </c>
      <c r="DE35" s="44">
        <f t="shared" ref="DE35" si="489">DD35</f>
        <v>255779</v>
      </c>
      <c r="DF35" s="45">
        <f t="shared" si="30"/>
        <v>23586016</v>
      </c>
    </row>
    <row r="36" spans="1:110" s="40" customFormat="1" ht="12">
      <c r="A36" s="448"/>
      <c r="B36" s="518"/>
      <c r="C36" s="450"/>
      <c r="D36" s="451"/>
      <c r="E36" s="452"/>
      <c r="F36" s="446"/>
      <c r="G36" s="453"/>
      <c r="H36" s="447"/>
      <c r="I36" s="41"/>
      <c r="J36" s="42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5">
        <f t="shared" si="30"/>
        <v>0</v>
      </c>
    </row>
    <row r="37" spans="1:110" s="40" customFormat="1" ht="12" customHeight="1">
      <c r="A37" s="448">
        <v>18</v>
      </c>
      <c r="B37" s="518" t="s">
        <v>71</v>
      </c>
      <c r="C37" s="450" t="s">
        <v>69</v>
      </c>
      <c r="D37" s="451" t="s">
        <v>70</v>
      </c>
      <c r="E37" s="452" t="s">
        <v>443</v>
      </c>
      <c r="F37" s="446">
        <v>44.84</v>
      </c>
      <c r="G37" s="446">
        <f>AVERAGE(14,15)</f>
        <v>14.5</v>
      </c>
      <c r="H37" s="447">
        <f>F37*G37*365</f>
        <v>237315.7</v>
      </c>
      <c r="I37" s="41">
        <v>73649.7</v>
      </c>
      <c r="J37" s="42">
        <f>K37</f>
        <v>61375</v>
      </c>
      <c r="K37" s="44">
        <f>L37</f>
        <v>61375</v>
      </c>
      <c r="L37" s="44">
        <f>M37</f>
        <v>61375</v>
      </c>
      <c r="M37" s="43">
        <f>ROUND(15*F37*365/4,0)</f>
        <v>61375</v>
      </c>
      <c r="N37" s="44">
        <f>ROUND(M37*(1+取值表!$D$8)*取值表!$H$8,0)</f>
        <v>61797</v>
      </c>
      <c r="O37" s="44">
        <f>N37</f>
        <v>61797</v>
      </c>
      <c r="P37" s="44">
        <f>O37</f>
        <v>61797</v>
      </c>
      <c r="Q37" s="44">
        <f>P37</f>
        <v>61797</v>
      </c>
      <c r="R37" s="44">
        <f>ROUND(Q37*(1+取值表!$D$8)*取值表!$H$8,0)</f>
        <v>62222</v>
      </c>
      <c r="S37" s="44">
        <f t="shared" ref="S37:U37" si="490">R37</f>
        <v>62222</v>
      </c>
      <c r="T37" s="44">
        <f t="shared" si="490"/>
        <v>62222</v>
      </c>
      <c r="U37" s="44">
        <f t="shared" si="490"/>
        <v>62222</v>
      </c>
      <c r="V37" s="44">
        <f>ROUND(U37*(1+取值表!$D$8)*取值表!$H$8,0)</f>
        <v>62650</v>
      </c>
      <c r="W37" s="44">
        <f t="shared" ref="W37:Y37" si="491">V37</f>
        <v>62650</v>
      </c>
      <c r="X37" s="44">
        <f t="shared" si="491"/>
        <v>62650</v>
      </c>
      <c r="Y37" s="44">
        <f t="shared" si="491"/>
        <v>62650</v>
      </c>
      <c r="Z37" s="44">
        <f>ROUND(Y37*(1+取值表!$D$8)*取值表!$H$8,0)</f>
        <v>63081</v>
      </c>
      <c r="AA37" s="44">
        <f t="shared" ref="AA37:AC37" si="492">Z37</f>
        <v>63081</v>
      </c>
      <c r="AB37" s="44">
        <f t="shared" si="492"/>
        <v>63081</v>
      </c>
      <c r="AC37" s="44">
        <f t="shared" si="492"/>
        <v>63081</v>
      </c>
      <c r="AD37" s="44">
        <f>ROUND(AC37*(1+取值表!$D$8)*取值表!$H$8,0)</f>
        <v>63515</v>
      </c>
      <c r="AE37" s="44">
        <f t="shared" ref="AE37:AG37" si="493">AD37</f>
        <v>63515</v>
      </c>
      <c r="AF37" s="44">
        <f t="shared" si="493"/>
        <v>63515</v>
      </c>
      <c r="AG37" s="44">
        <f t="shared" si="493"/>
        <v>63515</v>
      </c>
      <c r="AH37" s="44">
        <f>ROUND(AG37*(1+取值表!$D$8)*取值表!$H$8,0)</f>
        <v>63952</v>
      </c>
      <c r="AI37" s="44">
        <f t="shared" ref="AI37:AK37" si="494">AH37</f>
        <v>63952</v>
      </c>
      <c r="AJ37" s="44">
        <f t="shared" si="494"/>
        <v>63952</v>
      </c>
      <c r="AK37" s="44">
        <f t="shared" si="494"/>
        <v>63952</v>
      </c>
      <c r="AL37" s="44">
        <f>ROUND(AK37*(1+取值表!$D$8)*取值表!$H$8,0)</f>
        <v>64392</v>
      </c>
      <c r="AM37" s="44">
        <f t="shared" ref="AM37:AO37" si="495">AL37</f>
        <v>64392</v>
      </c>
      <c r="AN37" s="44">
        <f t="shared" si="495"/>
        <v>64392</v>
      </c>
      <c r="AO37" s="44">
        <f t="shared" si="495"/>
        <v>64392</v>
      </c>
      <c r="AP37" s="44">
        <f>ROUND(AO37*(1+取值表!$D$8)*取值表!$H$8,0)</f>
        <v>64835</v>
      </c>
      <c r="AQ37" s="44">
        <f t="shared" ref="AQ37:AS37" si="496">AP37</f>
        <v>64835</v>
      </c>
      <c r="AR37" s="44">
        <f t="shared" si="496"/>
        <v>64835</v>
      </c>
      <c r="AS37" s="44">
        <f t="shared" si="496"/>
        <v>64835</v>
      </c>
      <c r="AT37" s="44">
        <f>ROUND(AS37*(1+取值表!$D$8)*取值表!$H$8,0)</f>
        <v>65281</v>
      </c>
      <c r="AU37" s="44">
        <f t="shared" ref="AU37:AW37" si="497">AT37</f>
        <v>65281</v>
      </c>
      <c r="AV37" s="44">
        <f t="shared" si="497"/>
        <v>65281</v>
      </c>
      <c r="AW37" s="44">
        <f t="shared" si="497"/>
        <v>65281</v>
      </c>
      <c r="AX37" s="44">
        <f>ROUND(AW37*(1+取值表!$D$8)*取值表!$H$8,0)</f>
        <v>65730</v>
      </c>
      <c r="AY37" s="44">
        <f t="shared" ref="AY37:BA37" si="498">AX37</f>
        <v>65730</v>
      </c>
      <c r="AZ37" s="44">
        <f t="shared" si="498"/>
        <v>65730</v>
      </c>
      <c r="BA37" s="44">
        <f t="shared" si="498"/>
        <v>65730</v>
      </c>
      <c r="BB37" s="44">
        <f>ROUND(BA37*(1+取值表!$D$8)*取值表!$H$8,0)</f>
        <v>66182</v>
      </c>
      <c r="BC37" s="44">
        <f t="shared" ref="BC37:BE37" si="499">BB37</f>
        <v>66182</v>
      </c>
      <c r="BD37" s="44">
        <f t="shared" si="499"/>
        <v>66182</v>
      </c>
      <c r="BE37" s="44">
        <f t="shared" si="499"/>
        <v>66182</v>
      </c>
      <c r="BF37" s="44">
        <f>ROUND(BE37*(1+取值表!$D$8)*取值表!$H$8,0)</f>
        <v>66637</v>
      </c>
      <c r="BG37" s="44">
        <f t="shared" ref="BG37:BI37" si="500">BF37</f>
        <v>66637</v>
      </c>
      <c r="BH37" s="44">
        <f t="shared" si="500"/>
        <v>66637</v>
      </c>
      <c r="BI37" s="44">
        <f t="shared" si="500"/>
        <v>66637</v>
      </c>
      <c r="BJ37" s="44">
        <f>ROUND(BI37*(1+取值表!$D$8)*取值表!$H$8,0)</f>
        <v>67096</v>
      </c>
      <c r="BK37" s="44">
        <f t="shared" ref="BK37:BM37" si="501">BJ37</f>
        <v>67096</v>
      </c>
      <c r="BL37" s="44">
        <f t="shared" si="501"/>
        <v>67096</v>
      </c>
      <c r="BM37" s="44">
        <f t="shared" si="501"/>
        <v>67096</v>
      </c>
      <c r="BN37" s="44">
        <f>ROUND(BM37*(1+取值表!$D$8)*取值表!$H$8,0)</f>
        <v>67558</v>
      </c>
      <c r="BO37" s="44">
        <f t="shared" ref="BO37:BQ37" si="502">BN37</f>
        <v>67558</v>
      </c>
      <c r="BP37" s="44">
        <f t="shared" si="502"/>
        <v>67558</v>
      </c>
      <c r="BQ37" s="44">
        <f t="shared" si="502"/>
        <v>67558</v>
      </c>
      <c r="BR37" s="44">
        <f>ROUND(BQ37*(1+取值表!$D$8)*取值表!$H$8,0)</f>
        <v>68023</v>
      </c>
      <c r="BS37" s="44">
        <f t="shared" ref="BS37:BU37" si="503">BR37</f>
        <v>68023</v>
      </c>
      <c r="BT37" s="44">
        <f t="shared" si="503"/>
        <v>68023</v>
      </c>
      <c r="BU37" s="44">
        <f t="shared" si="503"/>
        <v>68023</v>
      </c>
      <c r="BV37" s="44">
        <f>ROUND(BU37*(1+取值表!$D$8)*取值表!$H$8,0)</f>
        <v>68491</v>
      </c>
      <c r="BW37" s="44">
        <f t="shared" ref="BW37:BY37" si="504">BV37</f>
        <v>68491</v>
      </c>
      <c r="BX37" s="44">
        <f t="shared" si="504"/>
        <v>68491</v>
      </c>
      <c r="BY37" s="44">
        <f t="shared" si="504"/>
        <v>68491</v>
      </c>
      <c r="BZ37" s="44">
        <f>ROUND(BY37*(1+取值表!$D$8)*取值表!$H$8,0)</f>
        <v>68962</v>
      </c>
      <c r="CA37" s="44">
        <f t="shared" ref="CA37:CC37" si="505">BZ37</f>
        <v>68962</v>
      </c>
      <c r="CB37" s="44">
        <f t="shared" si="505"/>
        <v>68962</v>
      </c>
      <c r="CC37" s="44">
        <f t="shared" si="505"/>
        <v>68962</v>
      </c>
      <c r="CD37" s="44">
        <f>ROUND(CC37*(1+取值表!$D$8)*取值表!$H$8,0)</f>
        <v>69437</v>
      </c>
      <c r="CE37" s="44">
        <f t="shared" ref="CE37:CG37" si="506">CD37</f>
        <v>69437</v>
      </c>
      <c r="CF37" s="44">
        <f t="shared" si="506"/>
        <v>69437</v>
      </c>
      <c r="CG37" s="44">
        <f t="shared" si="506"/>
        <v>69437</v>
      </c>
      <c r="CH37" s="44">
        <f>ROUND(CG37*(1+取值表!$D$8)*取值表!$H$8,0)</f>
        <v>69915</v>
      </c>
      <c r="CI37" s="44">
        <f t="shared" ref="CI37:CK37" si="507">CH37</f>
        <v>69915</v>
      </c>
      <c r="CJ37" s="44">
        <f t="shared" si="507"/>
        <v>69915</v>
      </c>
      <c r="CK37" s="44">
        <f t="shared" si="507"/>
        <v>69915</v>
      </c>
      <c r="CL37" s="44">
        <f>ROUND(CK37*(1+取值表!$D$8)*取值表!$H$8,0)</f>
        <v>70396</v>
      </c>
      <c r="CM37" s="44">
        <f t="shared" ref="CM37:CO37" si="508">CL37</f>
        <v>70396</v>
      </c>
      <c r="CN37" s="44">
        <f t="shared" si="508"/>
        <v>70396</v>
      </c>
      <c r="CO37" s="44">
        <f t="shared" si="508"/>
        <v>70396</v>
      </c>
      <c r="CP37" s="44">
        <f>ROUND(CO37*(1+取值表!$D$8)*取值表!$H$8,0)</f>
        <v>70880</v>
      </c>
      <c r="CQ37" s="44">
        <f t="shared" ref="CQ37" si="509">CP37</f>
        <v>70880</v>
      </c>
      <c r="CR37" s="44">
        <f t="shared" ref="CR37" si="510">CQ37</f>
        <v>70880</v>
      </c>
      <c r="CS37" s="44">
        <f t="shared" ref="CS37" si="511">CR37</f>
        <v>70880</v>
      </c>
      <c r="CT37" s="44">
        <f>ROUND(CS37*(1+取值表!$D$8)*取值表!$H$8,0)</f>
        <v>71368</v>
      </c>
      <c r="CU37" s="44">
        <f t="shared" ref="CU37" si="512">CT37</f>
        <v>71368</v>
      </c>
      <c r="CV37" s="44">
        <f t="shared" ref="CV37" si="513">CU37</f>
        <v>71368</v>
      </c>
      <c r="CW37" s="44">
        <f t="shared" ref="CW37" si="514">CV37</f>
        <v>71368</v>
      </c>
      <c r="CX37" s="44">
        <f>ROUND(CW37*(1+取值表!$D$8)*取值表!$H$8,0)</f>
        <v>71859</v>
      </c>
      <c r="CY37" s="44">
        <f t="shared" ref="CY37" si="515">CX37</f>
        <v>71859</v>
      </c>
      <c r="CZ37" s="44">
        <f t="shared" ref="CZ37" si="516">CY37</f>
        <v>71859</v>
      </c>
      <c r="DA37" s="44">
        <f t="shared" ref="DA37" si="517">CZ37</f>
        <v>71859</v>
      </c>
      <c r="DB37" s="44">
        <f>ROUND(DA37*(1+取值表!$D$8)*取值表!$H$8,0)</f>
        <v>72354</v>
      </c>
      <c r="DC37" s="44">
        <f t="shared" ref="DC37" si="518">DB37</f>
        <v>72354</v>
      </c>
      <c r="DD37" s="44">
        <f t="shared" ref="DD37" si="519">DC37</f>
        <v>72354</v>
      </c>
      <c r="DE37" s="44">
        <f t="shared" ref="DE37" si="520">DD37</f>
        <v>72354</v>
      </c>
      <c r="DF37" s="45">
        <f t="shared" si="30"/>
        <v>6671952</v>
      </c>
    </row>
    <row r="38" spans="1:110" s="40" customFormat="1" ht="12">
      <c r="A38" s="448"/>
      <c r="B38" s="518"/>
      <c r="C38" s="450"/>
      <c r="D38" s="451"/>
      <c r="E38" s="452"/>
      <c r="F38" s="446"/>
      <c r="G38" s="446"/>
      <c r="H38" s="447"/>
      <c r="I38" s="41"/>
      <c r="J38" s="42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5">
        <f t="shared" si="30"/>
        <v>0</v>
      </c>
    </row>
    <row r="39" spans="1:110" s="40" customFormat="1" ht="12" customHeight="1">
      <c r="A39" s="448">
        <v>19</v>
      </c>
      <c r="B39" s="518" t="s">
        <v>72</v>
      </c>
      <c r="C39" s="450" t="s">
        <v>19</v>
      </c>
      <c r="D39" s="451" t="s">
        <v>73</v>
      </c>
      <c r="E39" s="452" t="s">
        <v>443</v>
      </c>
      <c r="F39" s="446">
        <v>146.35</v>
      </c>
      <c r="G39" s="446">
        <v>22</v>
      </c>
      <c r="H39" s="447">
        <f>F39*G39*365</f>
        <v>1175190.5</v>
      </c>
      <c r="I39" s="41"/>
      <c r="J39" s="42">
        <f>ROUND(G39*F39*365/4,0)</f>
        <v>293798</v>
      </c>
      <c r="K39" s="44">
        <f>J39</f>
        <v>293798</v>
      </c>
      <c r="L39" s="43">
        <f>K39</f>
        <v>293798</v>
      </c>
      <c r="M39" s="44">
        <f>L39</f>
        <v>293798</v>
      </c>
      <c r="N39" s="44">
        <f>ROUND(M39*(1+取值表!$D$8)*取值表!$H$8,0)</f>
        <v>295820</v>
      </c>
      <c r="O39" s="44">
        <f>N39</f>
        <v>295820</v>
      </c>
      <c r="P39" s="44">
        <f>O39</f>
        <v>295820</v>
      </c>
      <c r="Q39" s="44">
        <f>P39</f>
        <v>295820</v>
      </c>
      <c r="R39" s="44">
        <f>ROUND(Q39*(1+取值表!$D$8)*取值表!$H$8,0)</f>
        <v>297856</v>
      </c>
      <c r="S39" s="44">
        <f t="shared" ref="S39:U39" si="521">R39</f>
        <v>297856</v>
      </c>
      <c r="T39" s="44">
        <f t="shared" si="521"/>
        <v>297856</v>
      </c>
      <c r="U39" s="44">
        <f t="shared" si="521"/>
        <v>297856</v>
      </c>
      <c r="V39" s="44">
        <f>ROUND(U39*(1+取值表!$D$8)*取值表!$H$8,0)</f>
        <v>299906</v>
      </c>
      <c r="W39" s="44">
        <f t="shared" ref="W39:Y39" si="522">V39</f>
        <v>299906</v>
      </c>
      <c r="X39" s="44">
        <f t="shared" si="522"/>
        <v>299906</v>
      </c>
      <c r="Y39" s="44">
        <f t="shared" si="522"/>
        <v>299906</v>
      </c>
      <c r="Z39" s="44">
        <f>ROUND(Y39*(1+取值表!$D$8)*取值表!$H$8,0)</f>
        <v>301970</v>
      </c>
      <c r="AA39" s="44">
        <f t="shared" ref="AA39:AC39" si="523">Z39</f>
        <v>301970</v>
      </c>
      <c r="AB39" s="44">
        <f t="shared" si="523"/>
        <v>301970</v>
      </c>
      <c r="AC39" s="44">
        <f t="shared" si="523"/>
        <v>301970</v>
      </c>
      <c r="AD39" s="44">
        <f>ROUND(AC39*(1+取值表!$D$8)*取值表!$H$8,0)</f>
        <v>304048</v>
      </c>
      <c r="AE39" s="44">
        <f t="shared" ref="AE39:AG39" si="524">AD39</f>
        <v>304048</v>
      </c>
      <c r="AF39" s="44">
        <f t="shared" si="524"/>
        <v>304048</v>
      </c>
      <c r="AG39" s="44">
        <f t="shared" si="524"/>
        <v>304048</v>
      </c>
      <c r="AH39" s="44">
        <f>ROUND(AG39*(1+取值表!$D$8)*取值表!$H$8,0)</f>
        <v>306140</v>
      </c>
      <c r="AI39" s="44">
        <f t="shared" ref="AI39:AK39" si="525">AH39</f>
        <v>306140</v>
      </c>
      <c r="AJ39" s="44">
        <f t="shared" si="525"/>
        <v>306140</v>
      </c>
      <c r="AK39" s="44">
        <f t="shared" si="525"/>
        <v>306140</v>
      </c>
      <c r="AL39" s="44">
        <f>ROUND(AK39*(1+取值表!$D$8)*取值表!$H$8,0)</f>
        <v>308247</v>
      </c>
      <c r="AM39" s="44">
        <f t="shared" ref="AM39:AO39" si="526">AL39</f>
        <v>308247</v>
      </c>
      <c r="AN39" s="44">
        <f t="shared" si="526"/>
        <v>308247</v>
      </c>
      <c r="AO39" s="44">
        <f t="shared" si="526"/>
        <v>308247</v>
      </c>
      <c r="AP39" s="44">
        <f>ROUND(AO39*(1+取值表!$D$8)*取值表!$H$8,0)</f>
        <v>310368</v>
      </c>
      <c r="AQ39" s="44">
        <f t="shared" ref="AQ39:AS39" si="527">AP39</f>
        <v>310368</v>
      </c>
      <c r="AR39" s="44">
        <f t="shared" si="527"/>
        <v>310368</v>
      </c>
      <c r="AS39" s="44">
        <f t="shared" si="527"/>
        <v>310368</v>
      </c>
      <c r="AT39" s="44">
        <f>ROUND(AS39*(1+取值表!$D$8)*取值表!$H$8,0)</f>
        <v>312504</v>
      </c>
      <c r="AU39" s="44">
        <f t="shared" ref="AU39:AW39" si="528">AT39</f>
        <v>312504</v>
      </c>
      <c r="AV39" s="44">
        <f t="shared" si="528"/>
        <v>312504</v>
      </c>
      <c r="AW39" s="44">
        <f t="shared" si="528"/>
        <v>312504</v>
      </c>
      <c r="AX39" s="44">
        <f>ROUND(AW39*(1+取值表!$D$8)*取值表!$H$8,0)</f>
        <v>314655</v>
      </c>
      <c r="AY39" s="44">
        <f t="shared" ref="AY39:BA39" si="529">AX39</f>
        <v>314655</v>
      </c>
      <c r="AZ39" s="44">
        <f t="shared" si="529"/>
        <v>314655</v>
      </c>
      <c r="BA39" s="44">
        <f t="shared" si="529"/>
        <v>314655</v>
      </c>
      <c r="BB39" s="44">
        <f>ROUND(BA39*(1+取值表!$D$8)*取值表!$H$8,0)</f>
        <v>316820</v>
      </c>
      <c r="BC39" s="44">
        <f t="shared" ref="BC39:BE39" si="530">BB39</f>
        <v>316820</v>
      </c>
      <c r="BD39" s="44">
        <f t="shared" si="530"/>
        <v>316820</v>
      </c>
      <c r="BE39" s="44">
        <f t="shared" si="530"/>
        <v>316820</v>
      </c>
      <c r="BF39" s="44">
        <f>ROUND(BE39*(1+取值表!$D$8)*取值表!$H$8,0)</f>
        <v>319000</v>
      </c>
      <c r="BG39" s="44">
        <f t="shared" ref="BG39:BI39" si="531">BF39</f>
        <v>319000</v>
      </c>
      <c r="BH39" s="44">
        <f t="shared" si="531"/>
        <v>319000</v>
      </c>
      <c r="BI39" s="44">
        <f t="shared" si="531"/>
        <v>319000</v>
      </c>
      <c r="BJ39" s="44">
        <f>ROUND(BI39*(1+取值表!$D$8)*取值表!$H$8,0)</f>
        <v>321195</v>
      </c>
      <c r="BK39" s="44">
        <f t="shared" ref="BK39:BM39" si="532">BJ39</f>
        <v>321195</v>
      </c>
      <c r="BL39" s="44">
        <f t="shared" si="532"/>
        <v>321195</v>
      </c>
      <c r="BM39" s="44">
        <f t="shared" si="532"/>
        <v>321195</v>
      </c>
      <c r="BN39" s="44">
        <f>ROUND(BM39*(1+取值表!$D$8)*取值表!$H$8,0)</f>
        <v>323405</v>
      </c>
      <c r="BO39" s="44">
        <f t="shared" ref="BO39:BQ39" si="533">BN39</f>
        <v>323405</v>
      </c>
      <c r="BP39" s="44">
        <f t="shared" si="533"/>
        <v>323405</v>
      </c>
      <c r="BQ39" s="44">
        <f t="shared" si="533"/>
        <v>323405</v>
      </c>
      <c r="BR39" s="44">
        <f>ROUND(BQ39*(1+取值表!$D$8)*取值表!$H$8,0)</f>
        <v>325631</v>
      </c>
      <c r="BS39" s="44">
        <f t="shared" ref="BS39:BU39" si="534">BR39</f>
        <v>325631</v>
      </c>
      <c r="BT39" s="44">
        <f t="shared" si="534"/>
        <v>325631</v>
      </c>
      <c r="BU39" s="44">
        <f t="shared" si="534"/>
        <v>325631</v>
      </c>
      <c r="BV39" s="44">
        <f>ROUND(BU39*(1+取值表!$D$8)*取值表!$H$8,0)</f>
        <v>327872</v>
      </c>
      <c r="BW39" s="44">
        <f t="shared" ref="BW39:BY39" si="535">BV39</f>
        <v>327872</v>
      </c>
      <c r="BX39" s="44">
        <f t="shared" si="535"/>
        <v>327872</v>
      </c>
      <c r="BY39" s="44">
        <f t="shared" si="535"/>
        <v>327872</v>
      </c>
      <c r="BZ39" s="44">
        <f>ROUND(BY39*(1+取值表!$D$8)*取值表!$H$8,0)</f>
        <v>330128</v>
      </c>
      <c r="CA39" s="44">
        <f t="shared" ref="CA39:CC39" si="536">BZ39</f>
        <v>330128</v>
      </c>
      <c r="CB39" s="44">
        <f t="shared" si="536"/>
        <v>330128</v>
      </c>
      <c r="CC39" s="44">
        <f t="shared" si="536"/>
        <v>330128</v>
      </c>
      <c r="CD39" s="44">
        <f>ROUND(CC39*(1+取值表!$D$8)*取值表!$H$8,0)</f>
        <v>332400</v>
      </c>
      <c r="CE39" s="44">
        <f t="shared" ref="CE39:CG39" si="537">CD39</f>
        <v>332400</v>
      </c>
      <c r="CF39" s="44">
        <f t="shared" si="537"/>
        <v>332400</v>
      </c>
      <c r="CG39" s="44">
        <f t="shared" si="537"/>
        <v>332400</v>
      </c>
      <c r="CH39" s="44">
        <f>ROUND(CG39*(1+取值表!$D$8)*取值表!$H$8,0)</f>
        <v>334688</v>
      </c>
      <c r="CI39" s="44">
        <f t="shared" ref="CI39:CK39" si="538">CH39</f>
        <v>334688</v>
      </c>
      <c r="CJ39" s="44">
        <f t="shared" si="538"/>
        <v>334688</v>
      </c>
      <c r="CK39" s="44">
        <f t="shared" si="538"/>
        <v>334688</v>
      </c>
      <c r="CL39" s="44">
        <f>ROUND(CK39*(1+取值表!$D$8)*取值表!$H$8,0)</f>
        <v>336991</v>
      </c>
      <c r="CM39" s="44">
        <f t="shared" ref="CM39:CO39" si="539">CL39</f>
        <v>336991</v>
      </c>
      <c r="CN39" s="44">
        <f t="shared" si="539"/>
        <v>336991</v>
      </c>
      <c r="CO39" s="44">
        <f t="shared" si="539"/>
        <v>336991</v>
      </c>
      <c r="CP39" s="44">
        <f>ROUND(CO39*(1+取值表!$D$8)*取值表!$H$8,0)</f>
        <v>339310</v>
      </c>
      <c r="CQ39" s="44">
        <f t="shared" ref="CQ39" si="540">CP39</f>
        <v>339310</v>
      </c>
      <c r="CR39" s="44">
        <f t="shared" ref="CR39" si="541">CQ39</f>
        <v>339310</v>
      </c>
      <c r="CS39" s="44">
        <f t="shared" ref="CS39" si="542">CR39</f>
        <v>339310</v>
      </c>
      <c r="CT39" s="44">
        <f>ROUND(CS39*(1+取值表!$D$8)*取值表!$H$8,0)</f>
        <v>341645</v>
      </c>
      <c r="CU39" s="44">
        <f t="shared" ref="CU39" si="543">CT39</f>
        <v>341645</v>
      </c>
      <c r="CV39" s="44">
        <f t="shared" ref="CV39" si="544">CU39</f>
        <v>341645</v>
      </c>
      <c r="CW39" s="44">
        <f t="shared" ref="CW39" si="545">CV39</f>
        <v>341645</v>
      </c>
      <c r="CX39" s="44">
        <f>ROUND(CW39*(1+取值表!$D$8)*取值表!$H$8,0)</f>
        <v>343996</v>
      </c>
      <c r="CY39" s="44">
        <f t="shared" ref="CY39" si="546">CX39</f>
        <v>343996</v>
      </c>
      <c r="CZ39" s="44">
        <f t="shared" ref="CZ39" si="547">CY39</f>
        <v>343996</v>
      </c>
      <c r="DA39" s="44">
        <f t="shared" ref="DA39" si="548">CZ39</f>
        <v>343996</v>
      </c>
      <c r="DB39" s="44">
        <f>ROUND(DA39*(1+取值表!$D$8)*取值表!$H$8,0)</f>
        <v>346363</v>
      </c>
      <c r="DC39" s="44">
        <f t="shared" ref="DC39" si="549">DB39</f>
        <v>346363</v>
      </c>
      <c r="DD39" s="44">
        <f t="shared" ref="DD39" si="550">DC39</f>
        <v>346363</v>
      </c>
      <c r="DE39" s="44">
        <f t="shared" ref="DE39" si="551">DD39</f>
        <v>346363</v>
      </c>
      <c r="DF39" s="45">
        <f t="shared" si="30"/>
        <v>31939024</v>
      </c>
    </row>
    <row r="40" spans="1:110" s="40" customFormat="1" ht="12" customHeight="1">
      <c r="A40" s="448"/>
      <c r="B40" s="518"/>
      <c r="C40" s="450"/>
      <c r="D40" s="451"/>
      <c r="E40" s="452"/>
      <c r="F40" s="446"/>
      <c r="G40" s="446"/>
      <c r="H40" s="447"/>
      <c r="I40" s="41"/>
      <c r="J40" s="42"/>
      <c r="K40" s="44"/>
      <c r="L40" s="44"/>
      <c r="M40" s="44"/>
      <c r="N40" s="44"/>
      <c r="O40" s="44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5">
        <f t="shared" si="30"/>
        <v>0</v>
      </c>
    </row>
    <row r="41" spans="1:110" s="40" customFormat="1" ht="12" customHeight="1">
      <c r="A41" s="448">
        <v>20</v>
      </c>
      <c r="B41" s="518" t="s">
        <v>74</v>
      </c>
      <c r="C41" s="450" t="s">
        <v>726</v>
      </c>
      <c r="D41" s="451" t="s">
        <v>75</v>
      </c>
      <c r="E41" s="452" t="s">
        <v>443</v>
      </c>
      <c r="F41" s="446">
        <v>57.64</v>
      </c>
      <c r="G41" s="446">
        <v>23</v>
      </c>
      <c r="H41" s="447">
        <f>F41*G41*365</f>
        <v>483887.8</v>
      </c>
      <c r="I41" s="41"/>
      <c r="J41" s="42">
        <f>ROUND(F41*G41*365/4,0)</f>
        <v>120972</v>
      </c>
      <c r="K41" s="43">
        <f>J41</f>
        <v>120972</v>
      </c>
      <c r="L41" s="44">
        <f>K41</f>
        <v>120972</v>
      </c>
      <c r="M41" s="44">
        <f>L41</f>
        <v>120972</v>
      </c>
      <c r="N41" s="44">
        <f>ROUND(M41*(1+取值表!$D$8)*取值表!$H$8,0)</f>
        <v>121805</v>
      </c>
      <c r="O41" s="44">
        <f>N41</f>
        <v>121805</v>
      </c>
      <c r="P41" s="44">
        <f>O41</f>
        <v>121805</v>
      </c>
      <c r="Q41" s="44">
        <f>P41</f>
        <v>121805</v>
      </c>
      <c r="R41" s="44">
        <f>ROUND(Q41*(1+取值表!$D$8)*取值表!$H$8,0)</f>
        <v>122643</v>
      </c>
      <c r="S41" s="44">
        <f t="shared" ref="S41:U41" si="552">R41</f>
        <v>122643</v>
      </c>
      <c r="T41" s="44">
        <f t="shared" si="552"/>
        <v>122643</v>
      </c>
      <c r="U41" s="44">
        <f t="shared" si="552"/>
        <v>122643</v>
      </c>
      <c r="V41" s="44">
        <f>ROUND(U41*(1+取值表!$D$8)*取值表!$H$8,0)</f>
        <v>123487</v>
      </c>
      <c r="W41" s="44">
        <f t="shared" ref="W41:Y41" si="553">V41</f>
        <v>123487</v>
      </c>
      <c r="X41" s="44">
        <f t="shared" si="553"/>
        <v>123487</v>
      </c>
      <c r="Y41" s="44">
        <f t="shared" si="553"/>
        <v>123487</v>
      </c>
      <c r="Z41" s="44">
        <f>ROUND(Y41*(1+取值表!$D$8)*取值表!$H$8,0)</f>
        <v>124337</v>
      </c>
      <c r="AA41" s="44">
        <f t="shared" ref="AA41:AC41" si="554">Z41</f>
        <v>124337</v>
      </c>
      <c r="AB41" s="44">
        <f t="shared" si="554"/>
        <v>124337</v>
      </c>
      <c r="AC41" s="44">
        <f t="shared" si="554"/>
        <v>124337</v>
      </c>
      <c r="AD41" s="44">
        <f>ROUND(AC41*(1+取值表!$D$8)*取值表!$H$8,0)</f>
        <v>125193</v>
      </c>
      <c r="AE41" s="44">
        <f t="shared" ref="AE41:AG41" si="555">AD41</f>
        <v>125193</v>
      </c>
      <c r="AF41" s="44">
        <f t="shared" si="555"/>
        <v>125193</v>
      </c>
      <c r="AG41" s="44">
        <f t="shared" si="555"/>
        <v>125193</v>
      </c>
      <c r="AH41" s="44">
        <f>ROUND(AG41*(1+取值表!$D$8)*取值表!$H$8,0)</f>
        <v>126055</v>
      </c>
      <c r="AI41" s="44">
        <f t="shared" ref="AI41:AK41" si="556">AH41</f>
        <v>126055</v>
      </c>
      <c r="AJ41" s="44">
        <f t="shared" si="556"/>
        <v>126055</v>
      </c>
      <c r="AK41" s="44">
        <f t="shared" si="556"/>
        <v>126055</v>
      </c>
      <c r="AL41" s="44">
        <f>ROUND(AK41*(1+取值表!$D$8)*取值表!$H$8,0)</f>
        <v>126922</v>
      </c>
      <c r="AM41" s="44">
        <f t="shared" ref="AM41:AO41" si="557">AL41</f>
        <v>126922</v>
      </c>
      <c r="AN41" s="44">
        <f t="shared" si="557"/>
        <v>126922</v>
      </c>
      <c r="AO41" s="44">
        <f t="shared" si="557"/>
        <v>126922</v>
      </c>
      <c r="AP41" s="44">
        <f>ROUND(AO41*(1+取值表!$D$8)*取值表!$H$8,0)</f>
        <v>127795</v>
      </c>
      <c r="AQ41" s="44">
        <f t="shared" ref="AQ41:AS41" si="558">AP41</f>
        <v>127795</v>
      </c>
      <c r="AR41" s="44">
        <f t="shared" si="558"/>
        <v>127795</v>
      </c>
      <c r="AS41" s="44">
        <f t="shared" si="558"/>
        <v>127795</v>
      </c>
      <c r="AT41" s="44">
        <f>ROUND(AS41*(1+取值表!$D$8)*取值表!$H$8,0)</f>
        <v>128674</v>
      </c>
      <c r="AU41" s="44">
        <f t="shared" ref="AU41:AW41" si="559">AT41</f>
        <v>128674</v>
      </c>
      <c r="AV41" s="44">
        <f t="shared" si="559"/>
        <v>128674</v>
      </c>
      <c r="AW41" s="44">
        <f t="shared" si="559"/>
        <v>128674</v>
      </c>
      <c r="AX41" s="44">
        <f>ROUND(AW41*(1+取值表!$D$8)*取值表!$H$8,0)</f>
        <v>129560</v>
      </c>
      <c r="AY41" s="44">
        <f t="shared" ref="AY41:BA41" si="560">AX41</f>
        <v>129560</v>
      </c>
      <c r="AZ41" s="44">
        <f t="shared" si="560"/>
        <v>129560</v>
      </c>
      <c r="BA41" s="44">
        <f t="shared" si="560"/>
        <v>129560</v>
      </c>
      <c r="BB41" s="44">
        <f>ROUND(BA41*(1+取值表!$D$8)*取值表!$H$8,0)</f>
        <v>130452</v>
      </c>
      <c r="BC41" s="44">
        <f t="shared" ref="BC41:BE41" si="561">BB41</f>
        <v>130452</v>
      </c>
      <c r="BD41" s="44">
        <f t="shared" si="561"/>
        <v>130452</v>
      </c>
      <c r="BE41" s="44">
        <f t="shared" si="561"/>
        <v>130452</v>
      </c>
      <c r="BF41" s="44">
        <f>ROUND(BE41*(1+取值表!$D$8)*取值表!$H$8,0)</f>
        <v>131350</v>
      </c>
      <c r="BG41" s="44">
        <f t="shared" ref="BG41:BI41" si="562">BF41</f>
        <v>131350</v>
      </c>
      <c r="BH41" s="44">
        <f t="shared" si="562"/>
        <v>131350</v>
      </c>
      <c r="BI41" s="44">
        <f t="shared" si="562"/>
        <v>131350</v>
      </c>
      <c r="BJ41" s="44">
        <f>ROUND(BI41*(1+取值表!$D$8)*取值表!$H$8,0)</f>
        <v>132254</v>
      </c>
      <c r="BK41" s="44">
        <f t="shared" ref="BK41:BM41" si="563">BJ41</f>
        <v>132254</v>
      </c>
      <c r="BL41" s="44">
        <f t="shared" si="563"/>
        <v>132254</v>
      </c>
      <c r="BM41" s="44">
        <f t="shared" si="563"/>
        <v>132254</v>
      </c>
      <c r="BN41" s="44">
        <f>ROUND(BM41*(1+取值表!$D$8)*取值表!$H$8,0)</f>
        <v>133164</v>
      </c>
      <c r="BO41" s="44">
        <f t="shared" ref="BO41:BQ41" si="564">BN41</f>
        <v>133164</v>
      </c>
      <c r="BP41" s="44">
        <f t="shared" si="564"/>
        <v>133164</v>
      </c>
      <c r="BQ41" s="44">
        <f t="shared" si="564"/>
        <v>133164</v>
      </c>
      <c r="BR41" s="44">
        <f>ROUND(BQ41*(1+取值表!$D$8)*取值表!$H$8,0)</f>
        <v>134080</v>
      </c>
      <c r="BS41" s="44">
        <f t="shared" ref="BS41:BU41" si="565">BR41</f>
        <v>134080</v>
      </c>
      <c r="BT41" s="44">
        <f t="shared" si="565"/>
        <v>134080</v>
      </c>
      <c r="BU41" s="44">
        <f t="shared" si="565"/>
        <v>134080</v>
      </c>
      <c r="BV41" s="44">
        <f>ROUND(BU41*(1+取值表!$D$8)*取值表!$H$8,0)</f>
        <v>135003</v>
      </c>
      <c r="BW41" s="44">
        <f t="shared" ref="BW41:BY41" si="566">BV41</f>
        <v>135003</v>
      </c>
      <c r="BX41" s="44">
        <f t="shared" si="566"/>
        <v>135003</v>
      </c>
      <c r="BY41" s="44">
        <f t="shared" si="566"/>
        <v>135003</v>
      </c>
      <c r="BZ41" s="44">
        <f>ROUND(BY41*(1+取值表!$D$8)*取值表!$H$8,0)</f>
        <v>135932</v>
      </c>
      <c r="CA41" s="44">
        <f t="shared" ref="CA41:CC41" si="567">BZ41</f>
        <v>135932</v>
      </c>
      <c r="CB41" s="44">
        <f t="shared" si="567"/>
        <v>135932</v>
      </c>
      <c r="CC41" s="44">
        <f t="shared" si="567"/>
        <v>135932</v>
      </c>
      <c r="CD41" s="44">
        <f>ROUND(CC41*(1+取值表!$D$8)*取值表!$H$8,0)</f>
        <v>136867</v>
      </c>
      <c r="CE41" s="44">
        <f t="shared" ref="CE41:CG41" si="568">CD41</f>
        <v>136867</v>
      </c>
      <c r="CF41" s="44">
        <f t="shared" si="568"/>
        <v>136867</v>
      </c>
      <c r="CG41" s="44">
        <f t="shared" si="568"/>
        <v>136867</v>
      </c>
      <c r="CH41" s="44">
        <f>ROUND(CG41*(1+取值表!$D$8)*取值表!$H$8,0)</f>
        <v>137809</v>
      </c>
      <c r="CI41" s="44">
        <f t="shared" ref="CI41:CK41" si="569">CH41</f>
        <v>137809</v>
      </c>
      <c r="CJ41" s="44">
        <f t="shared" si="569"/>
        <v>137809</v>
      </c>
      <c r="CK41" s="44">
        <f t="shared" si="569"/>
        <v>137809</v>
      </c>
      <c r="CL41" s="44">
        <f>ROUND(CK41*(1+取值表!$D$8)*取值表!$H$8,0)</f>
        <v>138757</v>
      </c>
      <c r="CM41" s="44">
        <f t="shared" ref="CM41:CO41" si="570">CL41</f>
        <v>138757</v>
      </c>
      <c r="CN41" s="44">
        <f t="shared" si="570"/>
        <v>138757</v>
      </c>
      <c r="CO41" s="44">
        <f t="shared" si="570"/>
        <v>138757</v>
      </c>
      <c r="CP41" s="44">
        <f>ROUND(CO41*(1+取值表!$D$8)*取值表!$H$8,0)</f>
        <v>139712</v>
      </c>
      <c r="CQ41" s="44">
        <f t="shared" ref="CQ41" si="571">CP41</f>
        <v>139712</v>
      </c>
      <c r="CR41" s="44">
        <f t="shared" ref="CR41" si="572">CQ41</f>
        <v>139712</v>
      </c>
      <c r="CS41" s="44">
        <f t="shared" ref="CS41" si="573">CR41</f>
        <v>139712</v>
      </c>
      <c r="CT41" s="44">
        <f>ROUND(CS41*(1+取值表!$D$8)*取值表!$H$8,0)</f>
        <v>140673</v>
      </c>
      <c r="CU41" s="44">
        <f t="shared" ref="CU41" si="574">CT41</f>
        <v>140673</v>
      </c>
      <c r="CV41" s="44">
        <f t="shared" ref="CV41" si="575">CU41</f>
        <v>140673</v>
      </c>
      <c r="CW41" s="44">
        <f t="shared" ref="CW41" si="576">CV41</f>
        <v>140673</v>
      </c>
      <c r="CX41" s="44">
        <f>ROUND(CW41*(1+取值表!$D$8)*取值表!$H$8,0)</f>
        <v>141641</v>
      </c>
      <c r="CY41" s="44">
        <f t="shared" ref="CY41" si="577">CX41</f>
        <v>141641</v>
      </c>
      <c r="CZ41" s="44">
        <f t="shared" ref="CZ41" si="578">CY41</f>
        <v>141641</v>
      </c>
      <c r="DA41" s="44">
        <f t="shared" ref="DA41" si="579">CZ41</f>
        <v>141641</v>
      </c>
      <c r="DB41" s="44">
        <f>ROUND(DA41*(1+取值表!$D$8)*取值表!$H$8,0)</f>
        <v>142616</v>
      </c>
      <c r="DC41" s="44">
        <f t="shared" ref="DC41" si="580">DB41</f>
        <v>142616</v>
      </c>
      <c r="DD41" s="44">
        <f t="shared" ref="DD41" si="581">DC41</f>
        <v>142616</v>
      </c>
      <c r="DE41" s="44">
        <f t="shared" ref="DE41" si="582">DD41</f>
        <v>142616</v>
      </c>
      <c r="DF41" s="45">
        <f t="shared" si="30"/>
        <v>13151012</v>
      </c>
    </row>
    <row r="42" spans="1:110" s="40" customFormat="1" ht="12" customHeight="1">
      <c r="A42" s="448"/>
      <c r="B42" s="518"/>
      <c r="C42" s="450"/>
      <c r="D42" s="451"/>
      <c r="E42" s="452"/>
      <c r="F42" s="446"/>
      <c r="G42" s="446"/>
      <c r="H42" s="447"/>
      <c r="I42" s="41"/>
      <c r="J42" s="42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5">
        <f t="shared" si="30"/>
        <v>0</v>
      </c>
    </row>
    <row r="43" spans="1:110" s="40" customFormat="1" ht="12">
      <c r="A43" s="448">
        <v>21</v>
      </c>
      <c r="B43" s="518" t="s">
        <v>76</v>
      </c>
      <c r="C43" s="450" t="s">
        <v>727</v>
      </c>
      <c r="D43" s="451" t="s">
        <v>453</v>
      </c>
      <c r="E43" s="452" t="s">
        <v>443</v>
      </c>
      <c r="F43" s="446">
        <v>23.4</v>
      </c>
      <c r="G43" s="446">
        <v>46</v>
      </c>
      <c r="H43" s="447">
        <f>F43*G43*365</f>
        <v>392885.99999999994</v>
      </c>
      <c r="I43" s="41">
        <v>85410</v>
      </c>
      <c r="J43" s="42">
        <f>ROUND(F43*G43*365/4,0)</f>
        <v>98222</v>
      </c>
      <c r="K43" s="43">
        <f>J43</f>
        <v>98222</v>
      </c>
      <c r="L43" s="44">
        <f>K43</f>
        <v>98222</v>
      </c>
      <c r="M43" s="44">
        <f>L43</f>
        <v>98222</v>
      </c>
      <c r="N43" s="44">
        <f>ROUND(M43*(1+取值表!$D$8)*取值表!$H$8,0)</f>
        <v>98898</v>
      </c>
      <c r="O43" s="44">
        <f>N43</f>
        <v>98898</v>
      </c>
      <c r="P43" s="44">
        <f>O43</f>
        <v>98898</v>
      </c>
      <c r="Q43" s="44">
        <f>P43</f>
        <v>98898</v>
      </c>
      <c r="R43" s="44">
        <f>ROUND(Q43*(1+取值表!$D$8)*取值表!$H$8,0)</f>
        <v>99579</v>
      </c>
      <c r="S43" s="44">
        <f t="shared" ref="S43:U43" si="583">R43</f>
        <v>99579</v>
      </c>
      <c r="T43" s="44">
        <f t="shared" si="583"/>
        <v>99579</v>
      </c>
      <c r="U43" s="44">
        <f t="shared" si="583"/>
        <v>99579</v>
      </c>
      <c r="V43" s="44">
        <f>ROUND(U43*(1+取值表!$D$8)*取值表!$H$8,0)</f>
        <v>100264</v>
      </c>
      <c r="W43" s="44">
        <f t="shared" ref="W43:Y43" si="584">V43</f>
        <v>100264</v>
      </c>
      <c r="X43" s="44">
        <f t="shared" si="584"/>
        <v>100264</v>
      </c>
      <c r="Y43" s="44">
        <f t="shared" si="584"/>
        <v>100264</v>
      </c>
      <c r="Z43" s="44">
        <f>ROUND(Y43*(1+取值表!$D$8)*取值表!$H$8,0)</f>
        <v>100954</v>
      </c>
      <c r="AA43" s="44">
        <f t="shared" ref="AA43:AC43" si="585">Z43</f>
        <v>100954</v>
      </c>
      <c r="AB43" s="44">
        <f t="shared" si="585"/>
        <v>100954</v>
      </c>
      <c r="AC43" s="44">
        <f t="shared" si="585"/>
        <v>100954</v>
      </c>
      <c r="AD43" s="44">
        <f>ROUND(AC43*(1+取值表!$D$8)*取值表!$H$8,0)</f>
        <v>101649</v>
      </c>
      <c r="AE43" s="44">
        <f t="shared" ref="AE43:AG43" si="586">AD43</f>
        <v>101649</v>
      </c>
      <c r="AF43" s="44">
        <f t="shared" si="586"/>
        <v>101649</v>
      </c>
      <c r="AG43" s="44">
        <f t="shared" si="586"/>
        <v>101649</v>
      </c>
      <c r="AH43" s="44">
        <f>ROUND(AG43*(1+取值表!$D$8)*取值表!$H$8,0)</f>
        <v>102349</v>
      </c>
      <c r="AI43" s="44">
        <f t="shared" ref="AI43:AK43" si="587">AH43</f>
        <v>102349</v>
      </c>
      <c r="AJ43" s="44">
        <f t="shared" si="587"/>
        <v>102349</v>
      </c>
      <c r="AK43" s="44">
        <f t="shared" si="587"/>
        <v>102349</v>
      </c>
      <c r="AL43" s="44">
        <f>ROUND(AK43*(1+取值表!$D$8)*取值表!$H$8,0)</f>
        <v>103053</v>
      </c>
      <c r="AM43" s="44">
        <f t="shared" ref="AM43:AO43" si="588">AL43</f>
        <v>103053</v>
      </c>
      <c r="AN43" s="44">
        <f t="shared" si="588"/>
        <v>103053</v>
      </c>
      <c r="AO43" s="44">
        <f t="shared" si="588"/>
        <v>103053</v>
      </c>
      <c r="AP43" s="44">
        <f>ROUND(AO43*(1+取值表!$D$8)*取值表!$H$8,0)</f>
        <v>103762</v>
      </c>
      <c r="AQ43" s="44">
        <f t="shared" ref="AQ43:AS43" si="589">AP43</f>
        <v>103762</v>
      </c>
      <c r="AR43" s="44">
        <f t="shared" si="589"/>
        <v>103762</v>
      </c>
      <c r="AS43" s="44">
        <f t="shared" si="589"/>
        <v>103762</v>
      </c>
      <c r="AT43" s="44">
        <f>ROUND(AS43*(1+取值表!$D$8)*取值表!$H$8,0)</f>
        <v>104476</v>
      </c>
      <c r="AU43" s="44">
        <f t="shared" ref="AU43:AW43" si="590">AT43</f>
        <v>104476</v>
      </c>
      <c r="AV43" s="44">
        <f t="shared" si="590"/>
        <v>104476</v>
      </c>
      <c r="AW43" s="44">
        <f t="shared" si="590"/>
        <v>104476</v>
      </c>
      <c r="AX43" s="44">
        <f>ROUND(AW43*(1+取值表!$D$8)*取值表!$H$8,0)</f>
        <v>105195</v>
      </c>
      <c r="AY43" s="44">
        <f t="shared" ref="AY43:BA43" si="591">AX43</f>
        <v>105195</v>
      </c>
      <c r="AZ43" s="44">
        <f t="shared" si="591"/>
        <v>105195</v>
      </c>
      <c r="BA43" s="44">
        <f t="shared" si="591"/>
        <v>105195</v>
      </c>
      <c r="BB43" s="44">
        <f>ROUND(BA43*(1+取值表!$D$8)*取值表!$H$8,0)</f>
        <v>105919</v>
      </c>
      <c r="BC43" s="44">
        <f t="shared" ref="BC43:BE43" si="592">BB43</f>
        <v>105919</v>
      </c>
      <c r="BD43" s="44">
        <f t="shared" si="592"/>
        <v>105919</v>
      </c>
      <c r="BE43" s="44">
        <f t="shared" si="592"/>
        <v>105919</v>
      </c>
      <c r="BF43" s="44">
        <f>ROUND(BE43*(1+取值表!$D$8)*取值表!$H$8,0)</f>
        <v>106648</v>
      </c>
      <c r="BG43" s="44">
        <f t="shared" ref="BG43:BI43" si="593">BF43</f>
        <v>106648</v>
      </c>
      <c r="BH43" s="44">
        <f t="shared" si="593"/>
        <v>106648</v>
      </c>
      <c r="BI43" s="44">
        <f t="shared" si="593"/>
        <v>106648</v>
      </c>
      <c r="BJ43" s="44">
        <f>ROUND(BI43*(1+取值表!$D$8)*取值表!$H$8,0)</f>
        <v>107382</v>
      </c>
      <c r="BK43" s="44">
        <f t="shared" ref="BK43:BM43" si="594">BJ43</f>
        <v>107382</v>
      </c>
      <c r="BL43" s="44">
        <f t="shared" si="594"/>
        <v>107382</v>
      </c>
      <c r="BM43" s="44">
        <f t="shared" si="594"/>
        <v>107382</v>
      </c>
      <c r="BN43" s="44">
        <f>ROUND(BM43*(1+取值表!$D$8)*取值表!$H$8,0)</f>
        <v>108121</v>
      </c>
      <c r="BO43" s="44">
        <f t="shared" ref="BO43:BQ43" si="595">BN43</f>
        <v>108121</v>
      </c>
      <c r="BP43" s="44">
        <f t="shared" si="595"/>
        <v>108121</v>
      </c>
      <c r="BQ43" s="44">
        <f t="shared" si="595"/>
        <v>108121</v>
      </c>
      <c r="BR43" s="44">
        <f>ROUND(BQ43*(1+取值表!$D$8)*取值表!$H$8,0)</f>
        <v>108865</v>
      </c>
      <c r="BS43" s="44">
        <f t="shared" ref="BS43:BU43" si="596">BR43</f>
        <v>108865</v>
      </c>
      <c r="BT43" s="44">
        <f t="shared" si="596"/>
        <v>108865</v>
      </c>
      <c r="BU43" s="44">
        <f t="shared" si="596"/>
        <v>108865</v>
      </c>
      <c r="BV43" s="44">
        <f>ROUND(BU43*(1+取值表!$D$8)*取值表!$H$8,0)</f>
        <v>109614</v>
      </c>
      <c r="BW43" s="44">
        <f t="shared" ref="BW43:BY43" si="597">BV43</f>
        <v>109614</v>
      </c>
      <c r="BX43" s="44">
        <f t="shared" si="597"/>
        <v>109614</v>
      </c>
      <c r="BY43" s="44">
        <f t="shared" si="597"/>
        <v>109614</v>
      </c>
      <c r="BZ43" s="44">
        <f>ROUND(BY43*(1+取值表!$D$8)*取值表!$H$8,0)</f>
        <v>110368</v>
      </c>
      <c r="CA43" s="44">
        <f t="shared" ref="CA43:CC43" si="598">BZ43</f>
        <v>110368</v>
      </c>
      <c r="CB43" s="44">
        <f t="shared" si="598"/>
        <v>110368</v>
      </c>
      <c r="CC43" s="44">
        <f t="shared" si="598"/>
        <v>110368</v>
      </c>
      <c r="CD43" s="44">
        <f>ROUND(CC43*(1+取值表!$D$8)*取值表!$H$8,0)</f>
        <v>111128</v>
      </c>
      <c r="CE43" s="44">
        <f t="shared" ref="CE43:CG43" si="599">CD43</f>
        <v>111128</v>
      </c>
      <c r="CF43" s="44">
        <f t="shared" si="599"/>
        <v>111128</v>
      </c>
      <c r="CG43" s="44">
        <f t="shared" si="599"/>
        <v>111128</v>
      </c>
      <c r="CH43" s="44">
        <f>ROUND(CG43*(1+取值表!$D$8)*取值表!$H$8,0)</f>
        <v>111893</v>
      </c>
      <c r="CI43" s="44">
        <f t="shared" ref="CI43:CK43" si="600">CH43</f>
        <v>111893</v>
      </c>
      <c r="CJ43" s="44">
        <f t="shared" si="600"/>
        <v>111893</v>
      </c>
      <c r="CK43" s="44">
        <f t="shared" si="600"/>
        <v>111893</v>
      </c>
      <c r="CL43" s="44">
        <f>ROUND(CK43*(1+取值表!$D$8)*取值表!$H$8,0)</f>
        <v>112663</v>
      </c>
      <c r="CM43" s="44">
        <f t="shared" ref="CM43:CO43" si="601">CL43</f>
        <v>112663</v>
      </c>
      <c r="CN43" s="44">
        <f t="shared" si="601"/>
        <v>112663</v>
      </c>
      <c r="CO43" s="44">
        <f t="shared" si="601"/>
        <v>112663</v>
      </c>
      <c r="CP43" s="44">
        <f>ROUND(CO43*(1+取值表!$D$8)*取值表!$H$8,0)</f>
        <v>113438</v>
      </c>
      <c r="CQ43" s="44">
        <f t="shared" ref="CQ43" si="602">CP43</f>
        <v>113438</v>
      </c>
      <c r="CR43" s="44">
        <f t="shared" ref="CR43" si="603">CQ43</f>
        <v>113438</v>
      </c>
      <c r="CS43" s="44">
        <f t="shared" ref="CS43" si="604">CR43</f>
        <v>113438</v>
      </c>
      <c r="CT43" s="44">
        <f>ROUND(CS43*(1+取值表!$D$8)*取值表!$H$8,0)</f>
        <v>114219</v>
      </c>
      <c r="CU43" s="44">
        <f t="shared" ref="CU43" si="605">CT43</f>
        <v>114219</v>
      </c>
      <c r="CV43" s="44">
        <f t="shared" ref="CV43" si="606">CU43</f>
        <v>114219</v>
      </c>
      <c r="CW43" s="44">
        <f t="shared" ref="CW43" si="607">CV43</f>
        <v>114219</v>
      </c>
      <c r="CX43" s="44">
        <f>ROUND(CW43*(1+取值表!$D$8)*取值表!$H$8,0)</f>
        <v>115005</v>
      </c>
      <c r="CY43" s="44">
        <f t="shared" ref="CY43" si="608">CX43</f>
        <v>115005</v>
      </c>
      <c r="CZ43" s="44">
        <f t="shared" ref="CZ43" si="609">CY43</f>
        <v>115005</v>
      </c>
      <c r="DA43" s="44">
        <f t="shared" ref="DA43" si="610">CZ43</f>
        <v>115005</v>
      </c>
      <c r="DB43" s="44">
        <f>ROUND(DA43*(1+取值表!$D$8)*取值表!$H$8,0)</f>
        <v>115796</v>
      </c>
      <c r="DC43" s="44">
        <f t="shared" ref="DC43" si="611">DB43</f>
        <v>115796</v>
      </c>
      <c r="DD43" s="44">
        <f t="shared" ref="DD43" si="612">DC43</f>
        <v>115796</v>
      </c>
      <c r="DE43" s="44">
        <f t="shared" ref="DE43" si="613">DD43</f>
        <v>115796</v>
      </c>
      <c r="DF43" s="45">
        <f t="shared" si="30"/>
        <v>10677840</v>
      </c>
    </row>
    <row r="44" spans="1:110" s="40" customFormat="1" ht="12">
      <c r="A44" s="448"/>
      <c r="B44" s="518"/>
      <c r="C44" s="450"/>
      <c r="D44" s="451"/>
      <c r="E44" s="452"/>
      <c r="F44" s="446"/>
      <c r="G44" s="446"/>
      <c r="H44" s="447"/>
      <c r="I44" s="41"/>
      <c r="J44" s="42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5">
        <f t="shared" si="30"/>
        <v>0</v>
      </c>
    </row>
    <row r="45" spans="1:110" s="40" customFormat="1" ht="12" customHeight="1">
      <c r="A45" s="448">
        <v>22</v>
      </c>
      <c r="B45" s="518" t="s">
        <v>77</v>
      </c>
      <c r="C45" s="450" t="s">
        <v>78</v>
      </c>
      <c r="D45" s="451" t="s">
        <v>79</v>
      </c>
      <c r="E45" s="452" t="s">
        <v>443</v>
      </c>
      <c r="F45" s="446">
        <v>463.85</v>
      </c>
      <c r="G45" s="446">
        <f>AVERAGE(6,6,6,6,6)</f>
        <v>6</v>
      </c>
      <c r="H45" s="447">
        <f>F45*G45*365</f>
        <v>1015831.5000000001</v>
      </c>
      <c r="I45" s="41">
        <v>300000</v>
      </c>
      <c r="J45" s="42">
        <f>K45</f>
        <v>253958</v>
      </c>
      <c r="K45" s="44">
        <f t="shared" ref="K45:Q45" si="614">L45</f>
        <v>253958</v>
      </c>
      <c r="L45" s="44">
        <f t="shared" si="614"/>
        <v>253958</v>
      </c>
      <c r="M45" s="44">
        <f t="shared" si="614"/>
        <v>253958</v>
      </c>
      <c r="N45" s="44">
        <f t="shared" si="614"/>
        <v>253958</v>
      </c>
      <c r="O45" s="44">
        <f t="shared" si="614"/>
        <v>253958</v>
      </c>
      <c r="P45" s="44">
        <f t="shared" si="614"/>
        <v>253958</v>
      </c>
      <c r="Q45" s="44">
        <f t="shared" si="614"/>
        <v>253958</v>
      </c>
      <c r="R45" s="44">
        <f>S45</f>
        <v>253958</v>
      </c>
      <c r="S45" s="44">
        <f>T45</f>
        <v>253958</v>
      </c>
      <c r="T45" s="44">
        <f>U45</f>
        <v>253958</v>
      </c>
      <c r="U45" s="44">
        <f>V45</f>
        <v>253958</v>
      </c>
      <c r="V45" s="43">
        <f>ROUND(G45*F45*365/4,0)</f>
        <v>253958</v>
      </c>
      <c r="W45" s="44">
        <f>V45</f>
        <v>253958</v>
      </c>
      <c r="X45" s="44">
        <f>W45</f>
        <v>253958</v>
      </c>
      <c r="Y45" s="44">
        <f>X45</f>
        <v>253958</v>
      </c>
      <c r="Z45" s="44">
        <f>ROUND(Y45*(1+取值表!$D$8)*取值表!$H$8,0)</f>
        <v>255706</v>
      </c>
      <c r="AA45" s="44">
        <f>Z45</f>
        <v>255706</v>
      </c>
      <c r="AB45" s="44">
        <f>AA45</f>
        <v>255706</v>
      </c>
      <c r="AC45" s="44">
        <f>AB45</f>
        <v>255706</v>
      </c>
      <c r="AD45" s="44">
        <f>ROUND(AC45*(1+取值表!$D$8)*取值表!$H$8,0)</f>
        <v>257466</v>
      </c>
      <c r="AE45" s="44">
        <f t="shared" ref="AE45:AG45" si="615">AD45</f>
        <v>257466</v>
      </c>
      <c r="AF45" s="44">
        <f t="shared" si="615"/>
        <v>257466</v>
      </c>
      <c r="AG45" s="44">
        <f t="shared" si="615"/>
        <v>257466</v>
      </c>
      <c r="AH45" s="44">
        <f>ROUND(AG45*(1+取值表!$D$8)*取值表!$H$8,0)</f>
        <v>259238</v>
      </c>
      <c r="AI45" s="44">
        <f t="shared" ref="AI45:AK45" si="616">AH45</f>
        <v>259238</v>
      </c>
      <c r="AJ45" s="44">
        <f t="shared" si="616"/>
        <v>259238</v>
      </c>
      <c r="AK45" s="44">
        <f t="shared" si="616"/>
        <v>259238</v>
      </c>
      <c r="AL45" s="44">
        <f>ROUND(AK45*(1+取值表!$D$8)*取值表!$H$8,0)</f>
        <v>261022</v>
      </c>
      <c r="AM45" s="44">
        <f t="shared" ref="AM45:AO45" si="617">AL45</f>
        <v>261022</v>
      </c>
      <c r="AN45" s="44">
        <f t="shared" si="617"/>
        <v>261022</v>
      </c>
      <c r="AO45" s="44">
        <f t="shared" si="617"/>
        <v>261022</v>
      </c>
      <c r="AP45" s="44">
        <f>ROUND(AO45*(1+取值表!$D$8)*取值表!$H$8,0)</f>
        <v>262818</v>
      </c>
      <c r="AQ45" s="44">
        <f t="shared" ref="AQ45:AS45" si="618">AP45</f>
        <v>262818</v>
      </c>
      <c r="AR45" s="44">
        <f t="shared" si="618"/>
        <v>262818</v>
      </c>
      <c r="AS45" s="44">
        <f t="shared" si="618"/>
        <v>262818</v>
      </c>
      <c r="AT45" s="44">
        <f>ROUND(AS45*(1+取值表!$D$8)*取值表!$H$8,0)</f>
        <v>264627</v>
      </c>
      <c r="AU45" s="44">
        <f t="shared" ref="AU45:AW45" si="619">AT45</f>
        <v>264627</v>
      </c>
      <c r="AV45" s="44">
        <f t="shared" si="619"/>
        <v>264627</v>
      </c>
      <c r="AW45" s="44">
        <f t="shared" si="619"/>
        <v>264627</v>
      </c>
      <c r="AX45" s="44">
        <f>ROUND(AW45*(1+取值表!$D$8)*取值表!$H$8,0)</f>
        <v>266448</v>
      </c>
      <c r="AY45" s="44">
        <f t="shared" ref="AY45:BA45" si="620">AX45</f>
        <v>266448</v>
      </c>
      <c r="AZ45" s="44">
        <f t="shared" si="620"/>
        <v>266448</v>
      </c>
      <c r="BA45" s="44">
        <f t="shared" si="620"/>
        <v>266448</v>
      </c>
      <c r="BB45" s="44">
        <f>ROUND(BA45*(1+取值表!$D$8)*取值表!$H$8,0)</f>
        <v>268282</v>
      </c>
      <c r="BC45" s="44">
        <f t="shared" ref="BC45:BE45" si="621">BB45</f>
        <v>268282</v>
      </c>
      <c r="BD45" s="44">
        <f t="shared" si="621"/>
        <v>268282</v>
      </c>
      <c r="BE45" s="44">
        <f t="shared" si="621"/>
        <v>268282</v>
      </c>
      <c r="BF45" s="44">
        <f>ROUND(BE45*(1+取值表!$D$8)*取值表!$H$8,0)</f>
        <v>270128</v>
      </c>
      <c r="BG45" s="44">
        <f t="shared" ref="BG45:BI45" si="622">BF45</f>
        <v>270128</v>
      </c>
      <c r="BH45" s="44">
        <f t="shared" si="622"/>
        <v>270128</v>
      </c>
      <c r="BI45" s="44">
        <f t="shared" si="622"/>
        <v>270128</v>
      </c>
      <c r="BJ45" s="44">
        <f>ROUND(BI45*(1+取值表!$D$8)*取值表!$H$8,0)</f>
        <v>271987</v>
      </c>
      <c r="BK45" s="44">
        <f t="shared" ref="BK45:BM45" si="623">BJ45</f>
        <v>271987</v>
      </c>
      <c r="BL45" s="44">
        <f t="shared" si="623"/>
        <v>271987</v>
      </c>
      <c r="BM45" s="44">
        <f t="shared" si="623"/>
        <v>271987</v>
      </c>
      <c r="BN45" s="44">
        <f>ROUND(BM45*(1+取值表!$D$8)*取值表!$H$8,0)</f>
        <v>273859</v>
      </c>
      <c r="BO45" s="44">
        <f t="shared" ref="BO45:BQ45" si="624">BN45</f>
        <v>273859</v>
      </c>
      <c r="BP45" s="44">
        <f t="shared" si="624"/>
        <v>273859</v>
      </c>
      <c r="BQ45" s="44">
        <f t="shared" si="624"/>
        <v>273859</v>
      </c>
      <c r="BR45" s="44">
        <f>ROUND(BQ45*(1+取值表!$D$8)*取值表!$H$8,0)</f>
        <v>275744</v>
      </c>
      <c r="BS45" s="44">
        <f t="shared" ref="BS45:BU45" si="625">BR45</f>
        <v>275744</v>
      </c>
      <c r="BT45" s="44">
        <f t="shared" si="625"/>
        <v>275744</v>
      </c>
      <c r="BU45" s="44">
        <f t="shared" si="625"/>
        <v>275744</v>
      </c>
      <c r="BV45" s="44">
        <f>ROUND(BU45*(1+取值表!$D$8)*取值表!$H$8,0)</f>
        <v>277642</v>
      </c>
      <c r="BW45" s="44">
        <f t="shared" ref="BW45:BY45" si="626">BV45</f>
        <v>277642</v>
      </c>
      <c r="BX45" s="44">
        <f t="shared" si="626"/>
        <v>277642</v>
      </c>
      <c r="BY45" s="44">
        <f t="shared" si="626"/>
        <v>277642</v>
      </c>
      <c r="BZ45" s="44">
        <f>ROUND(BY45*(1+取值表!$D$8)*取值表!$H$8,0)</f>
        <v>279553</v>
      </c>
      <c r="CA45" s="44">
        <f t="shared" ref="CA45:CC45" si="627">BZ45</f>
        <v>279553</v>
      </c>
      <c r="CB45" s="44">
        <f t="shared" si="627"/>
        <v>279553</v>
      </c>
      <c r="CC45" s="44">
        <f t="shared" si="627"/>
        <v>279553</v>
      </c>
      <c r="CD45" s="44">
        <f>ROUND(CC45*(1+取值表!$D$8)*取值表!$H$8,0)</f>
        <v>281477</v>
      </c>
      <c r="CE45" s="44">
        <f t="shared" ref="CE45:CG45" si="628">CD45</f>
        <v>281477</v>
      </c>
      <c r="CF45" s="44">
        <f t="shared" si="628"/>
        <v>281477</v>
      </c>
      <c r="CG45" s="44">
        <f t="shared" si="628"/>
        <v>281477</v>
      </c>
      <c r="CH45" s="44">
        <f>ROUND(CG45*(1+取值表!$D$8)*取值表!$H$8,0)</f>
        <v>283414</v>
      </c>
      <c r="CI45" s="44">
        <f t="shared" ref="CI45:CK45" si="629">CH45</f>
        <v>283414</v>
      </c>
      <c r="CJ45" s="44">
        <f t="shared" si="629"/>
        <v>283414</v>
      </c>
      <c r="CK45" s="44">
        <f t="shared" si="629"/>
        <v>283414</v>
      </c>
      <c r="CL45" s="44">
        <f>ROUND(CK45*(1+取值表!$D$8)*取值表!$H$8,0)</f>
        <v>285364</v>
      </c>
      <c r="CM45" s="44">
        <f t="shared" ref="CM45:CO45" si="630">CL45</f>
        <v>285364</v>
      </c>
      <c r="CN45" s="44">
        <f t="shared" si="630"/>
        <v>285364</v>
      </c>
      <c r="CO45" s="44">
        <f t="shared" si="630"/>
        <v>285364</v>
      </c>
      <c r="CP45" s="44">
        <f>ROUND(CO45*(1+取值表!$D$8)*取值表!$H$8,0)</f>
        <v>287328</v>
      </c>
      <c r="CQ45" s="44">
        <f t="shared" ref="CQ45" si="631">CP45</f>
        <v>287328</v>
      </c>
      <c r="CR45" s="44">
        <f t="shared" ref="CR45" si="632">CQ45</f>
        <v>287328</v>
      </c>
      <c r="CS45" s="44">
        <f t="shared" ref="CS45" si="633">CR45</f>
        <v>287328</v>
      </c>
      <c r="CT45" s="44">
        <f>ROUND(CS45*(1+取值表!$D$8)*取值表!$H$8,0)</f>
        <v>289305</v>
      </c>
      <c r="CU45" s="44">
        <f t="shared" ref="CU45" si="634">CT45</f>
        <v>289305</v>
      </c>
      <c r="CV45" s="44">
        <f t="shared" ref="CV45" si="635">CU45</f>
        <v>289305</v>
      </c>
      <c r="CW45" s="44">
        <f t="shared" ref="CW45" si="636">CV45</f>
        <v>289305</v>
      </c>
      <c r="CX45" s="44">
        <f>ROUND(CW45*(1+取值表!$D$8)*取值表!$H$8,0)</f>
        <v>291296</v>
      </c>
      <c r="CY45" s="44">
        <f t="shared" ref="CY45" si="637">CX45</f>
        <v>291296</v>
      </c>
      <c r="CZ45" s="44">
        <f t="shared" ref="CZ45" si="638">CY45</f>
        <v>291296</v>
      </c>
      <c r="DA45" s="44">
        <f t="shared" ref="DA45" si="639">CZ45</f>
        <v>291296</v>
      </c>
      <c r="DB45" s="44">
        <f>ROUND(DA45*(1+取值表!$D$8)*取值表!$H$8,0)</f>
        <v>293301</v>
      </c>
      <c r="DC45" s="44">
        <f t="shared" ref="DC45" si="640">DB45</f>
        <v>293301</v>
      </c>
      <c r="DD45" s="44">
        <f t="shared" ref="DD45" si="641">DC45</f>
        <v>293301</v>
      </c>
      <c r="DE45" s="44">
        <f t="shared" ref="DE45" si="642">DD45</f>
        <v>293301</v>
      </c>
      <c r="DF45" s="45">
        <f t="shared" si="30"/>
        <v>27087348</v>
      </c>
    </row>
    <row r="46" spans="1:110" s="40" customFormat="1" ht="12" customHeight="1">
      <c r="A46" s="448"/>
      <c r="B46" s="518"/>
      <c r="C46" s="450"/>
      <c r="D46" s="451"/>
      <c r="E46" s="452"/>
      <c r="F46" s="446"/>
      <c r="G46" s="446"/>
      <c r="H46" s="447"/>
      <c r="I46" s="41"/>
      <c r="J46" s="42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5">
        <f t="shared" si="30"/>
        <v>0</v>
      </c>
    </row>
    <row r="47" spans="1:110" s="218" customFormat="1" ht="15" customHeight="1">
      <c r="A47" s="448">
        <v>23</v>
      </c>
      <c r="B47" s="518" t="s">
        <v>80</v>
      </c>
      <c r="C47" s="450" t="s">
        <v>728</v>
      </c>
      <c r="D47" s="451" t="s">
        <v>81</v>
      </c>
      <c r="E47" s="452" t="s">
        <v>443</v>
      </c>
      <c r="F47" s="446">
        <v>22.02</v>
      </c>
      <c r="G47" s="446">
        <v>43</v>
      </c>
      <c r="H47" s="447">
        <f>F47*G47*365</f>
        <v>345603.9</v>
      </c>
      <c r="I47" s="41">
        <v>86400.98</v>
      </c>
      <c r="J47" s="42">
        <f>ROUND(F47*G47*365/4,0)</f>
        <v>86401</v>
      </c>
      <c r="K47" s="44">
        <f>J47</f>
        <v>86401</v>
      </c>
      <c r="L47" s="43">
        <f>K47</f>
        <v>86401</v>
      </c>
      <c r="M47" s="44">
        <f>L47</f>
        <v>86401</v>
      </c>
      <c r="N47" s="44">
        <f>ROUND(M47*(1+取值表!$D$8)*取值表!$H$8,0)</f>
        <v>86996</v>
      </c>
      <c r="O47" s="44">
        <f>N47</f>
        <v>86996</v>
      </c>
      <c r="P47" s="44">
        <f>O47</f>
        <v>86996</v>
      </c>
      <c r="Q47" s="44">
        <f>P47</f>
        <v>86996</v>
      </c>
      <c r="R47" s="44">
        <f>ROUND(Q47*(1+取值表!$D$8)*取值表!$H$8,0)</f>
        <v>87595</v>
      </c>
      <c r="S47" s="44">
        <f t="shared" ref="S47:U47" si="643">R47</f>
        <v>87595</v>
      </c>
      <c r="T47" s="44">
        <f t="shared" si="643"/>
        <v>87595</v>
      </c>
      <c r="U47" s="44">
        <f t="shared" si="643"/>
        <v>87595</v>
      </c>
      <c r="V47" s="44">
        <f>ROUND(U47*(1+取值表!$D$8)*取值表!$H$8,0)</f>
        <v>88198</v>
      </c>
      <c r="W47" s="44">
        <f t="shared" ref="W47:Y47" si="644">V47</f>
        <v>88198</v>
      </c>
      <c r="X47" s="44">
        <f t="shared" si="644"/>
        <v>88198</v>
      </c>
      <c r="Y47" s="44">
        <f t="shared" si="644"/>
        <v>88198</v>
      </c>
      <c r="Z47" s="44">
        <f>ROUND(Y47*(1+取值表!$D$8)*取值表!$H$8,0)</f>
        <v>88805</v>
      </c>
      <c r="AA47" s="44">
        <f t="shared" ref="AA47:AC47" si="645">Z47</f>
        <v>88805</v>
      </c>
      <c r="AB47" s="44">
        <f t="shared" si="645"/>
        <v>88805</v>
      </c>
      <c r="AC47" s="44">
        <f t="shared" si="645"/>
        <v>88805</v>
      </c>
      <c r="AD47" s="44">
        <f>ROUND(AC47*(1+取值表!$D$8)*取值表!$H$8,0)</f>
        <v>89416</v>
      </c>
      <c r="AE47" s="44">
        <f t="shared" ref="AE47:AG47" si="646">AD47</f>
        <v>89416</v>
      </c>
      <c r="AF47" s="44">
        <f t="shared" si="646"/>
        <v>89416</v>
      </c>
      <c r="AG47" s="44">
        <f t="shared" si="646"/>
        <v>89416</v>
      </c>
      <c r="AH47" s="44">
        <f>ROUND(AG47*(1+取值表!$D$8)*取值表!$H$8,0)</f>
        <v>90031</v>
      </c>
      <c r="AI47" s="44">
        <f t="shared" ref="AI47:AK47" si="647">AH47</f>
        <v>90031</v>
      </c>
      <c r="AJ47" s="44">
        <f t="shared" si="647"/>
        <v>90031</v>
      </c>
      <c r="AK47" s="44">
        <f t="shared" si="647"/>
        <v>90031</v>
      </c>
      <c r="AL47" s="44">
        <f>ROUND(AK47*(1+取值表!$D$8)*取值表!$H$8,0)</f>
        <v>90651</v>
      </c>
      <c r="AM47" s="44">
        <f t="shared" ref="AM47:AO47" si="648">AL47</f>
        <v>90651</v>
      </c>
      <c r="AN47" s="44">
        <f t="shared" si="648"/>
        <v>90651</v>
      </c>
      <c r="AO47" s="44">
        <f t="shared" si="648"/>
        <v>90651</v>
      </c>
      <c r="AP47" s="44">
        <f>ROUND(AO47*(1+取值表!$D$8)*取值表!$H$8,0)</f>
        <v>91275</v>
      </c>
      <c r="AQ47" s="44">
        <f t="shared" ref="AQ47:AS47" si="649">AP47</f>
        <v>91275</v>
      </c>
      <c r="AR47" s="44">
        <f t="shared" si="649"/>
        <v>91275</v>
      </c>
      <c r="AS47" s="44">
        <f t="shared" si="649"/>
        <v>91275</v>
      </c>
      <c r="AT47" s="44">
        <f>ROUND(AS47*(1+取值表!$D$8)*取值表!$H$8,0)</f>
        <v>91903</v>
      </c>
      <c r="AU47" s="44">
        <f t="shared" ref="AU47:AW47" si="650">AT47</f>
        <v>91903</v>
      </c>
      <c r="AV47" s="44">
        <f t="shared" si="650"/>
        <v>91903</v>
      </c>
      <c r="AW47" s="44">
        <f t="shared" si="650"/>
        <v>91903</v>
      </c>
      <c r="AX47" s="44">
        <f>ROUND(AW47*(1+取值表!$D$8)*取值表!$H$8,0)</f>
        <v>92535</v>
      </c>
      <c r="AY47" s="44">
        <f t="shared" ref="AY47:BA47" si="651">AX47</f>
        <v>92535</v>
      </c>
      <c r="AZ47" s="44">
        <f t="shared" si="651"/>
        <v>92535</v>
      </c>
      <c r="BA47" s="44">
        <f t="shared" si="651"/>
        <v>92535</v>
      </c>
      <c r="BB47" s="44">
        <f>ROUND(BA47*(1+取值表!$D$8)*取值表!$H$8,0)</f>
        <v>93172</v>
      </c>
      <c r="BC47" s="44">
        <f t="shared" ref="BC47:BE47" si="652">BB47</f>
        <v>93172</v>
      </c>
      <c r="BD47" s="44">
        <f t="shared" si="652"/>
        <v>93172</v>
      </c>
      <c r="BE47" s="44">
        <f t="shared" si="652"/>
        <v>93172</v>
      </c>
      <c r="BF47" s="44">
        <f>ROUND(BE47*(1+取值表!$D$8)*取值表!$H$8,0)</f>
        <v>93813</v>
      </c>
      <c r="BG47" s="44">
        <f t="shared" ref="BG47:BI47" si="653">BF47</f>
        <v>93813</v>
      </c>
      <c r="BH47" s="44">
        <f t="shared" si="653"/>
        <v>93813</v>
      </c>
      <c r="BI47" s="44">
        <f t="shared" si="653"/>
        <v>93813</v>
      </c>
      <c r="BJ47" s="44">
        <f>ROUND(BI47*(1+取值表!$D$8)*取值表!$H$8,0)</f>
        <v>94459</v>
      </c>
      <c r="BK47" s="44">
        <f t="shared" ref="BK47:BM47" si="654">BJ47</f>
        <v>94459</v>
      </c>
      <c r="BL47" s="44">
        <f t="shared" si="654"/>
        <v>94459</v>
      </c>
      <c r="BM47" s="44">
        <f t="shared" si="654"/>
        <v>94459</v>
      </c>
      <c r="BN47" s="44">
        <f>ROUND(BM47*(1+取值表!$D$8)*取值表!$H$8,0)</f>
        <v>95109</v>
      </c>
      <c r="BO47" s="44">
        <f t="shared" ref="BO47:BQ47" si="655">BN47</f>
        <v>95109</v>
      </c>
      <c r="BP47" s="44">
        <f t="shared" si="655"/>
        <v>95109</v>
      </c>
      <c r="BQ47" s="44">
        <f t="shared" si="655"/>
        <v>95109</v>
      </c>
      <c r="BR47" s="44">
        <f>ROUND(BQ47*(1+取值表!$D$8)*取值表!$H$8,0)</f>
        <v>95764</v>
      </c>
      <c r="BS47" s="44">
        <f t="shared" ref="BS47:BU47" si="656">BR47</f>
        <v>95764</v>
      </c>
      <c r="BT47" s="44">
        <f t="shared" si="656"/>
        <v>95764</v>
      </c>
      <c r="BU47" s="44">
        <f t="shared" si="656"/>
        <v>95764</v>
      </c>
      <c r="BV47" s="44">
        <f>ROUND(BU47*(1+取值表!$D$8)*取值表!$H$8,0)</f>
        <v>96423</v>
      </c>
      <c r="BW47" s="44">
        <f t="shared" ref="BW47:BY47" si="657">BV47</f>
        <v>96423</v>
      </c>
      <c r="BX47" s="44">
        <f t="shared" si="657"/>
        <v>96423</v>
      </c>
      <c r="BY47" s="44">
        <f t="shared" si="657"/>
        <v>96423</v>
      </c>
      <c r="BZ47" s="44">
        <f>ROUND(BY47*(1+取值表!$D$8)*取值表!$H$8,0)</f>
        <v>97087</v>
      </c>
      <c r="CA47" s="44">
        <f t="shared" ref="CA47:CC47" si="658">BZ47</f>
        <v>97087</v>
      </c>
      <c r="CB47" s="44">
        <f t="shared" si="658"/>
        <v>97087</v>
      </c>
      <c r="CC47" s="44">
        <f t="shared" si="658"/>
        <v>97087</v>
      </c>
      <c r="CD47" s="44">
        <f>ROUND(CC47*(1+取值表!$D$8)*取值表!$H$8,0)</f>
        <v>97755</v>
      </c>
      <c r="CE47" s="44">
        <f t="shared" ref="CE47:CG47" si="659">CD47</f>
        <v>97755</v>
      </c>
      <c r="CF47" s="44">
        <f t="shared" si="659"/>
        <v>97755</v>
      </c>
      <c r="CG47" s="44">
        <f t="shared" si="659"/>
        <v>97755</v>
      </c>
      <c r="CH47" s="44">
        <f>ROUND(CG47*(1+取值表!$D$8)*取值表!$H$8,0)</f>
        <v>98428</v>
      </c>
      <c r="CI47" s="44">
        <f t="shared" ref="CI47:CK47" si="660">CH47</f>
        <v>98428</v>
      </c>
      <c r="CJ47" s="44">
        <f t="shared" si="660"/>
        <v>98428</v>
      </c>
      <c r="CK47" s="44">
        <f t="shared" si="660"/>
        <v>98428</v>
      </c>
      <c r="CL47" s="44">
        <f>ROUND(CK47*(1+取值表!$D$8)*取值表!$H$8,0)</f>
        <v>99105</v>
      </c>
      <c r="CM47" s="44">
        <f t="shared" ref="CM47:CO47" si="661">CL47</f>
        <v>99105</v>
      </c>
      <c r="CN47" s="44">
        <f t="shared" si="661"/>
        <v>99105</v>
      </c>
      <c r="CO47" s="44">
        <f t="shared" si="661"/>
        <v>99105</v>
      </c>
      <c r="CP47" s="44">
        <f>ROUND(CO47*(1+取值表!$D$8)*取值表!$H$8,0)</f>
        <v>99787</v>
      </c>
      <c r="CQ47" s="44">
        <f t="shared" ref="CQ47" si="662">CP47</f>
        <v>99787</v>
      </c>
      <c r="CR47" s="44">
        <f t="shared" ref="CR47" si="663">CQ47</f>
        <v>99787</v>
      </c>
      <c r="CS47" s="44">
        <f t="shared" ref="CS47" si="664">CR47</f>
        <v>99787</v>
      </c>
      <c r="CT47" s="44">
        <f>ROUND(CS47*(1+取值表!$D$8)*取值表!$H$8,0)</f>
        <v>100474</v>
      </c>
      <c r="CU47" s="44">
        <f t="shared" ref="CU47" si="665">CT47</f>
        <v>100474</v>
      </c>
      <c r="CV47" s="44">
        <f t="shared" ref="CV47" si="666">CU47</f>
        <v>100474</v>
      </c>
      <c r="CW47" s="44">
        <f t="shared" ref="CW47" si="667">CV47</f>
        <v>100474</v>
      </c>
      <c r="CX47" s="44">
        <f>ROUND(CW47*(1+取值表!$D$8)*取值表!$H$8,0)</f>
        <v>101165</v>
      </c>
      <c r="CY47" s="44">
        <f t="shared" ref="CY47" si="668">CX47</f>
        <v>101165</v>
      </c>
      <c r="CZ47" s="44">
        <f t="shared" ref="CZ47" si="669">CY47</f>
        <v>101165</v>
      </c>
      <c r="DA47" s="44">
        <f t="shared" ref="DA47" si="670">CZ47</f>
        <v>101165</v>
      </c>
      <c r="DB47" s="44">
        <f>ROUND(DA47*(1+取值表!$D$8)*取值表!$H$8,0)</f>
        <v>101861</v>
      </c>
      <c r="DC47" s="44">
        <f t="shared" ref="DC47" si="671">DB47</f>
        <v>101861</v>
      </c>
      <c r="DD47" s="44">
        <f t="shared" ref="DD47" si="672">DC47</f>
        <v>101861</v>
      </c>
      <c r="DE47" s="44">
        <f t="shared" ref="DE47" si="673">DD47</f>
        <v>101861</v>
      </c>
      <c r="DF47" s="45">
        <f t="shared" si="30"/>
        <v>9392832</v>
      </c>
    </row>
    <row r="48" spans="1:110" s="218" customFormat="1" ht="12">
      <c r="A48" s="448"/>
      <c r="B48" s="518"/>
      <c r="C48" s="450"/>
      <c r="D48" s="451"/>
      <c r="E48" s="452"/>
      <c r="F48" s="446"/>
      <c r="G48" s="446"/>
      <c r="H48" s="447"/>
      <c r="I48" s="41"/>
      <c r="J48" s="42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5">
        <f t="shared" si="30"/>
        <v>0</v>
      </c>
    </row>
    <row r="49" spans="1:111" s="40" customFormat="1" ht="12" customHeight="1">
      <c r="A49" s="448">
        <v>24</v>
      </c>
      <c r="B49" s="518" t="s">
        <v>82</v>
      </c>
      <c r="C49" s="450" t="s">
        <v>83</v>
      </c>
      <c r="D49" s="451" t="s">
        <v>84</v>
      </c>
      <c r="E49" s="452" t="s">
        <v>451</v>
      </c>
      <c r="F49" s="446">
        <v>1367.64</v>
      </c>
      <c r="G49" s="446">
        <f>H49/F49/365</f>
        <v>9.4554786347284363</v>
      </c>
      <c r="H49" s="447">
        <f>47200671.42/10</f>
        <v>4720067.142</v>
      </c>
      <c r="I49" s="41">
        <v>648806.48</v>
      </c>
      <c r="J49" s="42">
        <f>ROUND(G49*F49*365/4,0)</f>
        <v>1180017</v>
      </c>
      <c r="K49" s="44">
        <f>J49</f>
        <v>1180017</v>
      </c>
      <c r="L49" s="43">
        <f>K49</f>
        <v>1180017</v>
      </c>
      <c r="M49" s="44">
        <f>L49</f>
        <v>1180017</v>
      </c>
      <c r="N49" s="44">
        <f>ROUND(M49*(1+取值表!$D$8)*取值表!$H$8,0)</f>
        <v>1188138</v>
      </c>
      <c r="O49" s="44">
        <f>N49</f>
        <v>1188138</v>
      </c>
      <c r="P49" s="44">
        <f>O49</f>
        <v>1188138</v>
      </c>
      <c r="Q49" s="44">
        <f>P49</f>
        <v>1188138</v>
      </c>
      <c r="R49" s="44">
        <f>ROUND(Q49*(1+取值表!$D$8)*取值表!$H$8,0)</f>
        <v>1196315</v>
      </c>
      <c r="S49" s="44">
        <f t="shared" ref="S49:U49" si="674">R49</f>
        <v>1196315</v>
      </c>
      <c r="T49" s="44">
        <f t="shared" si="674"/>
        <v>1196315</v>
      </c>
      <c r="U49" s="44">
        <f t="shared" si="674"/>
        <v>1196315</v>
      </c>
      <c r="V49" s="44">
        <f>ROUND(U49*(1+取值表!$D$8)*取值表!$H$8,0)</f>
        <v>1204548</v>
      </c>
      <c r="W49" s="44">
        <f t="shared" ref="W49:Y49" si="675">V49</f>
        <v>1204548</v>
      </c>
      <c r="X49" s="44">
        <f t="shared" si="675"/>
        <v>1204548</v>
      </c>
      <c r="Y49" s="44">
        <f t="shared" si="675"/>
        <v>1204548</v>
      </c>
      <c r="Z49" s="44">
        <f>ROUND(Y49*(1+取值表!$D$8)*取值表!$H$8,0)</f>
        <v>1212837</v>
      </c>
      <c r="AA49" s="44">
        <f t="shared" ref="AA49:AC49" si="676">Z49</f>
        <v>1212837</v>
      </c>
      <c r="AB49" s="44">
        <f t="shared" si="676"/>
        <v>1212837</v>
      </c>
      <c r="AC49" s="44">
        <f t="shared" si="676"/>
        <v>1212837</v>
      </c>
      <c r="AD49" s="44">
        <f>ROUND(AC49*(1+取值表!$D$8)*取值表!$H$8,0)</f>
        <v>1221183</v>
      </c>
      <c r="AE49" s="44">
        <f t="shared" ref="AE49:AG49" si="677">AD49</f>
        <v>1221183</v>
      </c>
      <c r="AF49" s="44">
        <f t="shared" si="677"/>
        <v>1221183</v>
      </c>
      <c r="AG49" s="44">
        <f t="shared" si="677"/>
        <v>1221183</v>
      </c>
      <c r="AH49" s="44">
        <f>ROUND(AG49*(1+取值表!$D$8)*取值表!$H$8,0)</f>
        <v>1229587</v>
      </c>
      <c r="AI49" s="44">
        <f t="shared" ref="AI49:AK49" si="678">AH49</f>
        <v>1229587</v>
      </c>
      <c r="AJ49" s="44">
        <f t="shared" si="678"/>
        <v>1229587</v>
      </c>
      <c r="AK49" s="44">
        <f t="shared" si="678"/>
        <v>1229587</v>
      </c>
      <c r="AL49" s="44">
        <f>ROUND(AK49*(1+取值表!$D$8)*取值表!$H$8,0)</f>
        <v>1238049</v>
      </c>
      <c r="AM49" s="44">
        <f t="shared" ref="AM49:AO49" si="679">AL49</f>
        <v>1238049</v>
      </c>
      <c r="AN49" s="44">
        <f t="shared" si="679"/>
        <v>1238049</v>
      </c>
      <c r="AO49" s="44">
        <f t="shared" si="679"/>
        <v>1238049</v>
      </c>
      <c r="AP49" s="44">
        <f>ROUND(AO49*(1+取值表!$D$8)*取值表!$H$8,0)</f>
        <v>1246569</v>
      </c>
      <c r="AQ49" s="44">
        <f t="shared" ref="AQ49:AS49" si="680">AP49</f>
        <v>1246569</v>
      </c>
      <c r="AR49" s="44">
        <f t="shared" si="680"/>
        <v>1246569</v>
      </c>
      <c r="AS49" s="44">
        <f t="shared" si="680"/>
        <v>1246569</v>
      </c>
      <c r="AT49" s="44">
        <f>ROUND(AS49*(1+取值表!$D$8)*取值表!$H$8,0)</f>
        <v>1255148</v>
      </c>
      <c r="AU49" s="44">
        <f t="shared" ref="AU49:AW49" si="681">AT49</f>
        <v>1255148</v>
      </c>
      <c r="AV49" s="44">
        <f t="shared" si="681"/>
        <v>1255148</v>
      </c>
      <c r="AW49" s="44">
        <f t="shared" si="681"/>
        <v>1255148</v>
      </c>
      <c r="AX49" s="44">
        <f>ROUND(AW49*(1+取值表!$D$8)*取值表!$H$8,0)</f>
        <v>1263786</v>
      </c>
      <c r="AY49" s="44">
        <f t="shared" ref="AY49:BA49" si="682">AX49</f>
        <v>1263786</v>
      </c>
      <c r="AZ49" s="44">
        <f t="shared" si="682"/>
        <v>1263786</v>
      </c>
      <c r="BA49" s="44">
        <f t="shared" si="682"/>
        <v>1263786</v>
      </c>
      <c r="BB49" s="44">
        <f>ROUND(BA49*(1+取值表!$D$8)*取值表!$H$8,0)</f>
        <v>1272483</v>
      </c>
      <c r="BC49" s="44">
        <f t="shared" ref="BC49:BE49" si="683">BB49</f>
        <v>1272483</v>
      </c>
      <c r="BD49" s="44">
        <f t="shared" si="683"/>
        <v>1272483</v>
      </c>
      <c r="BE49" s="44">
        <f t="shared" si="683"/>
        <v>1272483</v>
      </c>
      <c r="BF49" s="44">
        <f>ROUND(BE49*(1+取值表!$D$8)*取值表!$H$8,0)</f>
        <v>1281240</v>
      </c>
      <c r="BG49" s="44">
        <f t="shared" ref="BG49:BI49" si="684">BF49</f>
        <v>1281240</v>
      </c>
      <c r="BH49" s="44">
        <f t="shared" si="684"/>
        <v>1281240</v>
      </c>
      <c r="BI49" s="44">
        <f t="shared" si="684"/>
        <v>1281240</v>
      </c>
      <c r="BJ49" s="44">
        <f>ROUND(BI49*(1+取值表!$D$8)*取值表!$H$8,0)</f>
        <v>1290057</v>
      </c>
      <c r="BK49" s="44">
        <f t="shared" ref="BK49:BM49" si="685">BJ49</f>
        <v>1290057</v>
      </c>
      <c r="BL49" s="44">
        <f t="shared" si="685"/>
        <v>1290057</v>
      </c>
      <c r="BM49" s="44">
        <f t="shared" si="685"/>
        <v>1290057</v>
      </c>
      <c r="BN49" s="44">
        <f>ROUND(BM49*(1+取值表!$D$8)*取值表!$H$8,0)</f>
        <v>1298935</v>
      </c>
      <c r="BO49" s="44">
        <f t="shared" ref="BO49:BQ49" si="686">BN49</f>
        <v>1298935</v>
      </c>
      <c r="BP49" s="44">
        <f t="shared" si="686"/>
        <v>1298935</v>
      </c>
      <c r="BQ49" s="44">
        <f t="shared" si="686"/>
        <v>1298935</v>
      </c>
      <c r="BR49" s="44">
        <f>ROUND(BQ49*(1+取值表!$D$8)*取值表!$H$8,0)</f>
        <v>1307874</v>
      </c>
      <c r="BS49" s="44">
        <f t="shared" ref="BS49:BU49" si="687">BR49</f>
        <v>1307874</v>
      </c>
      <c r="BT49" s="44">
        <f t="shared" si="687"/>
        <v>1307874</v>
      </c>
      <c r="BU49" s="44">
        <f t="shared" si="687"/>
        <v>1307874</v>
      </c>
      <c r="BV49" s="44">
        <f>ROUND(BU49*(1+取值表!$D$8)*取值表!$H$8,0)</f>
        <v>1316875</v>
      </c>
      <c r="BW49" s="44">
        <f t="shared" ref="BW49:BY49" si="688">BV49</f>
        <v>1316875</v>
      </c>
      <c r="BX49" s="44">
        <f t="shared" si="688"/>
        <v>1316875</v>
      </c>
      <c r="BY49" s="44">
        <f t="shared" si="688"/>
        <v>1316875</v>
      </c>
      <c r="BZ49" s="44">
        <f>ROUND(BY49*(1+取值表!$D$8)*取值表!$H$8,0)</f>
        <v>1325937</v>
      </c>
      <c r="CA49" s="44">
        <f t="shared" ref="CA49:CC49" si="689">BZ49</f>
        <v>1325937</v>
      </c>
      <c r="CB49" s="44">
        <f t="shared" si="689"/>
        <v>1325937</v>
      </c>
      <c r="CC49" s="44">
        <f t="shared" si="689"/>
        <v>1325937</v>
      </c>
      <c r="CD49" s="44">
        <f>ROUND(CC49*(1+取值表!$D$8)*取值表!$H$8,0)</f>
        <v>1335062</v>
      </c>
      <c r="CE49" s="44">
        <f t="shared" ref="CE49:CG49" si="690">CD49</f>
        <v>1335062</v>
      </c>
      <c r="CF49" s="44">
        <f t="shared" si="690"/>
        <v>1335062</v>
      </c>
      <c r="CG49" s="44">
        <f t="shared" si="690"/>
        <v>1335062</v>
      </c>
      <c r="CH49" s="44">
        <f>ROUND(CG49*(1+取值表!$D$8)*取值表!$H$8,0)</f>
        <v>1344250</v>
      </c>
      <c r="CI49" s="44">
        <f t="shared" ref="CI49:CK49" si="691">CH49</f>
        <v>1344250</v>
      </c>
      <c r="CJ49" s="44">
        <f t="shared" si="691"/>
        <v>1344250</v>
      </c>
      <c r="CK49" s="44">
        <f t="shared" si="691"/>
        <v>1344250</v>
      </c>
      <c r="CL49" s="44">
        <f>ROUND(CK49*(1+取值表!$D$8)*取值表!$H$8,0)</f>
        <v>1353501</v>
      </c>
      <c r="CM49" s="44">
        <f t="shared" ref="CM49:CO49" si="692">CL49</f>
        <v>1353501</v>
      </c>
      <c r="CN49" s="44">
        <f t="shared" si="692"/>
        <v>1353501</v>
      </c>
      <c r="CO49" s="44">
        <f t="shared" si="692"/>
        <v>1353501</v>
      </c>
      <c r="CP49" s="44">
        <f>ROUND(CO49*(1+取值表!$D$8)*取值表!$H$8,0)</f>
        <v>1362816</v>
      </c>
      <c r="CQ49" s="44">
        <f t="shared" ref="CQ49" si="693">CP49</f>
        <v>1362816</v>
      </c>
      <c r="CR49" s="44">
        <f t="shared" ref="CR49" si="694">CQ49</f>
        <v>1362816</v>
      </c>
      <c r="CS49" s="44">
        <f t="shared" ref="CS49" si="695">CR49</f>
        <v>1362816</v>
      </c>
      <c r="CT49" s="44">
        <f>ROUND(CS49*(1+取值表!$D$8)*取值表!$H$8,0)</f>
        <v>1372195</v>
      </c>
      <c r="CU49" s="44">
        <f t="shared" ref="CU49" si="696">CT49</f>
        <v>1372195</v>
      </c>
      <c r="CV49" s="44">
        <f t="shared" ref="CV49" si="697">CU49</f>
        <v>1372195</v>
      </c>
      <c r="CW49" s="44">
        <f t="shared" ref="CW49" si="698">CV49</f>
        <v>1372195</v>
      </c>
      <c r="CX49" s="44">
        <f>ROUND(CW49*(1+取值表!$D$8)*取值表!$H$8,0)</f>
        <v>1381638</v>
      </c>
      <c r="CY49" s="44">
        <f t="shared" ref="CY49" si="699">CX49</f>
        <v>1381638</v>
      </c>
      <c r="CZ49" s="44">
        <f t="shared" ref="CZ49" si="700">CY49</f>
        <v>1381638</v>
      </c>
      <c r="DA49" s="44">
        <f t="shared" ref="DA49" si="701">CZ49</f>
        <v>1381638</v>
      </c>
      <c r="DB49" s="44">
        <f>ROUND(DA49*(1+取值表!$D$8)*取值表!$H$8,0)</f>
        <v>1391146</v>
      </c>
      <c r="DC49" s="44">
        <f t="shared" ref="DC49" si="702">DB49</f>
        <v>1391146</v>
      </c>
      <c r="DD49" s="44">
        <f t="shared" ref="DD49" si="703">DC49</f>
        <v>1391146</v>
      </c>
      <c r="DE49" s="44">
        <f t="shared" ref="DE49" si="704">DD49</f>
        <v>1391146</v>
      </c>
      <c r="DF49" s="45">
        <f t="shared" si="30"/>
        <v>128280744</v>
      </c>
    </row>
    <row r="50" spans="1:111" s="40" customFormat="1" ht="12">
      <c r="A50" s="448"/>
      <c r="B50" s="518"/>
      <c r="C50" s="450"/>
      <c r="D50" s="451"/>
      <c r="E50" s="452"/>
      <c r="F50" s="446"/>
      <c r="G50" s="446"/>
      <c r="H50" s="447"/>
      <c r="I50" s="41"/>
      <c r="J50" s="42"/>
      <c r="K50" s="44"/>
      <c r="L50" s="44"/>
      <c r="M50" s="44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5">
        <f t="shared" si="30"/>
        <v>0</v>
      </c>
    </row>
    <row r="51" spans="1:111" s="40" customFormat="1" ht="12" customHeight="1">
      <c r="A51" s="448">
        <v>25</v>
      </c>
      <c r="B51" s="518" t="s">
        <v>85</v>
      </c>
      <c r="C51" s="450" t="s">
        <v>12</v>
      </c>
      <c r="D51" s="451" t="s">
        <v>454</v>
      </c>
      <c r="E51" s="452" t="s">
        <v>443</v>
      </c>
      <c r="F51" s="446">
        <v>139.91</v>
      </c>
      <c r="G51" s="446">
        <v>23</v>
      </c>
      <c r="H51" s="447">
        <f>F51*G51*365</f>
        <v>1174544.45</v>
      </c>
      <c r="I51" s="41">
        <v>293636.11</v>
      </c>
      <c r="J51" s="42">
        <f>ROUND(G51*F51*365/4,0)</f>
        <v>293636</v>
      </c>
      <c r="K51" s="43">
        <f>J51</f>
        <v>293636</v>
      </c>
      <c r="L51" s="44">
        <f>K51</f>
        <v>293636</v>
      </c>
      <c r="M51" s="44">
        <f>L51</f>
        <v>293636</v>
      </c>
      <c r="N51" s="44">
        <f>ROUND(M51*(1+取值表!$D$8)*取值表!$H$8,0)</f>
        <v>295657</v>
      </c>
      <c r="O51" s="44">
        <f>N51</f>
        <v>295657</v>
      </c>
      <c r="P51" s="44">
        <f>O51</f>
        <v>295657</v>
      </c>
      <c r="Q51" s="44">
        <f>P51</f>
        <v>295657</v>
      </c>
      <c r="R51" s="44">
        <f>ROUND(Q51*(1+取值表!$D$8)*取值表!$H$8,0)</f>
        <v>297692</v>
      </c>
      <c r="S51" s="44">
        <f t="shared" ref="S51:U51" si="705">R51</f>
        <v>297692</v>
      </c>
      <c r="T51" s="44">
        <f t="shared" si="705"/>
        <v>297692</v>
      </c>
      <c r="U51" s="44">
        <f t="shared" si="705"/>
        <v>297692</v>
      </c>
      <c r="V51" s="44">
        <f>ROUND(U51*(1+取值表!$D$8)*取值表!$H$8,0)</f>
        <v>299741</v>
      </c>
      <c r="W51" s="44">
        <f t="shared" ref="W51:Y51" si="706">V51</f>
        <v>299741</v>
      </c>
      <c r="X51" s="44">
        <f t="shared" si="706"/>
        <v>299741</v>
      </c>
      <c r="Y51" s="44">
        <f t="shared" si="706"/>
        <v>299741</v>
      </c>
      <c r="Z51" s="44">
        <f>ROUND(Y51*(1+取值表!$D$8)*取值表!$H$8,0)</f>
        <v>301804</v>
      </c>
      <c r="AA51" s="44">
        <f t="shared" ref="AA51:AC51" si="707">Z51</f>
        <v>301804</v>
      </c>
      <c r="AB51" s="44">
        <f t="shared" si="707"/>
        <v>301804</v>
      </c>
      <c r="AC51" s="44">
        <f t="shared" si="707"/>
        <v>301804</v>
      </c>
      <c r="AD51" s="44">
        <f>ROUND(AC51*(1+取值表!$D$8)*取值表!$H$8,0)</f>
        <v>303881</v>
      </c>
      <c r="AE51" s="44">
        <f t="shared" ref="AE51:AG51" si="708">AD51</f>
        <v>303881</v>
      </c>
      <c r="AF51" s="44">
        <f t="shared" si="708"/>
        <v>303881</v>
      </c>
      <c r="AG51" s="44">
        <f t="shared" si="708"/>
        <v>303881</v>
      </c>
      <c r="AH51" s="44">
        <f>ROUND(AG51*(1+取值表!$D$8)*取值表!$H$8,0)</f>
        <v>305972</v>
      </c>
      <c r="AI51" s="44">
        <f t="shared" ref="AI51:AK51" si="709">AH51</f>
        <v>305972</v>
      </c>
      <c r="AJ51" s="44">
        <f t="shared" si="709"/>
        <v>305972</v>
      </c>
      <c r="AK51" s="44">
        <f t="shared" si="709"/>
        <v>305972</v>
      </c>
      <c r="AL51" s="44">
        <f>ROUND(AK51*(1+取值表!$D$8)*取值表!$H$8,0)</f>
        <v>308078</v>
      </c>
      <c r="AM51" s="44">
        <f t="shared" ref="AM51:AO51" si="710">AL51</f>
        <v>308078</v>
      </c>
      <c r="AN51" s="44">
        <f t="shared" si="710"/>
        <v>308078</v>
      </c>
      <c r="AO51" s="44">
        <f t="shared" si="710"/>
        <v>308078</v>
      </c>
      <c r="AP51" s="44">
        <f>ROUND(AO51*(1+取值表!$D$8)*取值表!$H$8,0)</f>
        <v>310198</v>
      </c>
      <c r="AQ51" s="44">
        <f t="shared" ref="AQ51:AS51" si="711">AP51</f>
        <v>310198</v>
      </c>
      <c r="AR51" s="44">
        <f t="shared" si="711"/>
        <v>310198</v>
      </c>
      <c r="AS51" s="44">
        <f t="shared" si="711"/>
        <v>310198</v>
      </c>
      <c r="AT51" s="44">
        <f>ROUND(AS51*(1+取值表!$D$8)*取值表!$H$8,0)</f>
        <v>312333</v>
      </c>
      <c r="AU51" s="44">
        <f t="shared" ref="AU51:AW51" si="712">AT51</f>
        <v>312333</v>
      </c>
      <c r="AV51" s="44">
        <f t="shared" si="712"/>
        <v>312333</v>
      </c>
      <c r="AW51" s="44">
        <f t="shared" si="712"/>
        <v>312333</v>
      </c>
      <c r="AX51" s="44">
        <f>ROUND(AW51*(1+取值表!$D$8)*取值表!$H$8,0)</f>
        <v>314482</v>
      </c>
      <c r="AY51" s="44">
        <f t="shared" ref="AY51:BA51" si="713">AX51</f>
        <v>314482</v>
      </c>
      <c r="AZ51" s="44">
        <f t="shared" si="713"/>
        <v>314482</v>
      </c>
      <c r="BA51" s="44">
        <f t="shared" si="713"/>
        <v>314482</v>
      </c>
      <c r="BB51" s="44">
        <f>ROUND(BA51*(1+取值表!$D$8)*取值表!$H$8,0)</f>
        <v>316646</v>
      </c>
      <c r="BC51" s="44">
        <f t="shared" ref="BC51:BE51" si="714">BB51</f>
        <v>316646</v>
      </c>
      <c r="BD51" s="44">
        <f t="shared" si="714"/>
        <v>316646</v>
      </c>
      <c r="BE51" s="44">
        <f t="shared" si="714"/>
        <v>316646</v>
      </c>
      <c r="BF51" s="44">
        <f>ROUND(BE51*(1+取值表!$D$8)*取值表!$H$8,0)</f>
        <v>318825</v>
      </c>
      <c r="BG51" s="44">
        <f t="shared" ref="BG51:BI51" si="715">BF51</f>
        <v>318825</v>
      </c>
      <c r="BH51" s="44">
        <f t="shared" si="715"/>
        <v>318825</v>
      </c>
      <c r="BI51" s="44">
        <f t="shared" si="715"/>
        <v>318825</v>
      </c>
      <c r="BJ51" s="44">
        <f>ROUND(BI51*(1+取值表!$D$8)*取值表!$H$8,0)</f>
        <v>321019</v>
      </c>
      <c r="BK51" s="44">
        <f t="shared" ref="BK51:BM51" si="716">BJ51</f>
        <v>321019</v>
      </c>
      <c r="BL51" s="44">
        <f t="shared" si="716"/>
        <v>321019</v>
      </c>
      <c r="BM51" s="44">
        <f t="shared" si="716"/>
        <v>321019</v>
      </c>
      <c r="BN51" s="44">
        <f>ROUND(BM51*(1+取值表!$D$8)*取值表!$H$8,0)</f>
        <v>323228</v>
      </c>
      <c r="BO51" s="44">
        <f t="shared" ref="BO51:BQ51" si="717">BN51</f>
        <v>323228</v>
      </c>
      <c r="BP51" s="44">
        <f t="shared" si="717"/>
        <v>323228</v>
      </c>
      <c r="BQ51" s="44">
        <f t="shared" si="717"/>
        <v>323228</v>
      </c>
      <c r="BR51" s="44">
        <f>ROUND(BQ51*(1+取值表!$D$8)*取值表!$H$8,0)</f>
        <v>325452</v>
      </c>
      <c r="BS51" s="44">
        <f t="shared" ref="BS51:BU51" si="718">BR51</f>
        <v>325452</v>
      </c>
      <c r="BT51" s="44">
        <f t="shared" si="718"/>
        <v>325452</v>
      </c>
      <c r="BU51" s="44">
        <f t="shared" si="718"/>
        <v>325452</v>
      </c>
      <c r="BV51" s="44">
        <f>ROUND(BU51*(1+取值表!$D$8)*取值表!$H$8,0)</f>
        <v>327692</v>
      </c>
      <c r="BW51" s="44">
        <f t="shared" ref="BW51:BY51" si="719">BV51</f>
        <v>327692</v>
      </c>
      <c r="BX51" s="44">
        <f t="shared" si="719"/>
        <v>327692</v>
      </c>
      <c r="BY51" s="44">
        <f t="shared" si="719"/>
        <v>327692</v>
      </c>
      <c r="BZ51" s="44">
        <f>ROUND(BY51*(1+取值表!$D$8)*取值表!$H$8,0)</f>
        <v>329947</v>
      </c>
      <c r="CA51" s="44">
        <f t="shared" ref="CA51:CC51" si="720">BZ51</f>
        <v>329947</v>
      </c>
      <c r="CB51" s="44">
        <f t="shared" si="720"/>
        <v>329947</v>
      </c>
      <c r="CC51" s="44">
        <f t="shared" si="720"/>
        <v>329947</v>
      </c>
      <c r="CD51" s="44">
        <f>ROUND(CC51*(1+取值表!$D$8)*取值表!$H$8,0)</f>
        <v>332218</v>
      </c>
      <c r="CE51" s="44">
        <f t="shared" ref="CE51:CG51" si="721">CD51</f>
        <v>332218</v>
      </c>
      <c r="CF51" s="44">
        <f t="shared" si="721"/>
        <v>332218</v>
      </c>
      <c r="CG51" s="44">
        <f t="shared" si="721"/>
        <v>332218</v>
      </c>
      <c r="CH51" s="44">
        <f>ROUND(CG51*(1+取值表!$D$8)*取值表!$H$8,0)</f>
        <v>334504</v>
      </c>
      <c r="CI51" s="44">
        <f t="shared" ref="CI51:CK51" si="722">CH51</f>
        <v>334504</v>
      </c>
      <c r="CJ51" s="44">
        <f t="shared" si="722"/>
        <v>334504</v>
      </c>
      <c r="CK51" s="44">
        <f t="shared" si="722"/>
        <v>334504</v>
      </c>
      <c r="CL51" s="44">
        <f>ROUND(CK51*(1+取值表!$D$8)*取值表!$H$8,0)</f>
        <v>336806</v>
      </c>
      <c r="CM51" s="44">
        <f t="shared" ref="CM51:CO51" si="723">CL51</f>
        <v>336806</v>
      </c>
      <c r="CN51" s="44">
        <f t="shared" si="723"/>
        <v>336806</v>
      </c>
      <c r="CO51" s="44">
        <f t="shared" si="723"/>
        <v>336806</v>
      </c>
      <c r="CP51" s="44">
        <f>ROUND(CO51*(1+取值表!$D$8)*取值表!$H$8,0)</f>
        <v>339124</v>
      </c>
      <c r="CQ51" s="44">
        <f t="shared" ref="CQ51" si="724">CP51</f>
        <v>339124</v>
      </c>
      <c r="CR51" s="44">
        <f t="shared" ref="CR51" si="725">CQ51</f>
        <v>339124</v>
      </c>
      <c r="CS51" s="44">
        <f t="shared" ref="CS51" si="726">CR51</f>
        <v>339124</v>
      </c>
      <c r="CT51" s="44">
        <f>ROUND(CS51*(1+取值表!$D$8)*取值表!$H$8,0)</f>
        <v>341458</v>
      </c>
      <c r="CU51" s="44">
        <f t="shared" ref="CU51" si="727">CT51</f>
        <v>341458</v>
      </c>
      <c r="CV51" s="44">
        <f t="shared" ref="CV51" si="728">CU51</f>
        <v>341458</v>
      </c>
      <c r="CW51" s="44">
        <f t="shared" ref="CW51" si="729">CV51</f>
        <v>341458</v>
      </c>
      <c r="CX51" s="44">
        <f>ROUND(CW51*(1+取值表!$D$8)*取值表!$H$8,0)</f>
        <v>343808</v>
      </c>
      <c r="CY51" s="44">
        <f t="shared" ref="CY51" si="730">CX51</f>
        <v>343808</v>
      </c>
      <c r="CZ51" s="44">
        <f t="shared" ref="CZ51" si="731">CY51</f>
        <v>343808</v>
      </c>
      <c r="DA51" s="44">
        <f t="shared" ref="DA51" si="732">CZ51</f>
        <v>343808</v>
      </c>
      <c r="DB51" s="44">
        <f>ROUND(DA51*(1+取值表!$D$8)*取值表!$H$8,0)</f>
        <v>346174</v>
      </c>
      <c r="DC51" s="44">
        <f t="shared" ref="DC51" si="733">DB51</f>
        <v>346174</v>
      </c>
      <c r="DD51" s="44">
        <f t="shared" ref="DD51" si="734">DC51</f>
        <v>346174</v>
      </c>
      <c r="DE51" s="44">
        <f t="shared" ref="DE51" si="735">DD51</f>
        <v>346174</v>
      </c>
      <c r="DF51" s="45">
        <f t="shared" si="30"/>
        <v>31921500</v>
      </c>
    </row>
    <row r="52" spans="1:111" s="40" customFormat="1" ht="11.25" customHeight="1">
      <c r="A52" s="448"/>
      <c r="B52" s="518"/>
      <c r="C52" s="450"/>
      <c r="D52" s="451"/>
      <c r="E52" s="452"/>
      <c r="F52" s="446"/>
      <c r="G52" s="446"/>
      <c r="H52" s="447"/>
      <c r="I52" s="41"/>
      <c r="J52" s="42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5">
        <f t="shared" si="30"/>
        <v>0</v>
      </c>
    </row>
    <row r="53" spans="1:111" s="40" customFormat="1" ht="12">
      <c r="A53" s="448">
        <v>26</v>
      </c>
      <c r="B53" s="518" t="s">
        <v>86</v>
      </c>
      <c r="C53" s="537" t="s">
        <v>87</v>
      </c>
      <c r="D53" s="451" t="s">
        <v>29</v>
      </c>
      <c r="E53" s="452" t="s">
        <v>451</v>
      </c>
      <c r="F53" s="446">
        <v>445.58</v>
      </c>
      <c r="G53" s="446">
        <v>12.25</v>
      </c>
      <c r="H53" s="447">
        <f>F53*G53*365</f>
        <v>1992299.575</v>
      </c>
      <c r="I53" s="41">
        <v>243955.05</v>
      </c>
      <c r="J53" s="42">
        <f>ROUND(F53*G53*365/4,0)</f>
        <v>498075</v>
      </c>
      <c r="K53" s="43">
        <f>J53</f>
        <v>498075</v>
      </c>
      <c r="L53" s="44">
        <f>K53</f>
        <v>498075</v>
      </c>
      <c r="M53" s="44">
        <f>L53</f>
        <v>498075</v>
      </c>
      <c r="N53" s="44">
        <f>ROUND(M53*(1+取值表!$D$8)*取值表!$H$8,0)</f>
        <v>501503</v>
      </c>
      <c r="O53" s="44">
        <f>N53</f>
        <v>501503</v>
      </c>
      <c r="P53" s="44">
        <f>O53</f>
        <v>501503</v>
      </c>
      <c r="Q53" s="44">
        <f>P53</f>
        <v>501503</v>
      </c>
      <c r="R53" s="44">
        <f>ROUND(Q53*(1+取值表!$D$8)*取值表!$H$8,0)</f>
        <v>504954</v>
      </c>
      <c r="S53" s="44">
        <f t="shared" ref="S53:U53" si="736">R53</f>
        <v>504954</v>
      </c>
      <c r="T53" s="44">
        <f t="shared" si="736"/>
        <v>504954</v>
      </c>
      <c r="U53" s="44">
        <f t="shared" si="736"/>
        <v>504954</v>
      </c>
      <c r="V53" s="44">
        <f>ROUND(U53*(1+取值表!$D$8)*取值表!$H$8,0)</f>
        <v>508429</v>
      </c>
      <c r="W53" s="44">
        <f t="shared" ref="W53:Y53" si="737">V53</f>
        <v>508429</v>
      </c>
      <c r="X53" s="44">
        <f t="shared" si="737"/>
        <v>508429</v>
      </c>
      <c r="Y53" s="44">
        <f t="shared" si="737"/>
        <v>508429</v>
      </c>
      <c r="Z53" s="44">
        <f>ROUND(Y53*(1+取值表!$D$8)*取值表!$H$8,0)</f>
        <v>511928</v>
      </c>
      <c r="AA53" s="44">
        <f t="shared" ref="AA53:AC53" si="738">Z53</f>
        <v>511928</v>
      </c>
      <c r="AB53" s="44">
        <f t="shared" si="738"/>
        <v>511928</v>
      </c>
      <c r="AC53" s="44">
        <f t="shared" si="738"/>
        <v>511928</v>
      </c>
      <c r="AD53" s="44">
        <f>ROUND(AC53*(1+取值表!$D$8)*取值表!$H$8,0)</f>
        <v>515451</v>
      </c>
      <c r="AE53" s="44">
        <f t="shared" ref="AE53:AG53" si="739">AD53</f>
        <v>515451</v>
      </c>
      <c r="AF53" s="44">
        <f t="shared" si="739"/>
        <v>515451</v>
      </c>
      <c r="AG53" s="44">
        <f t="shared" si="739"/>
        <v>515451</v>
      </c>
      <c r="AH53" s="44">
        <f>ROUND(AG53*(1+取值表!$D$8)*取值表!$H$8,0)</f>
        <v>518998</v>
      </c>
      <c r="AI53" s="44">
        <f t="shared" ref="AI53:AK53" si="740">AH53</f>
        <v>518998</v>
      </c>
      <c r="AJ53" s="44">
        <f t="shared" si="740"/>
        <v>518998</v>
      </c>
      <c r="AK53" s="44">
        <f t="shared" si="740"/>
        <v>518998</v>
      </c>
      <c r="AL53" s="44">
        <f>ROUND(AK53*(1+取值表!$D$8)*取值表!$H$8,0)</f>
        <v>522570</v>
      </c>
      <c r="AM53" s="44">
        <f t="shared" ref="AM53:AO53" si="741">AL53</f>
        <v>522570</v>
      </c>
      <c r="AN53" s="44">
        <f t="shared" si="741"/>
        <v>522570</v>
      </c>
      <c r="AO53" s="44">
        <f t="shared" si="741"/>
        <v>522570</v>
      </c>
      <c r="AP53" s="44">
        <f>ROUND(AO53*(1+取值表!$D$8)*取值表!$H$8,0)</f>
        <v>526166</v>
      </c>
      <c r="AQ53" s="44">
        <f t="shared" ref="AQ53:AS53" si="742">AP53</f>
        <v>526166</v>
      </c>
      <c r="AR53" s="44">
        <f t="shared" si="742"/>
        <v>526166</v>
      </c>
      <c r="AS53" s="44">
        <f t="shared" si="742"/>
        <v>526166</v>
      </c>
      <c r="AT53" s="44">
        <f>ROUND(AS53*(1+取值表!$D$8)*取值表!$H$8,0)</f>
        <v>529787</v>
      </c>
      <c r="AU53" s="44">
        <f t="shared" ref="AU53:AW53" si="743">AT53</f>
        <v>529787</v>
      </c>
      <c r="AV53" s="44">
        <f t="shared" si="743"/>
        <v>529787</v>
      </c>
      <c r="AW53" s="44">
        <f t="shared" si="743"/>
        <v>529787</v>
      </c>
      <c r="AX53" s="44">
        <f>ROUND(AW53*(1+取值表!$D$8)*取值表!$H$8,0)</f>
        <v>533433</v>
      </c>
      <c r="AY53" s="44">
        <f t="shared" ref="AY53:BA53" si="744">AX53</f>
        <v>533433</v>
      </c>
      <c r="AZ53" s="44">
        <f t="shared" si="744"/>
        <v>533433</v>
      </c>
      <c r="BA53" s="44">
        <f t="shared" si="744"/>
        <v>533433</v>
      </c>
      <c r="BB53" s="44">
        <f>ROUND(BA53*(1+取值表!$D$8)*取值表!$H$8,0)</f>
        <v>537104</v>
      </c>
      <c r="BC53" s="44">
        <f t="shared" ref="BC53:BE53" si="745">BB53</f>
        <v>537104</v>
      </c>
      <c r="BD53" s="44">
        <f t="shared" si="745"/>
        <v>537104</v>
      </c>
      <c r="BE53" s="44">
        <f t="shared" si="745"/>
        <v>537104</v>
      </c>
      <c r="BF53" s="44">
        <f>ROUND(BE53*(1+取值表!$D$8)*取值表!$H$8,0)</f>
        <v>540800</v>
      </c>
      <c r="BG53" s="44">
        <f t="shared" ref="BG53:BI53" si="746">BF53</f>
        <v>540800</v>
      </c>
      <c r="BH53" s="44">
        <f t="shared" si="746"/>
        <v>540800</v>
      </c>
      <c r="BI53" s="44">
        <f t="shared" si="746"/>
        <v>540800</v>
      </c>
      <c r="BJ53" s="44">
        <f>ROUND(BI53*(1+取值表!$D$8)*取值表!$H$8,0)</f>
        <v>544522</v>
      </c>
      <c r="BK53" s="44">
        <f t="shared" ref="BK53:BM53" si="747">BJ53</f>
        <v>544522</v>
      </c>
      <c r="BL53" s="44">
        <f t="shared" si="747"/>
        <v>544522</v>
      </c>
      <c r="BM53" s="44">
        <f t="shared" si="747"/>
        <v>544522</v>
      </c>
      <c r="BN53" s="44">
        <f>ROUND(BM53*(1+取值表!$D$8)*取值表!$H$8,0)</f>
        <v>548269</v>
      </c>
      <c r="BO53" s="44">
        <f t="shared" ref="BO53:BQ53" si="748">BN53</f>
        <v>548269</v>
      </c>
      <c r="BP53" s="44">
        <f t="shared" si="748"/>
        <v>548269</v>
      </c>
      <c r="BQ53" s="44">
        <f t="shared" si="748"/>
        <v>548269</v>
      </c>
      <c r="BR53" s="44">
        <f>ROUND(BQ53*(1+取值表!$D$8)*取值表!$H$8,0)</f>
        <v>552042</v>
      </c>
      <c r="BS53" s="44">
        <f t="shared" ref="BS53:BU53" si="749">BR53</f>
        <v>552042</v>
      </c>
      <c r="BT53" s="44">
        <f t="shared" si="749"/>
        <v>552042</v>
      </c>
      <c r="BU53" s="44">
        <f t="shared" si="749"/>
        <v>552042</v>
      </c>
      <c r="BV53" s="44">
        <f>ROUND(BU53*(1+取值表!$D$8)*取值表!$H$8,0)</f>
        <v>555841</v>
      </c>
      <c r="BW53" s="44">
        <f t="shared" ref="BW53:BY53" si="750">BV53</f>
        <v>555841</v>
      </c>
      <c r="BX53" s="44">
        <f t="shared" si="750"/>
        <v>555841</v>
      </c>
      <c r="BY53" s="44">
        <f t="shared" si="750"/>
        <v>555841</v>
      </c>
      <c r="BZ53" s="44">
        <f>ROUND(BY53*(1+取值表!$D$8)*取值表!$H$8,0)</f>
        <v>559666</v>
      </c>
      <c r="CA53" s="44">
        <f t="shared" ref="CA53:CC53" si="751">BZ53</f>
        <v>559666</v>
      </c>
      <c r="CB53" s="44">
        <f t="shared" si="751"/>
        <v>559666</v>
      </c>
      <c r="CC53" s="44">
        <f t="shared" si="751"/>
        <v>559666</v>
      </c>
      <c r="CD53" s="44">
        <f>ROUND(CC53*(1+取值表!$D$8)*取值表!$H$8,0)</f>
        <v>563518</v>
      </c>
      <c r="CE53" s="44">
        <f t="shared" ref="CE53:CG53" si="752">CD53</f>
        <v>563518</v>
      </c>
      <c r="CF53" s="44">
        <f t="shared" si="752"/>
        <v>563518</v>
      </c>
      <c r="CG53" s="44">
        <f t="shared" si="752"/>
        <v>563518</v>
      </c>
      <c r="CH53" s="44">
        <f>ROUND(CG53*(1+取值表!$D$8)*取值表!$H$8,0)</f>
        <v>567396</v>
      </c>
      <c r="CI53" s="44">
        <f t="shared" ref="CI53:CK53" si="753">CH53</f>
        <v>567396</v>
      </c>
      <c r="CJ53" s="44">
        <f t="shared" si="753"/>
        <v>567396</v>
      </c>
      <c r="CK53" s="44">
        <f t="shared" si="753"/>
        <v>567396</v>
      </c>
      <c r="CL53" s="44">
        <f>ROUND(CK53*(1+取值表!$D$8)*取值表!$H$8,0)</f>
        <v>571301</v>
      </c>
      <c r="CM53" s="44">
        <f t="shared" ref="CM53:CO53" si="754">CL53</f>
        <v>571301</v>
      </c>
      <c r="CN53" s="44">
        <f t="shared" si="754"/>
        <v>571301</v>
      </c>
      <c r="CO53" s="44">
        <f t="shared" si="754"/>
        <v>571301</v>
      </c>
      <c r="CP53" s="44">
        <f>ROUND(CO53*(1+取值表!$D$8)*取值表!$H$8,0)</f>
        <v>575233</v>
      </c>
      <c r="CQ53" s="44">
        <f t="shared" ref="CQ53" si="755">CP53</f>
        <v>575233</v>
      </c>
      <c r="CR53" s="44">
        <f t="shared" ref="CR53" si="756">CQ53</f>
        <v>575233</v>
      </c>
      <c r="CS53" s="44">
        <f t="shared" ref="CS53" si="757">CR53</f>
        <v>575233</v>
      </c>
      <c r="CT53" s="44">
        <f>ROUND(CS53*(1+取值表!$D$8)*取值表!$H$8,0)</f>
        <v>579192</v>
      </c>
      <c r="CU53" s="44">
        <f t="shared" ref="CU53" si="758">CT53</f>
        <v>579192</v>
      </c>
      <c r="CV53" s="44">
        <f t="shared" ref="CV53" si="759">CU53</f>
        <v>579192</v>
      </c>
      <c r="CW53" s="44">
        <f t="shared" ref="CW53" si="760">CV53</f>
        <v>579192</v>
      </c>
      <c r="CX53" s="44">
        <f>ROUND(CW53*(1+取值表!$D$8)*取值表!$H$8,0)</f>
        <v>583178</v>
      </c>
      <c r="CY53" s="44">
        <f t="shared" ref="CY53" si="761">CX53</f>
        <v>583178</v>
      </c>
      <c r="CZ53" s="44">
        <f t="shared" ref="CZ53" si="762">CY53</f>
        <v>583178</v>
      </c>
      <c r="DA53" s="44">
        <f t="shared" ref="DA53" si="763">CZ53</f>
        <v>583178</v>
      </c>
      <c r="DB53" s="44">
        <f>ROUND(DA53*(1+取值表!$D$8)*取值表!$H$8,0)</f>
        <v>587191</v>
      </c>
      <c r="DC53" s="44">
        <f t="shared" ref="DC53" si="764">DB53</f>
        <v>587191</v>
      </c>
      <c r="DD53" s="44">
        <f t="shared" ref="DD53" si="765">DC53</f>
        <v>587191</v>
      </c>
      <c r="DE53" s="44">
        <f t="shared" ref="DE53" si="766">DD53</f>
        <v>587191</v>
      </c>
      <c r="DF53" s="45">
        <f t="shared" si="30"/>
        <v>54146188</v>
      </c>
    </row>
    <row r="54" spans="1:111" s="40" customFormat="1" ht="12">
      <c r="A54" s="448"/>
      <c r="B54" s="518"/>
      <c r="C54" s="537"/>
      <c r="D54" s="451"/>
      <c r="E54" s="452"/>
      <c r="F54" s="446"/>
      <c r="G54" s="446"/>
      <c r="H54" s="447"/>
      <c r="I54" s="41"/>
      <c r="J54" s="42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5">
        <f t="shared" si="30"/>
        <v>0</v>
      </c>
    </row>
    <row r="55" spans="1:111" s="40" customFormat="1" ht="12" customHeight="1">
      <c r="A55" s="448">
        <v>27</v>
      </c>
      <c r="B55" s="518" t="s">
        <v>88</v>
      </c>
      <c r="C55" s="450" t="s">
        <v>89</v>
      </c>
      <c r="D55" s="451" t="s">
        <v>455</v>
      </c>
      <c r="E55" s="452" t="s">
        <v>443</v>
      </c>
      <c r="F55" s="446">
        <v>140.13</v>
      </c>
      <c r="G55" s="446">
        <f>AVERAGE(32)</f>
        <v>32</v>
      </c>
      <c r="H55" s="447">
        <f>F55*G55*365</f>
        <v>1636718.4</v>
      </c>
      <c r="I55" s="41">
        <v>396392.74</v>
      </c>
      <c r="J55" s="42">
        <f>ROUND(G55*F55*365/4,0)</f>
        <v>409180</v>
      </c>
      <c r="K55" s="44">
        <f>J55</f>
        <v>409180</v>
      </c>
      <c r="L55" s="43">
        <f>K55</f>
        <v>409180</v>
      </c>
      <c r="M55" s="44">
        <f>L55</f>
        <v>409180</v>
      </c>
      <c r="N55" s="44">
        <f>ROUND(M55*(1+取值表!$D$8)*取值表!$H$8,0)</f>
        <v>411996</v>
      </c>
      <c r="O55" s="44">
        <f>N55</f>
        <v>411996</v>
      </c>
      <c r="P55" s="44">
        <f>O55</f>
        <v>411996</v>
      </c>
      <c r="Q55" s="44">
        <f>P55</f>
        <v>411996</v>
      </c>
      <c r="R55" s="44">
        <f>ROUND(Q55*(1+取值表!$D$8)*取值表!$H$8,0)</f>
        <v>414831</v>
      </c>
      <c r="S55" s="44">
        <f t="shared" ref="S55:U55" si="767">R55</f>
        <v>414831</v>
      </c>
      <c r="T55" s="44">
        <f t="shared" si="767"/>
        <v>414831</v>
      </c>
      <c r="U55" s="44">
        <f t="shared" si="767"/>
        <v>414831</v>
      </c>
      <c r="V55" s="44">
        <f>ROUND(U55*(1+取值表!$D$8)*取值表!$H$8,0)</f>
        <v>417686</v>
      </c>
      <c r="W55" s="44">
        <f t="shared" ref="W55:Y55" si="768">V55</f>
        <v>417686</v>
      </c>
      <c r="X55" s="44">
        <f t="shared" si="768"/>
        <v>417686</v>
      </c>
      <c r="Y55" s="44">
        <f t="shared" si="768"/>
        <v>417686</v>
      </c>
      <c r="Z55" s="44">
        <f>ROUND(Y55*(1+取值表!$D$8)*取值表!$H$8,0)</f>
        <v>420560</v>
      </c>
      <c r="AA55" s="44">
        <f t="shared" ref="AA55:AC55" si="769">Z55</f>
        <v>420560</v>
      </c>
      <c r="AB55" s="44">
        <f t="shared" si="769"/>
        <v>420560</v>
      </c>
      <c r="AC55" s="44">
        <f t="shared" si="769"/>
        <v>420560</v>
      </c>
      <c r="AD55" s="44">
        <f>ROUND(AC55*(1+取值表!$D$8)*取值表!$H$8,0)</f>
        <v>423454</v>
      </c>
      <c r="AE55" s="44">
        <f t="shared" ref="AE55:AG55" si="770">AD55</f>
        <v>423454</v>
      </c>
      <c r="AF55" s="44">
        <f t="shared" si="770"/>
        <v>423454</v>
      </c>
      <c r="AG55" s="44">
        <f t="shared" si="770"/>
        <v>423454</v>
      </c>
      <c r="AH55" s="44">
        <f>ROUND(AG55*(1+取值表!$D$8)*取值表!$H$8,0)</f>
        <v>426368</v>
      </c>
      <c r="AI55" s="44">
        <f t="shared" ref="AI55:AK55" si="771">AH55</f>
        <v>426368</v>
      </c>
      <c r="AJ55" s="44">
        <f t="shared" si="771"/>
        <v>426368</v>
      </c>
      <c r="AK55" s="44">
        <f t="shared" si="771"/>
        <v>426368</v>
      </c>
      <c r="AL55" s="44">
        <f>ROUND(AK55*(1+取值表!$D$8)*取值表!$H$8,0)</f>
        <v>429302</v>
      </c>
      <c r="AM55" s="44">
        <f t="shared" ref="AM55:AO55" si="772">AL55</f>
        <v>429302</v>
      </c>
      <c r="AN55" s="44">
        <f t="shared" si="772"/>
        <v>429302</v>
      </c>
      <c r="AO55" s="44">
        <f t="shared" si="772"/>
        <v>429302</v>
      </c>
      <c r="AP55" s="44">
        <f>ROUND(AO55*(1+取值表!$D$8)*取值表!$H$8,0)</f>
        <v>432256</v>
      </c>
      <c r="AQ55" s="44">
        <f t="shared" ref="AQ55:AS55" si="773">AP55</f>
        <v>432256</v>
      </c>
      <c r="AR55" s="44">
        <f t="shared" si="773"/>
        <v>432256</v>
      </c>
      <c r="AS55" s="44">
        <f t="shared" si="773"/>
        <v>432256</v>
      </c>
      <c r="AT55" s="44">
        <f>ROUND(AS55*(1+取值表!$D$8)*取值表!$H$8,0)</f>
        <v>435231</v>
      </c>
      <c r="AU55" s="44">
        <f t="shared" ref="AU55:AW55" si="774">AT55</f>
        <v>435231</v>
      </c>
      <c r="AV55" s="44">
        <f t="shared" si="774"/>
        <v>435231</v>
      </c>
      <c r="AW55" s="44">
        <f t="shared" si="774"/>
        <v>435231</v>
      </c>
      <c r="AX55" s="44">
        <f>ROUND(AW55*(1+取值表!$D$8)*取值表!$H$8,0)</f>
        <v>438226</v>
      </c>
      <c r="AY55" s="44">
        <f t="shared" ref="AY55:BA55" si="775">AX55</f>
        <v>438226</v>
      </c>
      <c r="AZ55" s="44">
        <f t="shared" si="775"/>
        <v>438226</v>
      </c>
      <c r="BA55" s="44">
        <f t="shared" si="775"/>
        <v>438226</v>
      </c>
      <c r="BB55" s="44">
        <f>ROUND(BA55*(1+取值表!$D$8)*取值表!$H$8,0)</f>
        <v>441242</v>
      </c>
      <c r="BC55" s="44">
        <f t="shared" ref="BC55:BE55" si="776">BB55</f>
        <v>441242</v>
      </c>
      <c r="BD55" s="44">
        <f t="shared" si="776"/>
        <v>441242</v>
      </c>
      <c r="BE55" s="44">
        <f t="shared" si="776"/>
        <v>441242</v>
      </c>
      <c r="BF55" s="44">
        <f>ROUND(BE55*(1+取值表!$D$8)*取值表!$H$8,0)</f>
        <v>444279</v>
      </c>
      <c r="BG55" s="44">
        <f t="shared" ref="BG55:BI55" si="777">BF55</f>
        <v>444279</v>
      </c>
      <c r="BH55" s="44">
        <f t="shared" si="777"/>
        <v>444279</v>
      </c>
      <c r="BI55" s="44">
        <f t="shared" si="777"/>
        <v>444279</v>
      </c>
      <c r="BJ55" s="44">
        <f>ROUND(BI55*(1+取值表!$D$8)*取值表!$H$8,0)</f>
        <v>447336</v>
      </c>
      <c r="BK55" s="44">
        <f t="shared" ref="BK55:BM55" si="778">BJ55</f>
        <v>447336</v>
      </c>
      <c r="BL55" s="44">
        <f t="shared" si="778"/>
        <v>447336</v>
      </c>
      <c r="BM55" s="44">
        <f t="shared" si="778"/>
        <v>447336</v>
      </c>
      <c r="BN55" s="44">
        <f>ROUND(BM55*(1+取值表!$D$8)*取值表!$H$8,0)</f>
        <v>450414</v>
      </c>
      <c r="BO55" s="44">
        <f t="shared" ref="BO55:BQ55" si="779">BN55</f>
        <v>450414</v>
      </c>
      <c r="BP55" s="44">
        <f t="shared" si="779"/>
        <v>450414</v>
      </c>
      <c r="BQ55" s="44">
        <f t="shared" si="779"/>
        <v>450414</v>
      </c>
      <c r="BR55" s="44">
        <f>ROUND(BQ55*(1+取值表!$D$8)*取值表!$H$8,0)</f>
        <v>453514</v>
      </c>
      <c r="BS55" s="44">
        <f t="shared" ref="BS55:BU55" si="780">BR55</f>
        <v>453514</v>
      </c>
      <c r="BT55" s="44">
        <f t="shared" si="780"/>
        <v>453514</v>
      </c>
      <c r="BU55" s="44">
        <f t="shared" si="780"/>
        <v>453514</v>
      </c>
      <c r="BV55" s="44">
        <f>ROUND(BU55*(1+取值表!$D$8)*取值表!$H$8,0)</f>
        <v>456635</v>
      </c>
      <c r="BW55" s="44">
        <f t="shared" ref="BW55:BY55" si="781">BV55</f>
        <v>456635</v>
      </c>
      <c r="BX55" s="44">
        <f t="shared" si="781"/>
        <v>456635</v>
      </c>
      <c r="BY55" s="44">
        <f t="shared" si="781"/>
        <v>456635</v>
      </c>
      <c r="BZ55" s="44">
        <f>ROUND(BY55*(1+取值表!$D$8)*取值表!$H$8,0)</f>
        <v>459777</v>
      </c>
      <c r="CA55" s="44">
        <f t="shared" ref="CA55:CC55" si="782">BZ55</f>
        <v>459777</v>
      </c>
      <c r="CB55" s="44">
        <f t="shared" si="782"/>
        <v>459777</v>
      </c>
      <c r="CC55" s="44">
        <f t="shared" si="782"/>
        <v>459777</v>
      </c>
      <c r="CD55" s="44">
        <f>ROUND(CC55*(1+取值表!$D$8)*取值表!$H$8,0)</f>
        <v>462941</v>
      </c>
      <c r="CE55" s="44">
        <f t="shared" ref="CE55:CG55" si="783">CD55</f>
        <v>462941</v>
      </c>
      <c r="CF55" s="44">
        <f t="shared" si="783"/>
        <v>462941</v>
      </c>
      <c r="CG55" s="44">
        <f t="shared" si="783"/>
        <v>462941</v>
      </c>
      <c r="CH55" s="44">
        <f>ROUND(CG55*(1+取值表!$D$8)*取值表!$H$8,0)</f>
        <v>466127</v>
      </c>
      <c r="CI55" s="44">
        <f t="shared" ref="CI55:CK55" si="784">CH55</f>
        <v>466127</v>
      </c>
      <c r="CJ55" s="44">
        <f t="shared" si="784"/>
        <v>466127</v>
      </c>
      <c r="CK55" s="44">
        <f t="shared" si="784"/>
        <v>466127</v>
      </c>
      <c r="CL55" s="44">
        <f>ROUND(CK55*(1+取值表!$D$8)*取值表!$H$8,0)</f>
        <v>469335</v>
      </c>
      <c r="CM55" s="44">
        <f t="shared" ref="CM55:CO55" si="785">CL55</f>
        <v>469335</v>
      </c>
      <c r="CN55" s="44">
        <f t="shared" si="785"/>
        <v>469335</v>
      </c>
      <c r="CO55" s="44">
        <f t="shared" si="785"/>
        <v>469335</v>
      </c>
      <c r="CP55" s="44">
        <f>ROUND(CO55*(1+取值表!$D$8)*取值表!$H$8,0)</f>
        <v>472565</v>
      </c>
      <c r="CQ55" s="44">
        <f t="shared" ref="CQ55" si="786">CP55</f>
        <v>472565</v>
      </c>
      <c r="CR55" s="44">
        <f t="shared" ref="CR55" si="787">CQ55</f>
        <v>472565</v>
      </c>
      <c r="CS55" s="44">
        <f t="shared" ref="CS55" si="788">CR55</f>
        <v>472565</v>
      </c>
      <c r="CT55" s="44">
        <f>ROUND(CS55*(1+取值表!$D$8)*取值表!$H$8,0)</f>
        <v>475817</v>
      </c>
      <c r="CU55" s="44">
        <f t="shared" ref="CU55" si="789">CT55</f>
        <v>475817</v>
      </c>
      <c r="CV55" s="44">
        <f t="shared" ref="CV55" si="790">CU55</f>
        <v>475817</v>
      </c>
      <c r="CW55" s="44">
        <f t="shared" ref="CW55" si="791">CV55</f>
        <v>475817</v>
      </c>
      <c r="CX55" s="44">
        <f>ROUND(CW55*(1+取值表!$D$8)*取值表!$H$8,0)</f>
        <v>479091</v>
      </c>
      <c r="CY55" s="44">
        <f t="shared" ref="CY55" si="792">CX55</f>
        <v>479091</v>
      </c>
      <c r="CZ55" s="44">
        <f t="shared" ref="CZ55" si="793">CY55</f>
        <v>479091</v>
      </c>
      <c r="DA55" s="44">
        <f t="shared" ref="DA55" si="794">CZ55</f>
        <v>479091</v>
      </c>
      <c r="DB55" s="44">
        <f>ROUND(DA55*(1+取值表!$D$8)*取值表!$H$8,0)</f>
        <v>482388</v>
      </c>
      <c r="DC55" s="44">
        <f t="shared" ref="DC55" si="795">DB55</f>
        <v>482388</v>
      </c>
      <c r="DD55" s="44">
        <f t="shared" ref="DD55" si="796">DC55</f>
        <v>482388</v>
      </c>
      <c r="DE55" s="44">
        <f t="shared" ref="DE55" si="797">DD55</f>
        <v>482388</v>
      </c>
      <c r="DF55" s="45">
        <f t="shared" si="30"/>
        <v>44482204</v>
      </c>
    </row>
    <row r="56" spans="1:111" s="40" customFormat="1" ht="12">
      <c r="A56" s="448"/>
      <c r="B56" s="518"/>
      <c r="C56" s="450"/>
      <c r="D56" s="451"/>
      <c r="E56" s="452"/>
      <c r="F56" s="446"/>
      <c r="G56" s="446"/>
      <c r="H56" s="447"/>
      <c r="I56" s="41">
        <v>0</v>
      </c>
      <c r="J56" s="42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5">
        <f t="shared" si="30"/>
        <v>0</v>
      </c>
    </row>
    <row r="57" spans="1:111" s="40" customFormat="1" ht="12">
      <c r="A57" s="448">
        <v>28</v>
      </c>
      <c r="B57" s="518" t="s">
        <v>90</v>
      </c>
      <c r="C57" s="450" t="s">
        <v>91</v>
      </c>
      <c r="D57" s="451" t="s">
        <v>409</v>
      </c>
      <c r="E57" s="452" t="s">
        <v>443</v>
      </c>
      <c r="F57" s="446">
        <v>271.08999999999997</v>
      </c>
      <c r="G57" s="446">
        <f>AVERAGE(12)</f>
        <v>12</v>
      </c>
      <c r="H57" s="447">
        <f>F57*G57*365</f>
        <v>1187374.2</v>
      </c>
      <c r="I57" s="41">
        <v>593687.1</v>
      </c>
      <c r="J57" s="42">
        <f>ROUND(G57*F57*365/4,0)</f>
        <v>296844</v>
      </c>
      <c r="K57" s="43">
        <f>J57</f>
        <v>296844</v>
      </c>
      <c r="L57" s="44">
        <f>K57</f>
        <v>296844</v>
      </c>
      <c r="M57" s="44">
        <f>L57</f>
        <v>296844</v>
      </c>
      <c r="N57" s="44">
        <f>ROUND(M57*(1+取值表!$D$8)*取值表!$H$8,0)</f>
        <v>298887</v>
      </c>
      <c r="O57" s="44">
        <f>N57</f>
        <v>298887</v>
      </c>
      <c r="P57" s="44">
        <f>O57</f>
        <v>298887</v>
      </c>
      <c r="Q57" s="44">
        <f>P57</f>
        <v>298887</v>
      </c>
      <c r="R57" s="44">
        <f>ROUND(Q57*(1+取值表!$D$8)*取值表!$H$8,0)</f>
        <v>300944</v>
      </c>
      <c r="S57" s="44">
        <f t="shared" ref="S57:U57" si="798">R57</f>
        <v>300944</v>
      </c>
      <c r="T57" s="44">
        <f t="shared" si="798"/>
        <v>300944</v>
      </c>
      <c r="U57" s="44">
        <f t="shared" si="798"/>
        <v>300944</v>
      </c>
      <c r="V57" s="44">
        <f>ROUND(U57*(1+取值表!$D$8)*取值表!$H$8,0)</f>
        <v>303015</v>
      </c>
      <c r="W57" s="44">
        <f t="shared" ref="W57:Y57" si="799">V57</f>
        <v>303015</v>
      </c>
      <c r="X57" s="44">
        <f t="shared" si="799"/>
        <v>303015</v>
      </c>
      <c r="Y57" s="44">
        <f t="shared" si="799"/>
        <v>303015</v>
      </c>
      <c r="Z57" s="44">
        <f>ROUND(Y57*(1+取值表!$D$8)*取值表!$H$8,0)</f>
        <v>305100</v>
      </c>
      <c r="AA57" s="44">
        <f t="shared" ref="AA57:AC57" si="800">Z57</f>
        <v>305100</v>
      </c>
      <c r="AB57" s="44">
        <f t="shared" si="800"/>
        <v>305100</v>
      </c>
      <c r="AC57" s="44">
        <f t="shared" si="800"/>
        <v>305100</v>
      </c>
      <c r="AD57" s="44">
        <f>ROUND(AC57*(1+取值表!$D$8)*取值表!$H$8,0)</f>
        <v>307200</v>
      </c>
      <c r="AE57" s="44">
        <f t="shared" ref="AE57:AG57" si="801">AD57</f>
        <v>307200</v>
      </c>
      <c r="AF57" s="44">
        <f t="shared" si="801"/>
        <v>307200</v>
      </c>
      <c r="AG57" s="44">
        <f t="shared" si="801"/>
        <v>307200</v>
      </c>
      <c r="AH57" s="44">
        <f>ROUND(AG57*(1+取值表!$D$8)*取值表!$H$8,0)</f>
        <v>309314</v>
      </c>
      <c r="AI57" s="44">
        <f t="shared" ref="AI57:AK57" si="802">AH57</f>
        <v>309314</v>
      </c>
      <c r="AJ57" s="44">
        <f t="shared" si="802"/>
        <v>309314</v>
      </c>
      <c r="AK57" s="44">
        <f t="shared" si="802"/>
        <v>309314</v>
      </c>
      <c r="AL57" s="44">
        <f>ROUND(AK57*(1+取值表!$D$8)*取值表!$H$8,0)</f>
        <v>311443</v>
      </c>
      <c r="AM57" s="44">
        <f t="shared" ref="AM57:AO57" si="803">AL57</f>
        <v>311443</v>
      </c>
      <c r="AN57" s="44">
        <f t="shared" si="803"/>
        <v>311443</v>
      </c>
      <c r="AO57" s="44">
        <f t="shared" si="803"/>
        <v>311443</v>
      </c>
      <c r="AP57" s="44">
        <f>ROUND(AO57*(1+取值表!$D$8)*取值表!$H$8,0)</f>
        <v>313586</v>
      </c>
      <c r="AQ57" s="44">
        <f t="shared" ref="AQ57:AS57" si="804">AP57</f>
        <v>313586</v>
      </c>
      <c r="AR57" s="44">
        <f t="shared" si="804"/>
        <v>313586</v>
      </c>
      <c r="AS57" s="44">
        <f t="shared" si="804"/>
        <v>313586</v>
      </c>
      <c r="AT57" s="44">
        <f>ROUND(AS57*(1+取值表!$D$8)*取值表!$H$8,0)</f>
        <v>315744</v>
      </c>
      <c r="AU57" s="44">
        <f t="shared" ref="AU57:AW57" si="805">AT57</f>
        <v>315744</v>
      </c>
      <c r="AV57" s="44">
        <f t="shared" si="805"/>
        <v>315744</v>
      </c>
      <c r="AW57" s="44">
        <f t="shared" si="805"/>
        <v>315744</v>
      </c>
      <c r="AX57" s="44">
        <f>ROUND(AW57*(1+取值表!$D$8)*取值表!$H$8,0)</f>
        <v>317917</v>
      </c>
      <c r="AY57" s="44">
        <f t="shared" ref="AY57:BA57" si="806">AX57</f>
        <v>317917</v>
      </c>
      <c r="AZ57" s="44">
        <f t="shared" si="806"/>
        <v>317917</v>
      </c>
      <c r="BA57" s="44">
        <f t="shared" si="806"/>
        <v>317917</v>
      </c>
      <c r="BB57" s="44">
        <f>ROUND(BA57*(1+取值表!$D$8)*取值表!$H$8,0)</f>
        <v>320105</v>
      </c>
      <c r="BC57" s="44">
        <f t="shared" ref="BC57:BE57" si="807">BB57</f>
        <v>320105</v>
      </c>
      <c r="BD57" s="44">
        <f t="shared" si="807"/>
        <v>320105</v>
      </c>
      <c r="BE57" s="44">
        <f t="shared" si="807"/>
        <v>320105</v>
      </c>
      <c r="BF57" s="44">
        <f>ROUND(BE57*(1+取值表!$D$8)*取值表!$H$8,0)</f>
        <v>322308</v>
      </c>
      <c r="BG57" s="44">
        <f t="shared" ref="BG57:BI57" si="808">BF57</f>
        <v>322308</v>
      </c>
      <c r="BH57" s="44">
        <f t="shared" si="808"/>
        <v>322308</v>
      </c>
      <c r="BI57" s="44">
        <f t="shared" si="808"/>
        <v>322308</v>
      </c>
      <c r="BJ57" s="44">
        <f>ROUND(BI57*(1+取值表!$D$8)*取值表!$H$8,0)</f>
        <v>324526</v>
      </c>
      <c r="BK57" s="44">
        <f t="shared" ref="BK57:BM57" si="809">BJ57</f>
        <v>324526</v>
      </c>
      <c r="BL57" s="44">
        <f t="shared" si="809"/>
        <v>324526</v>
      </c>
      <c r="BM57" s="44">
        <f t="shared" si="809"/>
        <v>324526</v>
      </c>
      <c r="BN57" s="44">
        <f>ROUND(BM57*(1+取值表!$D$8)*取值表!$H$8,0)</f>
        <v>326759</v>
      </c>
      <c r="BO57" s="44">
        <f t="shared" ref="BO57:BQ57" si="810">BN57</f>
        <v>326759</v>
      </c>
      <c r="BP57" s="44">
        <f t="shared" si="810"/>
        <v>326759</v>
      </c>
      <c r="BQ57" s="44">
        <f t="shared" si="810"/>
        <v>326759</v>
      </c>
      <c r="BR57" s="44">
        <f>ROUND(BQ57*(1+取值表!$D$8)*取值表!$H$8,0)</f>
        <v>329008</v>
      </c>
      <c r="BS57" s="44">
        <f t="shared" ref="BS57:BU57" si="811">BR57</f>
        <v>329008</v>
      </c>
      <c r="BT57" s="44">
        <f t="shared" si="811"/>
        <v>329008</v>
      </c>
      <c r="BU57" s="44">
        <f t="shared" si="811"/>
        <v>329008</v>
      </c>
      <c r="BV57" s="44">
        <f>ROUND(BU57*(1+取值表!$D$8)*取值表!$H$8,0)</f>
        <v>331272</v>
      </c>
      <c r="BW57" s="44">
        <f t="shared" ref="BW57:BY57" si="812">BV57</f>
        <v>331272</v>
      </c>
      <c r="BX57" s="44">
        <f t="shared" si="812"/>
        <v>331272</v>
      </c>
      <c r="BY57" s="44">
        <f t="shared" si="812"/>
        <v>331272</v>
      </c>
      <c r="BZ57" s="44">
        <f>ROUND(BY57*(1+取值表!$D$8)*取值表!$H$8,0)</f>
        <v>333552</v>
      </c>
      <c r="CA57" s="44">
        <f t="shared" ref="CA57:CC57" si="813">BZ57</f>
        <v>333552</v>
      </c>
      <c r="CB57" s="44">
        <f t="shared" si="813"/>
        <v>333552</v>
      </c>
      <c r="CC57" s="44">
        <f t="shared" si="813"/>
        <v>333552</v>
      </c>
      <c r="CD57" s="44">
        <f>ROUND(CC57*(1+取值表!$D$8)*取值表!$H$8,0)</f>
        <v>335847</v>
      </c>
      <c r="CE57" s="44">
        <f t="shared" ref="CE57:CG57" si="814">CD57</f>
        <v>335847</v>
      </c>
      <c r="CF57" s="44">
        <f t="shared" si="814"/>
        <v>335847</v>
      </c>
      <c r="CG57" s="44">
        <f t="shared" si="814"/>
        <v>335847</v>
      </c>
      <c r="CH57" s="44">
        <f>ROUND(CG57*(1+取值表!$D$8)*取值表!$H$8,0)</f>
        <v>338158</v>
      </c>
      <c r="CI57" s="44">
        <f t="shared" ref="CI57:CK57" si="815">CH57</f>
        <v>338158</v>
      </c>
      <c r="CJ57" s="44">
        <f t="shared" si="815"/>
        <v>338158</v>
      </c>
      <c r="CK57" s="44">
        <f t="shared" si="815"/>
        <v>338158</v>
      </c>
      <c r="CL57" s="44">
        <f>ROUND(CK57*(1+取值表!$D$8)*取值表!$H$8,0)</f>
        <v>340485</v>
      </c>
      <c r="CM57" s="44">
        <f t="shared" ref="CM57:CO57" si="816">CL57</f>
        <v>340485</v>
      </c>
      <c r="CN57" s="44">
        <f t="shared" si="816"/>
        <v>340485</v>
      </c>
      <c r="CO57" s="44">
        <f t="shared" si="816"/>
        <v>340485</v>
      </c>
      <c r="CP57" s="44">
        <f>ROUND(CO57*(1+取值表!$D$8)*取值表!$H$8,0)</f>
        <v>342828</v>
      </c>
      <c r="CQ57" s="44">
        <f t="shared" ref="CQ57" si="817">CP57</f>
        <v>342828</v>
      </c>
      <c r="CR57" s="44">
        <f t="shared" ref="CR57" si="818">CQ57</f>
        <v>342828</v>
      </c>
      <c r="CS57" s="44">
        <f t="shared" ref="CS57" si="819">CR57</f>
        <v>342828</v>
      </c>
      <c r="CT57" s="44">
        <f>ROUND(CS57*(1+取值表!$D$8)*取值表!$H$8,0)</f>
        <v>345187</v>
      </c>
      <c r="CU57" s="44">
        <f t="shared" ref="CU57" si="820">CT57</f>
        <v>345187</v>
      </c>
      <c r="CV57" s="44">
        <f t="shared" ref="CV57" si="821">CU57</f>
        <v>345187</v>
      </c>
      <c r="CW57" s="44">
        <f t="shared" ref="CW57" si="822">CV57</f>
        <v>345187</v>
      </c>
      <c r="CX57" s="44">
        <f>ROUND(CW57*(1+取值表!$D$8)*取值表!$H$8,0)</f>
        <v>347563</v>
      </c>
      <c r="CY57" s="44">
        <f t="shared" ref="CY57" si="823">CX57</f>
        <v>347563</v>
      </c>
      <c r="CZ57" s="44">
        <f t="shared" ref="CZ57" si="824">CY57</f>
        <v>347563</v>
      </c>
      <c r="DA57" s="44">
        <f t="shared" ref="DA57" si="825">CZ57</f>
        <v>347563</v>
      </c>
      <c r="DB57" s="44">
        <f>ROUND(DA57*(1+取值表!$D$8)*取值表!$H$8,0)</f>
        <v>349955</v>
      </c>
      <c r="DC57" s="44">
        <f t="shared" ref="DC57" si="826">DB57</f>
        <v>349955</v>
      </c>
      <c r="DD57" s="44">
        <f t="shared" ref="DD57" si="827">DC57</f>
        <v>349955</v>
      </c>
      <c r="DE57" s="44">
        <f t="shared" ref="DE57" si="828">DD57</f>
        <v>349955</v>
      </c>
      <c r="DF57" s="45">
        <f t="shared" si="30"/>
        <v>32270188</v>
      </c>
    </row>
    <row r="58" spans="1:111" s="40" customFormat="1" ht="12">
      <c r="A58" s="448"/>
      <c r="B58" s="518"/>
      <c r="C58" s="450"/>
      <c r="D58" s="451"/>
      <c r="E58" s="452"/>
      <c r="F58" s="446"/>
      <c r="G58" s="446"/>
      <c r="H58" s="447"/>
      <c r="I58" s="41"/>
      <c r="J58" s="42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5">
        <f t="shared" si="30"/>
        <v>0</v>
      </c>
    </row>
    <row r="59" spans="1:111" s="40" customFormat="1" ht="12">
      <c r="A59" s="448">
        <v>29</v>
      </c>
      <c r="B59" s="518" t="s">
        <v>92</v>
      </c>
      <c r="C59" s="450" t="s">
        <v>729</v>
      </c>
      <c r="D59" s="451" t="s">
        <v>436</v>
      </c>
      <c r="E59" s="452" t="s">
        <v>443</v>
      </c>
      <c r="F59" s="446">
        <v>82.75</v>
      </c>
      <c r="G59" s="446">
        <v>39</v>
      </c>
      <c r="H59" s="447">
        <f>F59*G59*365</f>
        <v>1177946.25</v>
      </c>
      <c r="I59" s="41">
        <v>294486.56</v>
      </c>
      <c r="J59" s="42">
        <f>ROUND(F59*G59*365/4,0)</f>
        <v>294487</v>
      </c>
      <c r="K59" s="43">
        <f>J59</f>
        <v>294487</v>
      </c>
      <c r="L59" s="44">
        <f>K59</f>
        <v>294487</v>
      </c>
      <c r="M59" s="44">
        <f>L59</f>
        <v>294487</v>
      </c>
      <c r="N59" s="44">
        <f>ROUND(M59*(1+取值表!$D$8)*取值表!$H$8,0)</f>
        <v>296514</v>
      </c>
      <c r="O59" s="44">
        <f>N59</f>
        <v>296514</v>
      </c>
      <c r="P59" s="44">
        <f>O59</f>
        <v>296514</v>
      </c>
      <c r="Q59" s="44">
        <f>P59</f>
        <v>296514</v>
      </c>
      <c r="R59" s="44">
        <f>ROUND(Q59*(1+取值表!$D$8)*取值表!$H$8,0)</f>
        <v>298555</v>
      </c>
      <c r="S59" s="44">
        <f t="shared" ref="S59:U59" si="829">R59</f>
        <v>298555</v>
      </c>
      <c r="T59" s="44">
        <f t="shared" si="829"/>
        <v>298555</v>
      </c>
      <c r="U59" s="44">
        <f t="shared" si="829"/>
        <v>298555</v>
      </c>
      <c r="V59" s="44">
        <f>ROUND(U59*(1+取值表!$D$8)*取值表!$H$8,0)</f>
        <v>300610</v>
      </c>
      <c r="W59" s="44">
        <f t="shared" ref="W59:Y59" si="830">V59</f>
        <v>300610</v>
      </c>
      <c r="X59" s="44">
        <f t="shared" si="830"/>
        <v>300610</v>
      </c>
      <c r="Y59" s="44">
        <f t="shared" si="830"/>
        <v>300610</v>
      </c>
      <c r="Z59" s="44">
        <f>ROUND(Y59*(1+取值表!$D$8)*取值表!$H$8,0)</f>
        <v>302679</v>
      </c>
      <c r="AA59" s="44">
        <f t="shared" ref="AA59:AC59" si="831">Z59</f>
        <v>302679</v>
      </c>
      <c r="AB59" s="44">
        <f t="shared" si="831"/>
        <v>302679</v>
      </c>
      <c r="AC59" s="44">
        <f t="shared" si="831"/>
        <v>302679</v>
      </c>
      <c r="AD59" s="44">
        <f>ROUND(AC59*(1+取值表!$D$8)*取值表!$H$8,0)</f>
        <v>304762</v>
      </c>
      <c r="AE59" s="44">
        <f t="shared" ref="AE59:AG59" si="832">AD59</f>
        <v>304762</v>
      </c>
      <c r="AF59" s="44">
        <f t="shared" si="832"/>
        <v>304762</v>
      </c>
      <c r="AG59" s="44">
        <f t="shared" si="832"/>
        <v>304762</v>
      </c>
      <c r="AH59" s="44">
        <f>ROUND(AG59*(1+取值表!$D$8)*取值表!$H$8,0)</f>
        <v>306859</v>
      </c>
      <c r="AI59" s="44">
        <f t="shared" ref="AI59:AK59" si="833">AH59</f>
        <v>306859</v>
      </c>
      <c r="AJ59" s="44">
        <f t="shared" si="833"/>
        <v>306859</v>
      </c>
      <c r="AK59" s="44">
        <f t="shared" si="833"/>
        <v>306859</v>
      </c>
      <c r="AL59" s="44">
        <f>ROUND(AK59*(1+取值表!$D$8)*取值表!$H$8,0)</f>
        <v>308971</v>
      </c>
      <c r="AM59" s="44">
        <f t="shared" ref="AM59:AO59" si="834">AL59</f>
        <v>308971</v>
      </c>
      <c r="AN59" s="44">
        <f t="shared" si="834"/>
        <v>308971</v>
      </c>
      <c r="AO59" s="44">
        <f t="shared" si="834"/>
        <v>308971</v>
      </c>
      <c r="AP59" s="44">
        <f>ROUND(AO59*(1+取值表!$D$8)*取值表!$H$8,0)</f>
        <v>311097</v>
      </c>
      <c r="AQ59" s="44">
        <f t="shared" ref="AQ59:AS59" si="835">AP59</f>
        <v>311097</v>
      </c>
      <c r="AR59" s="44">
        <f t="shared" si="835"/>
        <v>311097</v>
      </c>
      <c r="AS59" s="44">
        <f t="shared" si="835"/>
        <v>311097</v>
      </c>
      <c r="AT59" s="44">
        <f>ROUND(AS59*(1+取值表!$D$8)*取值表!$H$8,0)</f>
        <v>313238</v>
      </c>
      <c r="AU59" s="44">
        <f t="shared" ref="AU59:AW59" si="836">AT59</f>
        <v>313238</v>
      </c>
      <c r="AV59" s="44">
        <f t="shared" si="836"/>
        <v>313238</v>
      </c>
      <c r="AW59" s="44">
        <f t="shared" si="836"/>
        <v>313238</v>
      </c>
      <c r="AX59" s="44">
        <f>ROUND(AW59*(1+取值表!$D$8)*取值表!$H$8,0)</f>
        <v>315394</v>
      </c>
      <c r="AY59" s="44">
        <f t="shared" ref="AY59:BA59" si="837">AX59</f>
        <v>315394</v>
      </c>
      <c r="AZ59" s="44">
        <f t="shared" si="837"/>
        <v>315394</v>
      </c>
      <c r="BA59" s="44">
        <f t="shared" si="837"/>
        <v>315394</v>
      </c>
      <c r="BB59" s="44">
        <f>ROUND(BA59*(1+取值表!$D$8)*取值表!$H$8,0)</f>
        <v>317564</v>
      </c>
      <c r="BC59" s="44">
        <f t="shared" ref="BC59:BE59" si="838">BB59</f>
        <v>317564</v>
      </c>
      <c r="BD59" s="44">
        <f t="shared" si="838"/>
        <v>317564</v>
      </c>
      <c r="BE59" s="44">
        <f t="shared" si="838"/>
        <v>317564</v>
      </c>
      <c r="BF59" s="44">
        <f>ROUND(BE59*(1+取值表!$D$8)*取值表!$H$8,0)</f>
        <v>319749</v>
      </c>
      <c r="BG59" s="44">
        <f t="shared" ref="BG59:BI59" si="839">BF59</f>
        <v>319749</v>
      </c>
      <c r="BH59" s="44">
        <f t="shared" si="839"/>
        <v>319749</v>
      </c>
      <c r="BI59" s="44">
        <f t="shared" si="839"/>
        <v>319749</v>
      </c>
      <c r="BJ59" s="44">
        <f>ROUND(BI59*(1+取值表!$D$8)*取值表!$H$8,0)</f>
        <v>321949</v>
      </c>
      <c r="BK59" s="44">
        <f t="shared" ref="BK59:BM59" si="840">BJ59</f>
        <v>321949</v>
      </c>
      <c r="BL59" s="44">
        <f t="shared" si="840"/>
        <v>321949</v>
      </c>
      <c r="BM59" s="44">
        <f t="shared" si="840"/>
        <v>321949</v>
      </c>
      <c r="BN59" s="44">
        <f>ROUND(BM59*(1+取值表!$D$8)*取值表!$H$8,0)</f>
        <v>324165</v>
      </c>
      <c r="BO59" s="44">
        <f t="shared" ref="BO59:BQ59" si="841">BN59</f>
        <v>324165</v>
      </c>
      <c r="BP59" s="44">
        <f t="shared" si="841"/>
        <v>324165</v>
      </c>
      <c r="BQ59" s="44">
        <f t="shared" si="841"/>
        <v>324165</v>
      </c>
      <c r="BR59" s="44">
        <f>ROUND(BQ59*(1+取值表!$D$8)*取值表!$H$8,0)</f>
        <v>326396</v>
      </c>
      <c r="BS59" s="44">
        <f t="shared" ref="BS59:BU59" si="842">BR59</f>
        <v>326396</v>
      </c>
      <c r="BT59" s="44">
        <f t="shared" si="842"/>
        <v>326396</v>
      </c>
      <c r="BU59" s="44">
        <f t="shared" si="842"/>
        <v>326396</v>
      </c>
      <c r="BV59" s="44">
        <f>ROUND(BU59*(1+取值表!$D$8)*取值表!$H$8,0)</f>
        <v>328642</v>
      </c>
      <c r="BW59" s="44">
        <f t="shared" ref="BW59:BY59" si="843">BV59</f>
        <v>328642</v>
      </c>
      <c r="BX59" s="44">
        <f t="shared" si="843"/>
        <v>328642</v>
      </c>
      <c r="BY59" s="44">
        <f t="shared" si="843"/>
        <v>328642</v>
      </c>
      <c r="BZ59" s="44">
        <f>ROUND(BY59*(1+取值表!$D$8)*取值表!$H$8,0)</f>
        <v>330904</v>
      </c>
      <c r="CA59" s="44">
        <f t="shared" ref="CA59:CC59" si="844">BZ59</f>
        <v>330904</v>
      </c>
      <c r="CB59" s="44">
        <f t="shared" si="844"/>
        <v>330904</v>
      </c>
      <c r="CC59" s="44">
        <f t="shared" si="844"/>
        <v>330904</v>
      </c>
      <c r="CD59" s="44">
        <f>ROUND(CC59*(1+取值表!$D$8)*取值表!$H$8,0)</f>
        <v>333181</v>
      </c>
      <c r="CE59" s="44">
        <f t="shared" ref="CE59:CG59" si="845">CD59</f>
        <v>333181</v>
      </c>
      <c r="CF59" s="44">
        <f t="shared" si="845"/>
        <v>333181</v>
      </c>
      <c r="CG59" s="44">
        <f t="shared" si="845"/>
        <v>333181</v>
      </c>
      <c r="CH59" s="44">
        <f>ROUND(CG59*(1+取值表!$D$8)*取值表!$H$8,0)</f>
        <v>335474</v>
      </c>
      <c r="CI59" s="44">
        <f t="shared" ref="CI59:CK59" si="846">CH59</f>
        <v>335474</v>
      </c>
      <c r="CJ59" s="44">
        <f t="shared" si="846"/>
        <v>335474</v>
      </c>
      <c r="CK59" s="44">
        <f t="shared" si="846"/>
        <v>335474</v>
      </c>
      <c r="CL59" s="44">
        <f>ROUND(CK59*(1+取值表!$D$8)*取值表!$H$8,0)</f>
        <v>337783</v>
      </c>
      <c r="CM59" s="44">
        <f t="shared" ref="CM59:CO59" si="847">CL59</f>
        <v>337783</v>
      </c>
      <c r="CN59" s="44">
        <f t="shared" si="847"/>
        <v>337783</v>
      </c>
      <c r="CO59" s="44">
        <f t="shared" si="847"/>
        <v>337783</v>
      </c>
      <c r="CP59" s="44">
        <f>ROUND(CO59*(1+取值表!$D$8)*取值表!$H$8,0)</f>
        <v>340108</v>
      </c>
      <c r="CQ59" s="44">
        <f t="shared" ref="CQ59" si="848">CP59</f>
        <v>340108</v>
      </c>
      <c r="CR59" s="44">
        <f t="shared" ref="CR59" si="849">CQ59</f>
        <v>340108</v>
      </c>
      <c r="CS59" s="44">
        <f t="shared" ref="CS59" si="850">CR59</f>
        <v>340108</v>
      </c>
      <c r="CT59" s="44">
        <f>ROUND(CS59*(1+取值表!$D$8)*取值表!$H$8,0)</f>
        <v>342449</v>
      </c>
      <c r="CU59" s="44">
        <f t="shared" ref="CU59" si="851">CT59</f>
        <v>342449</v>
      </c>
      <c r="CV59" s="44">
        <f t="shared" ref="CV59" si="852">CU59</f>
        <v>342449</v>
      </c>
      <c r="CW59" s="44">
        <f t="shared" ref="CW59" si="853">CV59</f>
        <v>342449</v>
      </c>
      <c r="CX59" s="44">
        <f>ROUND(CW59*(1+取值表!$D$8)*取值表!$H$8,0)</f>
        <v>344806</v>
      </c>
      <c r="CY59" s="44">
        <f t="shared" ref="CY59" si="854">CX59</f>
        <v>344806</v>
      </c>
      <c r="CZ59" s="44">
        <f t="shared" ref="CZ59" si="855">CY59</f>
        <v>344806</v>
      </c>
      <c r="DA59" s="44">
        <f t="shared" ref="DA59" si="856">CZ59</f>
        <v>344806</v>
      </c>
      <c r="DB59" s="44">
        <f>ROUND(DA59*(1+取值表!$D$8)*取值表!$H$8,0)</f>
        <v>347179</v>
      </c>
      <c r="DC59" s="44">
        <f t="shared" ref="DC59" si="857">DB59</f>
        <v>347179</v>
      </c>
      <c r="DD59" s="44">
        <f t="shared" ref="DD59" si="858">DC59</f>
        <v>347179</v>
      </c>
      <c r="DE59" s="44">
        <f t="shared" ref="DE59" si="859">DD59</f>
        <v>347179</v>
      </c>
      <c r="DF59" s="45">
        <f t="shared" si="30"/>
        <v>32014060</v>
      </c>
    </row>
    <row r="60" spans="1:111" s="40" customFormat="1" ht="12">
      <c r="A60" s="448"/>
      <c r="B60" s="518"/>
      <c r="C60" s="450"/>
      <c r="D60" s="451"/>
      <c r="E60" s="452"/>
      <c r="F60" s="446"/>
      <c r="G60" s="446"/>
      <c r="H60" s="447"/>
      <c r="I60" s="41"/>
      <c r="J60" s="42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5">
        <f t="shared" si="30"/>
        <v>0</v>
      </c>
    </row>
    <row r="61" spans="1:111" s="40" customFormat="1" ht="12">
      <c r="A61" s="448">
        <v>30</v>
      </c>
      <c r="B61" s="456" t="s">
        <v>93</v>
      </c>
      <c r="C61" s="450" t="s">
        <v>94</v>
      </c>
      <c r="D61" s="451" t="s">
        <v>456</v>
      </c>
      <c r="E61" s="452" t="s">
        <v>443</v>
      </c>
      <c r="F61" s="446">
        <v>91.25</v>
      </c>
      <c r="G61" s="446">
        <v>37</v>
      </c>
      <c r="H61" s="447">
        <f>F61*G61*365</f>
        <v>1232331.25</v>
      </c>
      <c r="I61" s="41">
        <v>308082.81</v>
      </c>
      <c r="J61" s="42">
        <f>ROUND(F61*G61*365/4,0)</f>
        <v>308083</v>
      </c>
      <c r="K61" s="43">
        <f>J61</f>
        <v>308083</v>
      </c>
      <c r="L61" s="44">
        <f>K61</f>
        <v>308083</v>
      </c>
      <c r="M61" s="44">
        <f>L61</f>
        <v>308083</v>
      </c>
      <c r="N61" s="44">
        <f>ROUND(M61*(1+取值表!$D$8)*取值表!$H$8,0)</f>
        <v>310203</v>
      </c>
      <c r="O61" s="44">
        <f>N61</f>
        <v>310203</v>
      </c>
      <c r="P61" s="44">
        <f>O61</f>
        <v>310203</v>
      </c>
      <c r="Q61" s="44">
        <f>P61</f>
        <v>310203</v>
      </c>
      <c r="R61" s="44">
        <f>ROUND(Q61*(1+取值表!$D$8)*取值表!$H$8,0)</f>
        <v>312338</v>
      </c>
      <c r="S61" s="44">
        <f t="shared" ref="S61:U61" si="860">R61</f>
        <v>312338</v>
      </c>
      <c r="T61" s="44">
        <f t="shared" si="860"/>
        <v>312338</v>
      </c>
      <c r="U61" s="44">
        <f t="shared" si="860"/>
        <v>312338</v>
      </c>
      <c r="V61" s="44">
        <f>ROUND(U61*(1+取值表!$D$8)*取值表!$H$8,0)</f>
        <v>314487</v>
      </c>
      <c r="W61" s="44">
        <f t="shared" ref="W61:Y61" si="861">V61</f>
        <v>314487</v>
      </c>
      <c r="X61" s="44">
        <f t="shared" si="861"/>
        <v>314487</v>
      </c>
      <c r="Y61" s="44">
        <f t="shared" si="861"/>
        <v>314487</v>
      </c>
      <c r="Z61" s="44">
        <f>ROUND(Y61*(1+取值表!$D$8)*取值表!$H$8,0)</f>
        <v>316651</v>
      </c>
      <c r="AA61" s="44">
        <f t="shared" ref="AA61:AC61" si="862">Z61</f>
        <v>316651</v>
      </c>
      <c r="AB61" s="44">
        <f t="shared" si="862"/>
        <v>316651</v>
      </c>
      <c r="AC61" s="44">
        <f t="shared" si="862"/>
        <v>316651</v>
      </c>
      <c r="AD61" s="44">
        <f>ROUND(AC61*(1+取值表!$D$8)*取值表!$H$8,0)</f>
        <v>318830</v>
      </c>
      <c r="AE61" s="44">
        <f t="shared" ref="AE61:AG61" si="863">AD61</f>
        <v>318830</v>
      </c>
      <c r="AF61" s="44">
        <f t="shared" si="863"/>
        <v>318830</v>
      </c>
      <c r="AG61" s="44">
        <f t="shared" si="863"/>
        <v>318830</v>
      </c>
      <c r="AH61" s="44">
        <f>ROUND(AG61*(1+取值表!$D$8)*取值表!$H$8,0)</f>
        <v>321024</v>
      </c>
      <c r="AI61" s="44">
        <f t="shared" ref="AI61:AK61" si="864">AH61</f>
        <v>321024</v>
      </c>
      <c r="AJ61" s="44">
        <f t="shared" si="864"/>
        <v>321024</v>
      </c>
      <c r="AK61" s="44">
        <f t="shared" si="864"/>
        <v>321024</v>
      </c>
      <c r="AL61" s="44">
        <f>ROUND(AK61*(1+取值表!$D$8)*取值表!$H$8,0)</f>
        <v>323233</v>
      </c>
      <c r="AM61" s="44">
        <f t="shared" ref="AM61:AO61" si="865">AL61</f>
        <v>323233</v>
      </c>
      <c r="AN61" s="44">
        <f t="shared" si="865"/>
        <v>323233</v>
      </c>
      <c r="AO61" s="44">
        <f t="shared" si="865"/>
        <v>323233</v>
      </c>
      <c r="AP61" s="44">
        <f>ROUND(AO61*(1+取值表!$D$8)*取值表!$H$8,0)</f>
        <v>325457</v>
      </c>
      <c r="AQ61" s="44">
        <f t="shared" ref="AQ61:AS61" si="866">AP61</f>
        <v>325457</v>
      </c>
      <c r="AR61" s="44">
        <f t="shared" si="866"/>
        <v>325457</v>
      </c>
      <c r="AS61" s="44">
        <f t="shared" si="866"/>
        <v>325457</v>
      </c>
      <c r="AT61" s="44">
        <f>ROUND(AS61*(1+取值表!$D$8)*取值表!$H$8,0)</f>
        <v>327697</v>
      </c>
      <c r="AU61" s="44">
        <f t="shared" ref="AU61:AW61" si="867">AT61</f>
        <v>327697</v>
      </c>
      <c r="AV61" s="44">
        <f t="shared" si="867"/>
        <v>327697</v>
      </c>
      <c r="AW61" s="44">
        <f t="shared" si="867"/>
        <v>327697</v>
      </c>
      <c r="AX61" s="44">
        <f>ROUND(AW61*(1+取值表!$D$8)*取值表!$H$8,0)</f>
        <v>329952</v>
      </c>
      <c r="AY61" s="44">
        <f t="shared" ref="AY61:BA61" si="868">AX61</f>
        <v>329952</v>
      </c>
      <c r="AZ61" s="44">
        <f t="shared" si="868"/>
        <v>329952</v>
      </c>
      <c r="BA61" s="44">
        <f t="shared" si="868"/>
        <v>329952</v>
      </c>
      <c r="BB61" s="44">
        <f>ROUND(BA61*(1+取值表!$D$8)*取值表!$H$8,0)</f>
        <v>332223</v>
      </c>
      <c r="BC61" s="44">
        <f t="shared" ref="BC61:BE61" si="869">BB61</f>
        <v>332223</v>
      </c>
      <c r="BD61" s="44">
        <f t="shared" si="869"/>
        <v>332223</v>
      </c>
      <c r="BE61" s="44">
        <f t="shared" si="869"/>
        <v>332223</v>
      </c>
      <c r="BF61" s="44">
        <f>ROUND(BE61*(1+取值表!$D$8)*取值表!$H$8,0)</f>
        <v>334509</v>
      </c>
      <c r="BG61" s="44">
        <f t="shared" ref="BG61:BI61" si="870">BF61</f>
        <v>334509</v>
      </c>
      <c r="BH61" s="44">
        <f t="shared" si="870"/>
        <v>334509</v>
      </c>
      <c r="BI61" s="44">
        <f t="shared" si="870"/>
        <v>334509</v>
      </c>
      <c r="BJ61" s="44">
        <f>ROUND(BI61*(1+取值表!$D$8)*取值表!$H$8,0)</f>
        <v>336811</v>
      </c>
      <c r="BK61" s="44">
        <f t="shared" ref="BK61:BM61" si="871">BJ61</f>
        <v>336811</v>
      </c>
      <c r="BL61" s="44">
        <f t="shared" si="871"/>
        <v>336811</v>
      </c>
      <c r="BM61" s="44">
        <f t="shared" si="871"/>
        <v>336811</v>
      </c>
      <c r="BN61" s="44">
        <f>ROUND(BM61*(1+取值表!$D$8)*取值表!$H$8,0)</f>
        <v>339129</v>
      </c>
      <c r="BO61" s="44">
        <f t="shared" ref="BO61:BQ61" si="872">BN61</f>
        <v>339129</v>
      </c>
      <c r="BP61" s="44">
        <f t="shared" si="872"/>
        <v>339129</v>
      </c>
      <c r="BQ61" s="44">
        <f t="shared" si="872"/>
        <v>339129</v>
      </c>
      <c r="BR61" s="44">
        <f>ROUND(BQ61*(1+取值表!$D$8)*取值表!$H$8,0)</f>
        <v>341463</v>
      </c>
      <c r="BS61" s="44">
        <f t="shared" ref="BS61:BU61" si="873">BR61</f>
        <v>341463</v>
      </c>
      <c r="BT61" s="44">
        <f t="shared" si="873"/>
        <v>341463</v>
      </c>
      <c r="BU61" s="44">
        <f t="shared" si="873"/>
        <v>341463</v>
      </c>
      <c r="BV61" s="44">
        <f>ROUND(BU61*(1+取值表!$D$8)*取值表!$H$8,0)</f>
        <v>343813</v>
      </c>
      <c r="BW61" s="44">
        <f t="shared" ref="BW61:BY61" si="874">BV61</f>
        <v>343813</v>
      </c>
      <c r="BX61" s="44">
        <f t="shared" si="874"/>
        <v>343813</v>
      </c>
      <c r="BY61" s="44">
        <f t="shared" si="874"/>
        <v>343813</v>
      </c>
      <c r="BZ61" s="44">
        <f>ROUND(BY61*(1+取值表!$D$8)*取值表!$H$8,0)</f>
        <v>346179</v>
      </c>
      <c r="CA61" s="44">
        <f t="shared" ref="CA61:CC61" si="875">BZ61</f>
        <v>346179</v>
      </c>
      <c r="CB61" s="44">
        <f t="shared" si="875"/>
        <v>346179</v>
      </c>
      <c r="CC61" s="44">
        <f t="shared" si="875"/>
        <v>346179</v>
      </c>
      <c r="CD61" s="44">
        <f>ROUND(CC61*(1+取值表!$D$8)*取值表!$H$8,0)</f>
        <v>348561</v>
      </c>
      <c r="CE61" s="44">
        <f t="shared" ref="CE61:CG61" si="876">CD61</f>
        <v>348561</v>
      </c>
      <c r="CF61" s="44">
        <f t="shared" si="876"/>
        <v>348561</v>
      </c>
      <c r="CG61" s="44">
        <f t="shared" si="876"/>
        <v>348561</v>
      </c>
      <c r="CH61" s="44">
        <f>ROUND(CG61*(1+取值表!$D$8)*取值表!$H$8,0)</f>
        <v>350960</v>
      </c>
      <c r="CI61" s="44">
        <f t="shared" ref="CI61:CK61" si="877">CH61</f>
        <v>350960</v>
      </c>
      <c r="CJ61" s="44">
        <f t="shared" si="877"/>
        <v>350960</v>
      </c>
      <c r="CK61" s="44">
        <f t="shared" si="877"/>
        <v>350960</v>
      </c>
      <c r="CL61" s="44">
        <f>ROUND(CK61*(1+取值表!$D$8)*取值表!$H$8,0)</f>
        <v>353375</v>
      </c>
      <c r="CM61" s="44">
        <f t="shared" ref="CM61:CO61" si="878">CL61</f>
        <v>353375</v>
      </c>
      <c r="CN61" s="44">
        <f t="shared" si="878"/>
        <v>353375</v>
      </c>
      <c r="CO61" s="44">
        <f t="shared" si="878"/>
        <v>353375</v>
      </c>
      <c r="CP61" s="44">
        <f>ROUND(CO61*(1+取值表!$D$8)*取值表!$H$8,0)</f>
        <v>355807</v>
      </c>
      <c r="CQ61" s="44">
        <f t="shared" ref="CQ61" si="879">CP61</f>
        <v>355807</v>
      </c>
      <c r="CR61" s="44">
        <f t="shared" ref="CR61" si="880">CQ61</f>
        <v>355807</v>
      </c>
      <c r="CS61" s="44">
        <f t="shared" ref="CS61" si="881">CR61</f>
        <v>355807</v>
      </c>
      <c r="CT61" s="44">
        <f>ROUND(CS61*(1+取值表!$D$8)*取值表!$H$8,0)</f>
        <v>358256</v>
      </c>
      <c r="CU61" s="44">
        <f t="shared" ref="CU61" si="882">CT61</f>
        <v>358256</v>
      </c>
      <c r="CV61" s="44">
        <f t="shared" ref="CV61" si="883">CU61</f>
        <v>358256</v>
      </c>
      <c r="CW61" s="44">
        <f t="shared" ref="CW61" si="884">CV61</f>
        <v>358256</v>
      </c>
      <c r="CX61" s="44">
        <f>ROUND(CW61*(1+取值表!$D$8)*取值表!$H$8,0)</f>
        <v>360721</v>
      </c>
      <c r="CY61" s="44">
        <f t="shared" ref="CY61" si="885">CX61</f>
        <v>360721</v>
      </c>
      <c r="CZ61" s="44">
        <f t="shared" ref="CZ61" si="886">CY61</f>
        <v>360721</v>
      </c>
      <c r="DA61" s="44">
        <f t="shared" ref="DA61" si="887">CZ61</f>
        <v>360721</v>
      </c>
      <c r="DB61" s="44">
        <f>ROUND(DA61*(1+取值表!$D$8)*取值表!$H$8,0)</f>
        <v>363203</v>
      </c>
      <c r="DC61" s="44">
        <f t="shared" ref="DC61" si="888">DB61</f>
        <v>363203</v>
      </c>
      <c r="DD61" s="44">
        <f t="shared" ref="DD61" si="889">DC61</f>
        <v>363203</v>
      </c>
      <c r="DE61" s="44">
        <f t="shared" ref="DE61" si="890">DD61</f>
        <v>363203</v>
      </c>
      <c r="DF61" s="45">
        <f t="shared" si="30"/>
        <v>33491860</v>
      </c>
      <c r="DG61" s="220"/>
    </row>
    <row r="62" spans="1:111" s="40" customFormat="1" ht="12">
      <c r="A62" s="448"/>
      <c r="B62" s="456"/>
      <c r="C62" s="450"/>
      <c r="D62" s="451"/>
      <c r="E62" s="452"/>
      <c r="F62" s="446"/>
      <c r="G62" s="446"/>
      <c r="H62" s="447"/>
      <c r="I62" s="41"/>
      <c r="J62" s="42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5">
        <f t="shared" si="30"/>
        <v>0</v>
      </c>
    </row>
    <row r="63" spans="1:111" s="40" customFormat="1" ht="12" customHeight="1">
      <c r="A63" s="448">
        <v>31</v>
      </c>
      <c r="B63" s="518" t="s">
        <v>95</v>
      </c>
      <c r="C63" s="450" t="s">
        <v>96</v>
      </c>
      <c r="D63" s="451" t="s">
        <v>457</v>
      </c>
      <c r="E63" s="452" t="s">
        <v>443</v>
      </c>
      <c r="F63" s="446">
        <v>75</v>
      </c>
      <c r="G63" s="446">
        <v>42.5</v>
      </c>
      <c r="H63" s="447">
        <f>F63*G63*365</f>
        <v>1163437.5</v>
      </c>
      <c r="I63" s="41">
        <v>246375</v>
      </c>
      <c r="J63" s="42">
        <f>ROUND(G63*F63*365/4,0)</f>
        <v>290859</v>
      </c>
      <c r="K63" s="42">
        <f>J63</f>
        <v>290859</v>
      </c>
      <c r="L63" s="43">
        <f>K63</f>
        <v>290859</v>
      </c>
      <c r="M63" s="44">
        <f>L63</f>
        <v>290859</v>
      </c>
      <c r="N63" s="44">
        <f>ROUND(M63*(1+取值表!$D$8)*取值表!$H$8,0)</f>
        <v>292861</v>
      </c>
      <c r="O63" s="44">
        <f>N63</f>
        <v>292861</v>
      </c>
      <c r="P63" s="44">
        <f>O63</f>
        <v>292861</v>
      </c>
      <c r="Q63" s="44">
        <f>P63</f>
        <v>292861</v>
      </c>
      <c r="R63" s="44">
        <f>ROUND(Q63*(1+取值表!$D$8)*取值表!$H$8,0)</f>
        <v>294876</v>
      </c>
      <c r="S63" s="44">
        <f t="shared" ref="S63:U63" si="891">R63</f>
        <v>294876</v>
      </c>
      <c r="T63" s="44">
        <f t="shared" si="891"/>
        <v>294876</v>
      </c>
      <c r="U63" s="44">
        <f t="shared" si="891"/>
        <v>294876</v>
      </c>
      <c r="V63" s="44">
        <f>ROUND(U63*(1+取值表!$D$8)*取值表!$H$8,0)</f>
        <v>296905</v>
      </c>
      <c r="W63" s="44">
        <f t="shared" ref="W63:Y63" si="892">V63</f>
        <v>296905</v>
      </c>
      <c r="X63" s="44">
        <f t="shared" si="892"/>
        <v>296905</v>
      </c>
      <c r="Y63" s="44">
        <f t="shared" si="892"/>
        <v>296905</v>
      </c>
      <c r="Z63" s="44">
        <f>ROUND(Y63*(1+取值表!$D$8)*取值表!$H$8,0)</f>
        <v>298948</v>
      </c>
      <c r="AA63" s="44">
        <f t="shared" ref="AA63:AC63" si="893">Z63</f>
        <v>298948</v>
      </c>
      <c r="AB63" s="44">
        <f t="shared" si="893"/>
        <v>298948</v>
      </c>
      <c r="AC63" s="44">
        <f t="shared" si="893"/>
        <v>298948</v>
      </c>
      <c r="AD63" s="44">
        <f>ROUND(AC63*(1+取值表!$D$8)*取值表!$H$8,0)</f>
        <v>301005</v>
      </c>
      <c r="AE63" s="44">
        <f t="shared" ref="AE63:AG63" si="894">AD63</f>
        <v>301005</v>
      </c>
      <c r="AF63" s="44">
        <f t="shared" si="894"/>
        <v>301005</v>
      </c>
      <c r="AG63" s="44">
        <f t="shared" si="894"/>
        <v>301005</v>
      </c>
      <c r="AH63" s="44">
        <f>ROUND(AG63*(1+取值表!$D$8)*取值表!$H$8,0)</f>
        <v>303076</v>
      </c>
      <c r="AI63" s="44">
        <f t="shared" ref="AI63:AK63" si="895">AH63</f>
        <v>303076</v>
      </c>
      <c r="AJ63" s="44">
        <f t="shared" si="895"/>
        <v>303076</v>
      </c>
      <c r="AK63" s="44">
        <f t="shared" si="895"/>
        <v>303076</v>
      </c>
      <c r="AL63" s="44">
        <f>ROUND(AK63*(1+取值表!$D$8)*取值表!$H$8,0)</f>
        <v>305162</v>
      </c>
      <c r="AM63" s="44">
        <f t="shared" ref="AM63:AO63" si="896">AL63</f>
        <v>305162</v>
      </c>
      <c r="AN63" s="44">
        <f t="shared" si="896"/>
        <v>305162</v>
      </c>
      <c r="AO63" s="44">
        <f t="shared" si="896"/>
        <v>305162</v>
      </c>
      <c r="AP63" s="44">
        <f>ROUND(AO63*(1+取值表!$D$8)*取值表!$H$8,0)</f>
        <v>307262</v>
      </c>
      <c r="AQ63" s="44">
        <f t="shared" ref="AQ63:AS63" si="897">AP63</f>
        <v>307262</v>
      </c>
      <c r="AR63" s="44">
        <f t="shared" si="897"/>
        <v>307262</v>
      </c>
      <c r="AS63" s="44">
        <f t="shared" si="897"/>
        <v>307262</v>
      </c>
      <c r="AT63" s="44">
        <f>ROUND(AS63*(1+取值表!$D$8)*取值表!$H$8,0)</f>
        <v>309377</v>
      </c>
      <c r="AU63" s="44">
        <f t="shared" ref="AU63:AW63" si="898">AT63</f>
        <v>309377</v>
      </c>
      <c r="AV63" s="44">
        <f t="shared" si="898"/>
        <v>309377</v>
      </c>
      <c r="AW63" s="44">
        <f t="shared" si="898"/>
        <v>309377</v>
      </c>
      <c r="AX63" s="44">
        <f>ROUND(AW63*(1+取值表!$D$8)*取值表!$H$8,0)</f>
        <v>311506</v>
      </c>
      <c r="AY63" s="44">
        <f t="shared" ref="AY63:BA63" si="899">AX63</f>
        <v>311506</v>
      </c>
      <c r="AZ63" s="44">
        <f t="shared" si="899"/>
        <v>311506</v>
      </c>
      <c r="BA63" s="44">
        <f t="shared" si="899"/>
        <v>311506</v>
      </c>
      <c r="BB63" s="44">
        <f>ROUND(BA63*(1+取值表!$D$8)*取值表!$H$8,0)</f>
        <v>313650</v>
      </c>
      <c r="BC63" s="44">
        <f t="shared" ref="BC63:BE63" si="900">BB63</f>
        <v>313650</v>
      </c>
      <c r="BD63" s="44">
        <f t="shared" si="900"/>
        <v>313650</v>
      </c>
      <c r="BE63" s="44">
        <f t="shared" si="900"/>
        <v>313650</v>
      </c>
      <c r="BF63" s="44">
        <f>ROUND(BE63*(1+取值表!$D$8)*取值表!$H$8,0)</f>
        <v>315808</v>
      </c>
      <c r="BG63" s="44">
        <f t="shared" ref="BG63:BI63" si="901">BF63</f>
        <v>315808</v>
      </c>
      <c r="BH63" s="44">
        <f t="shared" si="901"/>
        <v>315808</v>
      </c>
      <c r="BI63" s="44">
        <f t="shared" si="901"/>
        <v>315808</v>
      </c>
      <c r="BJ63" s="44">
        <f>ROUND(BI63*(1+取值表!$D$8)*取值表!$H$8,0)</f>
        <v>317981</v>
      </c>
      <c r="BK63" s="44">
        <f t="shared" ref="BK63:BM63" si="902">BJ63</f>
        <v>317981</v>
      </c>
      <c r="BL63" s="44">
        <f t="shared" si="902"/>
        <v>317981</v>
      </c>
      <c r="BM63" s="44">
        <f t="shared" si="902"/>
        <v>317981</v>
      </c>
      <c r="BN63" s="44">
        <f>ROUND(BM63*(1+取值表!$D$8)*取值表!$H$8,0)</f>
        <v>320169</v>
      </c>
      <c r="BO63" s="44">
        <f t="shared" ref="BO63:BQ63" si="903">BN63</f>
        <v>320169</v>
      </c>
      <c r="BP63" s="44">
        <f t="shared" si="903"/>
        <v>320169</v>
      </c>
      <c r="BQ63" s="44">
        <f t="shared" si="903"/>
        <v>320169</v>
      </c>
      <c r="BR63" s="44">
        <f>ROUND(BQ63*(1+取值表!$D$8)*取值表!$H$8,0)</f>
        <v>322372</v>
      </c>
      <c r="BS63" s="44">
        <f t="shared" ref="BS63:BU63" si="904">BR63</f>
        <v>322372</v>
      </c>
      <c r="BT63" s="44">
        <f t="shared" si="904"/>
        <v>322372</v>
      </c>
      <c r="BU63" s="44">
        <f t="shared" si="904"/>
        <v>322372</v>
      </c>
      <c r="BV63" s="44">
        <f>ROUND(BU63*(1+取值表!$D$8)*取值表!$H$8,0)</f>
        <v>324590</v>
      </c>
      <c r="BW63" s="44">
        <f t="shared" ref="BW63:BY63" si="905">BV63</f>
        <v>324590</v>
      </c>
      <c r="BX63" s="44">
        <f t="shared" si="905"/>
        <v>324590</v>
      </c>
      <c r="BY63" s="44">
        <f t="shared" si="905"/>
        <v>324590</v>
      </c>
      <c r="BZ63" s="44">
        <f>ROUND(BY63*(1+取值表!$D$8)*取值表!$H$8,0)</f>
        <v>326824</v>
      </c>
      <c r="CA63" s="44">
        <f t="shared" ref="CA63:CC63" si="906">BZ63</f>
        <v>326824</v>
      </c>
      <c r="CB63" s="44">
        <f t="shared" si="906"/>
        <v>326824</v>
      </c>
      <c r="CC63" s="44">
        <f t="shared" si="906"/>
        <v>326824</v>
      </c>
      <c r="CD63" s="44">
        <f>ROUND(CC63*(1+取值表!$D$8)*取值表!$H$8,0)</f>
        <v>329073</v>
      </c>
      <c r="CE63" s="44">
        <f t="shared" ref="CE63:CG63" si="907">CD63</f>
        <v>329073</v>
      </c>
      <c r="CF63" s="44">
        <f t="shared" si="907"/>
        <v>329073</v>
      </c>
      <c r="CG63" s="44">
        <f t="shared" si="907"/>
        <v>329073</v>
      </c>
      <c r="CH63" s="44">
        <f>ROUND(CG63*(1+取值表!$D$8)*取值表!$H$8,0)</f>
        <v>331338</v>
      </c>
      <c r="CI63" s="44">
        <f t="shared" ref="CI63:CK63" si="908">CH63</f>
        <v>331338</v>
      </c>
      <c r="CJ63" s="44">
        <f t="shared" si="908"/>
        <v>331338</v>
      </c>
      <c r="CK63" s="44">
        <f t="shared" si="908"/>
        <v>331338</v>
      </c>
      <c r="CL63" s="44">
        <f>ROUND(CK63*(1+取值表!$D$8)*取值表!$H$8,0)</f>
        <v>333618</v>
      </c>
      <c r="CM63" s="44">
        <f t="shared" ref="CM63:CO63" si="909">CL63</f>
        <v>333618</v>
      </c>
      <c r="CN63" s="44">
        <f t="shared" si="909"/>
        <v>333618</v>
      </c>
      <c r="CO63" s="44">
        <f t="shared" si="909"/>
        <v>333618</v>
      </c>
      <c r="CP63" s="44">
        <f>ROUND(CO63*(1+取值表!$D$8)*取值表!$H$8,0)</f>
        <v>335914</v>
      </c>
      <c r="CQ63" s="44">
        <f t="shared" ref="CQ63" si="910">CP63</f>
        <v>335914</v>
      </c>
      <c r="CR63" s="44">
        <f t="shared" ref="CR63" si="911">CQ63</f>
        <v>335914</v>
      </c>
      <c r="CS63" s="44">
        <f t="shared" ref="CS63" si="912">CR63</f>
        <v>335914</v>
      </c>
      <c r="CT63" s="44">
        <f>ROUND(CS63*(1+取值表!$D$8)*取值表!$H$8,0)</f>
        <v>338226</v>
      </c>
      <c r="CU63" s="44">
        <f t="shared" ref="CU63" si="913">CT63</f>
        <v>338226</v>
      </c>
      <c r="CV63" s="44">
        <f t="shared" ref="CV63" si="914">CU63</f>
        <v>338226</v>
      </c>
      <c r="CW63" s="44">
        <f t="shared" ref="CW63" si="915">CV63</f>
        <v>338226</v>
      </c>
      <c r="CX63" s="44">
        <f>ROUND(CW63*(1+取值表!$D$8)*取值表!$H$8,0)</f>
        <v>340554</v>
      </c>
      <c r="CY63" s="44">
        <f t="shared" ref="CY63" si="916">CX63</f>
        <v>340554</v>
      </c>
      <c r="CZ63" s="44">
        <f t="shared" ref="CZ63" si="917">CY63</f>
        <v>340554</v>
      </c>
      <c r="DA63" s="44">
        <f t="shared" ref="DA63" si="918">CZ63</f>
        <v>340554</v>
      </c>
      <c r="DB63" s="44">
        <f>ROUND(DA63*(1+取值表!$D$8)*取值表!$H$8,0)</f>
        <v>342898</v>
      </c>
      <c r="DC63" s="44">
        <f t="shared" ref="DC63" si="919">DB63</f>
        <v>342898</v>
      </c>
      <c r="DD63" s="44">
        <f t="shared" ref="DD63" si="920">DC63</f>
        <v>342898</v>
      </c>
      <c r="DE63" s="44">
        <f t="shared" ref="DE63" si="921">DD63</f>
        <v>342898</v>
      </c>
      <c r="DF63" s="45">
        <f t="shared" si="30"/>
        <v>31619408</v>
      </c>
    </row>
    <row r="64" spans="1:111" s="40" customFormat="1" ht="12" customHeight="1">
      <c r="A64" s="448"/>
      <c r="B64" s="518"/>
      <c r="C64" s="450"/>
      <c r="D64" s="451"/>
      <c r="E64" s="452"/>
      <c r="F64" s="446"/>
      <c r="G64" s="446"/>
      <c r="H64" s="447"/>
      <c r="I64" s="41"/>
      <c r="J64" s="42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5">
        <f t="shared" si="30"/>
        <v>0</v>
      </c>
    </row>
    <row r="65" spans="1:228" s="40" customFormat="1" ht="12" customHeight="1">
      <c r="A65" s="448">
        <v>32</v>
      </c>
      <c r="B65" s="518" t="s">
        <v>97</v>
      </c>
      <c r="C65" s="450" t="s">
        <v>730</v>
      </c>
      <c r="D65" s="451" t="s">
        <v>458</v>
      </c>
      <c r="E65" s="452" t="s">
        <v>443</v>
      </c>
      <c r="F65" s="446">
        <v>31.91</v>
      </c>
      <c r="G65" s="446">
        <v>44</v>
      </c>
      <c r="H65" s="447">
        <f>F65*G65*365</f>
        <v>512474.6</v>
      </c>
      <c r="I65" s="41">
        <v>128118.65</v>
      </c>
      <c r="J65" s="43">
        <f>ROUND(F65*G65*365/4,0)</f>
        <v>128119</v>
      </c>
      <c r="K65" s="44">
        <f>J65</f>
        <v>128119</v>
      </c>
      <c r="L65" s="44">
        <f>K65</f>
        <v>128119</v>
      </c>
      <c r="M65" s="44">
        <f>L65</f>
        <v>128119</v>
      </c>
      <c r="N65" s="44">
        <f>ROUND(M65*(1+取值表!$D$8)*取值表!$H$8,0)</f>
        <v>129001</v>
      </c>
      <c r="O65" s="44">
        <f>N65</f>
        <v>129001</v>
      </c>
      <c r="P65" s="44">
        <f>O65</f>
        <v>129001</v>
      </c>
      <c r="Q65" s="44">
        <f>P65</f>
        <v>129001</v>
      </c>
      <c r="R65" s="44">
        <f>ROUND(Q65*(1+取值表!$D$8)*取值表!$H$8,0)</f>
        <v>129889</v>
      </c>
      <c r="S65" s="44">
        <f t="shared" ref="S65:U65" si="922">R65</f>
        <v>129889</v>
      </c>
      <c r="T65" s="44">
        <f t="shared" si="922"/>
        <v>129889</v>
      </c>
      <c r="U65" s="44">
        <f t="shared" si="922"/>
        <v>129889</v>
      </c>
      <c r="V65" s="44">
        <f>ROUND(U65*(1+取值表!$D$8)*取值表!$H$8,0)</f>
        <v>130783</v>
      </c>
      <c r="W65" s="44">
        <f t="shared" ref="W65:Y65" si="923">V65</f>
        <v>130783</v>
      </c>
      <c r="X65" s="44">
        <f t="shared" si="923"/>
        <v>130783</v>
      </c>
      <c r="Y65" s="44">
        <f t="shared" si="923"/>
        <v>130783</v>
      </c>
      <c r="Z65" s="44">
        <f>ROUND(Y65*(1+取值表!$D$8)*取值表!$H$8,0)</f>
        <v>131683</v>
      </c>
      <c r="AA65" s="44">
        <f t="shared" ref="AA65:AC65" si="924">Z65</f>
        <v>131683</v>
      </c>
      <c r="AB65" s="44">
        <f t="shared" si="924"/>
        <v>131683</v>
      </c>
      <c r="AC65" s="44">
        <f t="shared" si="924"/>
        <v>131683</v>
      </c>
      <c r="AD65" s="44">
        <f>ROUND(AC65*(1+取值表!$D$8)*取值表!$H$8,0)</f>
        <v>132589</v>
      </c>
      <c r="AE65" s="44">
        <f t="shared" ref="AE65:AG65" si="925">AD65</f>
        <v>132589</v>
      </c>
      <c r="AF65" s="44">
        <f t="shared" si="925"/>
        <v>132589</v>
      </c>
      <c r="AG65" s="44">
        <f t="shared" si="925"/>
        <v>132589</v>
      </c>
      <c r="AH65" s="44">
        <f>ROUND(AG65*(1+取值表!$D$8)*取值表!$H$8,0)</f>
        <v>133501</v>
      </c>
      <c r="AI65" s="44">
        <f t="shared" ref="AI65:AK65" si="926">AH65</f>
        <v>133501</v>
      </c>
      <c r="AJ65" s="44">
        <f t="shared" si="926"/>
        <v>133501</v>
      </c>
      <c r="AK65" s="44">
        <f t="shared" si="926"/>
        <v>133501</v>
      </c>
      <c r="AL65" s="44">
        <f>ROUND(AK65*(1+取值表!$D$8)*取值表!$H$8,0)</f>
        <v>134420</v>
      </c>
      <c r="AM65" s="44">
        <f t="shared" ref="AM65:AO65" si="927">AL65</f>
        <v>134420</v>
      </c>
      <c r="AN65" s="44">
        <f t="shared" si="927"/>
        <v>134420</v>
      </c>
      <c r="AO65" s="44">
        <f t="shared" si="927"/>
        <v>134420</v>
      </c>
      <c r="AP65" s="44">
        <f>ROUND(AO65*(1+取值表!$D$8)*取值表!$H$8,0)</f>
        <v>135345</v>
      </c>
      <c r="AQ65" s="44">
        <f t="shared" ref="AQ65:AS65" si="928">AP65</f>
        <v>135345</v>
      </c>
      <c r="AR65" s="44">
        <f t="shared" si="928"/>
        <v>135345</v>
      </c>
      <c r="AS65" s="44">
        <f t="shared" si="928"/>
        <v>135345</v>
      </c>
      <c r="AT65" s="44">
        <f>ROUND(AS65*(1+取值表!$D$8)*取值表!$H$8,0)</f>
        <v>136276</v>
      </c>
      <c r="AU65" s="44">
        <f t="shared" ref="AU65:AW65" si="929">AT65</f>
        <v>136276</v>
      </c>
      <c r="AV65" s="44">
        <f t="shared" si="929"/>
        <v>136276</v>
      </c>
      <c r="AW65" s="44">
        <f t="shared" si="929"/>
        <v>136276</v>
      </c>
      <c r="AX65" s="44">
        <f>ROUND(AW65*(1+取值表!$D$8)*取值表!$H$8,0)</f>
        <v>137214</v>
      </c>
      <c r="AY65" s="44">
        <f t="shared" ref="AY65:BA65" si="930">AX65</f>
        <v>137214</v>
      </c>
      <c r="AZ65" s="44">
        <f t="shared" si="930"/>
        <v>137214</v>
      </c>
      <c r="BA65" s="44">
        <f t="shared" si="930"/>
        <v>137214</v>
      </c>
      <c r="BB65" s="44">
        <f>ROUND(BA65*(1+取值表!$D$8)*取值表!$H$8,0)</f>
        <v>138158</v>
      </c>
      <c r="BC65" s="44">
        <f t="shared" ref="BC65:BE65" si="931">BB65</f>
        <v>138158</v>
      </c>
      <c r="BD65" s="44">
        <f t="shared" si="931"/>
        <v>138158</v>
      </c>
      <c r="BE65" s="44">
        <f t="shared" si="931"/>
        <v>138158</v>
      </c>
      <c r="BF65" s="44">
        <f>ROUND(BE65*(1+取值表!$D$8)*取值表!$H$8,0)</f>
        <v>139109</v>
      </c>
      <c r="BG65" s="44">
        <f t="shared" ref="BG65:BI65" si="932">BF65</f>
        <v>139109</v>
      </c>
      <c r="BH65" s="44">
        <f t="shared" si="932"/>
        <v>139109</v>
      </c>
      <c r="BI65" s="44">
        <f t="shared" si="932"/>
        <v>139109</v>
      </c>
      <c r="BJ65" s="44">
        <f>ROUND(BI65*(1+取值表!$D$8)*取值表!$H$8,0)</f>
        <v>140066</v>
      </c>
      <c r="BK65" s="44">
        <f t="shared" ref="BK65:BM65" si="933">BJ65</f>
        <v>140066</v>
      </c>
      <c r="BL65" s="44">
        <f t="shared" si="933"/>
        <v>140066</v>
      </c>
      <c r="BM65" s="44">
        <f t="shared" si="933"/>
        <v>140066</v>
      </c>
      <c r="BN65" s="44">
        <f>ROUND(BM65*(1+取值表!$D$8)*取值表!$H$8,0)</f>
        <v>141030</v>
      </c>
      <c r="BO65" s="44">
        <f t="shared" ref="BO65:BQ65" si="934">BN65</f>
        <v>141030</v>
      </c>
      <c r="BP65" s="44">
        <f t="shared" si="934"/>
        <v>141030</v>
      </c>
      <c r="BQ65" s="44">
        <f t="shared" si="934"/>
        <v>141030</v>
      </c>
      <c r="BR65" s="44">
        <f>ROUND(BQ65*(1+取值表!$D$8)*取值表!$H$8,0)</f>
        <v>142001</v>
      </c>
      <c r="BS65" s="44">
        <f t="shared" ref="BS65:BU65" si="935">BR65</f>
        <v>142001</v>
      </c>
      <c r="BT65" s="44">
        <f t="shared" si="935"/>
        <v>142001</v>
      </c>
      <c r="BU65" s="44">
        <f t="shared" si="935"/>
        <v>142001</v>
      </c>
      <c r="BV65" s="44">
        <f>ROUND(BU65*(1+取值表!$D$8)*取值表!$H$8,0)</f>
        <v>142978</v>
      </c>
      <c r="BW65" s="44">
        <f t="shared" ref="BW65:BY65" si="936">BV65</f>
        <v>142978</v>
      </c>
      <c r="BX65" s="44">
        <f t="shared" si="936"/>
        <v>142978</v>
      </c>
      <c r="BY65" s="44">
        <f t="shared" si="936"/>
        <v>142978</v>
      </c>
      <c r="BZ65" s="44">
        <f>ROUND(BY65*(1+取值表!$D$8)*取值表!$H$8,0)</f>
        <v>143962</v>
      </c>
      <c r="CA65" s="44">
        <f t="shared" ref="CA65:CC65" si="937">BZ65</f>
        <v>143962</v>
      </c>
      <c r="CB65" s="44">
        <f t="shared" si="937"/>
        <v>143962</v>
      </c>
      <c r="CC65" s="44">
        <f t="shared" si="937"/>
        <v>143962</v>
      </c>
      <c r="CD65" s="44">
        <f>ROUND(CC65*(1+取值表!$D$8)*取值表!$H$8,0)</f>
        <v>144953</v>
      </c>
      <c r="CE65" s="44">
        <f t="shared" ref="CE65:CG65" si="938">CD65</f>
        <v>144953</v>
      </c>
      <c r="CF65" s="44">
        <f t="shared" si="938"/>
        <v>144953</v>
      </c>
      <c r="CG65" s="44">
        <f t="shared" si="938"/>
        <v>144953</v>
      </c>
      <c r="CH65" s="44">
        <f>ROUND(CG65*(1+取值表!$D$8)*取值表!$H$8,0)</f>
        <v>145951</v>
      </c>
      <c r="CI65" s="44">
        <f t="shared" ref="CI65:CK65" si="939">CH65</f>
        <v>145951</v>
      </c>
      <c r="CJ65" s="44">
        <f t="shared" si="939"/>
        <v>145951</v>
      </c>
      <c r="CK65" s="44">
        <f t="shared" si="939"/>
        <v>145951</v>
      </c>
      <c r="CL65" s="44">
        <f>ROUND(CK65*(1+取值表!$D$8)*取值表!$H$8,0)</f>
        <v>146955</v>
      </c>
      <c r="CM65" s="44">
        <f t="shared" ref="CM65:CO65" si="940">CL65</f>
        <v>146955</v>
      </c>
      <c r="CN65" s="44">
        <f t="shared" si="940"/>
        <v>146955</v>
      </c>
      <c r="CO65" s="44">
        <f t="shared" si="940"/>
        <v>146955</v>
      </c>
      <c r="CP65" s="44">
        <f>ROUND(CO65*(1+取值表!$D$8)*取值表!$H$8,0)</f>
        <v>147966</v>
      </c>
      <c r="CQ65" s="44">
        <f t="shared" ref="CQ65" si="941">CP65</f>
        <v>147966</v>
      </c>
      <c r="CR65" s="44">
        <f t="shared" ref="CR65" si="942">CQ65</f>
        <v>147966</v>
      </c>
      <c r="CS65" s="44">
        <f t="shared" ref="CS65" si="943">CR65</f>
        <v>147966</v>
      </c>
      <c r="CT65" s="44">
        <f>ROUND(CS65*(1+取值表!$D$8)*取值表!$H$8,0)</f>
        <v>148984</v>
      </c>
      <c r="CU65" s="44">
        <f t="shared" ref="CU65" si="944">CT65</f>
        <v>148984</v>
      </c>
      <c r="CV65" s="44">
        <f t="shared" ref="CV65" si="945">CU65</f>
        <v>148984</v>
      </c>
      <c r="CW65" s="44">
        <f t="shared" ref="CW65" si="946">CV65</f>
        <v>148984</v>
      </c>
      <c r="CX65" s="44">
        <f>ROUND(CW65*(1+取值表!$D$8)*取值表!$H$8,0)</f>
        <v>150009</v>
      </c>
      <c r="CY65" s="44">
        <f t="shared" ref="CY65" si="947">CX65</f>
        <v>150009</v>
      </c>
      <c r="CZ65" s="44">
        <f t="shared" ref="CZ65" si="948">CY65</f>
        <v>150009</v>
      </c>
      <c r="DA65" s="44">
        <f t="shared" ref="DA65" si="949">CZ65</f>
        <v>150009</v>
      </c>
      <c r="DB65" s="44">
        <f>ROUND(DA65*(1+取值表!$D$8)*取值表!$H$8,0)</f>
        <v>151041</v>
      </c>
      <c r="DC65" s="44">
        <f t="shared" ref="DC65" si="950">DB65</f>
        <v>151041</v>
      </c>
      <c r="DD65" s="44">
        <f t="shared" ref="DD65" si="951">DC65</f>
        <v>151041</v>
      </c>
      <c r="DE65" s="44">
        <f t="shared" ref="DE65" si="952">DD65</f>
        <v>151041</v>
      </c>
      <c r="DF65" s="45">
        <f t="shared" si="30"/>
        <v>13927932</v>
      </c>
    </row>
    <row r="66" spans="1:228" s="40" customFormat="1" ht="12" customHeight="1">
      <c r="A66" s="448"/>
      <c r="B66" s="518"/>
      <c r="C66" s="450"/>
      <c r="D66" s="451"/>
      <c r="E66" s="452"/>
      <c r="F66" s="446"/>
      <c r="G66" s="446"/>
      <c r="H66" s="447"/>
      <c r="I66" s="41"/>
      <c r="J66" s="42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5">
        <f t="shared" si="30"/>
        <v>0</v>
      </c>
    </row>
    <row r="67" spans="1:228" s="221" customFormat="1" ht="11.25" customHeight="1">
      <c r="A67" s="448">
        <v>33</v>
      </c>
      <c r="B67" s="456" t="s">
        <v>98</v>
      </c>
      <c r="C67" s="457" t="s">
        <v>99</v>
      </c>
      <c r="D67" s="458" t="s">
        <v>100</v>
      </c>
      <c r="E67" s="459" t="s">
        <v>443</v>
      </c>
      <c r="F67" s="453">
        <v>92</v>
      </c>
      <c r="G67" s="453">
        <v>15.75</v>
      </c>
      <c r="H67" s="454">
        <f>F67*G67*365</f>
        <v>528885</v>
      </c>
      <c r="I67" s="219">
        <v>100000</v>
      </c>
      <c r="J67" s="42">
        <f>ROUND(G67*F67*365/4,0)</f>
        <v>132221</v>
      </c>
      <c r="K67" s="42">
        <f t="shared" ref="K67:AN67" si="953">J67</f>
        <v>132221</v>
      </c>
      <c r="L67" s="42">
        <f t="shared" si="953"/>
        <v>132221</v>
      </c>
      <c r="M67" s="42">
        <f t="shared" si="953"/>
        <v>132221</v>
      </c>
      <c r="N67" s="42">
        <f t="shared" si="953"/>
        <v>132221</v>
      </c>
      <c r="O67" s="42">
        <f t="shared" si="953"/>
        <v>132221</v>
      </c>
      <c r="P67" s="42">
        <f t="shared" si="953"/>
        <v>132221</v>
      </c>
      <c r="Q67" s="42">
        <f t="shared" si="953"/>
        <v>132221</v>
      </c>
      <c r="R67" s="42">
        <f t="shared" si="953"/>
        <v>132221</v>
      </c>
      <c r="S67" s="42">
        <f t="shared" si="953"/>
        <v>132221</v>
      </c>
      <c r="T67" s="42">
        <f t="shared" si="953"/>
        <v>132221</v>
      </c>
      <c r="U67" s="42">
        <f t="shared" si="953"/>
        <v>132221</v>
      </c>
      <c r="V67" s="42">
        <f t="shared" si="953"/>
        <v>132221</v>
      </c>
      <c r="W67" s="42">
        <f t="shared" si="953"/>
        <v>132221</v>
      </c>
      <c r="X67" s="42">
        <f t="shared" si="953"/>
        <v>132221</v>
      </c>
      <c r="Y67" s="42">
        <f t="shared" si="953"/>
        <v>132221</v>
      </c>
      <c r="Z67" s="42">
        <f t="shared" si="953"/>
        <v>132221</v>
      </c>
      <c r="AA67" s="42">
        <f t="shared" si="953"/>
        <v>132221</v>
      </c>
      <c r="AB67" s="42">
        <f t="shared" si="953"/>
        <v>132221</v>
      </c>
      <c r="AC67" s="42">
        <f t="shared" si="953"/>
        <v>132221</v>
      </c>
      <c r="AD67" s="42">
        <f t="shared" si="953"/>
        <v>132221</v>
      </c>
      <c r="AE67" s="42">
        <f t="shared" si="953"/>
        <v>132221</v>
      </c>
      <c r="AF67" s="42">
        <f t="shared" si="953"/>
        <v>132221</v>
      </c>
      <c r="AG67" s="42">
        <f t="shared" si="953"/>
        <v>132221</v>
      </c>
      <c r="AH67" s="42">
        <f t="shared" si="953"/>
        <v>132221</v>
      </c>
      <c r="AI67" s="42">
        <f t="shared" si="953"/>
        <v>132221</v>
      </c>
      <c r="AJ67" s="42">
        <f t="shared" si="953"/>
        <v>132221</v>
      </c>
      <c r="AK67" s="42">
        <f t="shared" si="953"/>
        <v>132221</v>
      </c>
      <c r="AL67" s="42">
        <f t="shared" si="953"/>
        <v>132221</v>
      </c>
      <c r="AM67" s="42">
        <f t="shared" si="953"/>
        <v>132221</v>
      </c>
      <c r="AN67" s="43">
        <f t="shared" si="953"/>
        <v>132221</v>
      </c>
      <c r="AO67" s="42">
        <f>AN67</f>
        <v>132221</v>
      </c>
      <c r="AP67" s="44">
        <f>ROUND(AO67*(1+取值表!$D$8)*取值表!$H$8,0)</f>
        <v>133131</v>
      </c>
      <c r="AQ67" s="42">
        <f>AP67</f>
        <v>133131</v>
      </c>
      <c r="AR67" s="42">
        <f>AQ67</f>
        <v>133131</v>
      </c>
      <c r="AS67" s="42">
        <f>AR67</f>
        <v>133131</v>
      </c>
      <c r="AT67" s="44">
        <f>ROUND(AS67*(1+取值表!$D$8)*取值表!$H$8,0)</f>
        <v>134047</v>
      </c>
      <c r="AU67" s="42">
        <f t="shared" ref="AU67:AW67" si="954">AT67</f>
        <v>134047</v>
      </c>
      <c r="AV67" s="42">
        <f t="shared" si="954"/>
        <v>134047</v>
      </c>
      <c r="AW67" s="42">
        <f t="shared" si="954"/>
        <v>134047</v>
      </c>
      <c r="AX67" s="44">
        <f>ROUND(AW67*(1+取值表!$D$8)*取值表!$H$8,0)</f>
        <v>134969</v>
      </c>
      <c r="AY67" s="42">
        <f t="shared" ref="AY67:BA67" si="955">AX67</f>
        <v>134969</v>
      </c>
      <c r="AZ67" s="42">
        <f t="shared" si="955"/>
        <v>134969</v>
      </c>
      <c r="BA67" s="42">
        <f t="shared" si="955"/>
        <v>134969</v>
      </c>
      <c r="BB67" s="44">
        <f>ROUND(BA67*(1+取值表!$D$8)*取值表!$H$8,0)</f>
        <v>135898</v>
      </c>
      <c r="BC67" s="42">
        <f t="shared" ref="BC67:BE67" si="956">BB67</f>
        <v>135898</v>
      </c>
      <c r="BD67" s="42">
        <f t="shared" si="956"/>
        <v>135898</v>
      </c>
      <c r="BE67" s="42">
        <f t="shared" si="956"/>
        <v>135898</v>
      </c>
      <c r="BF67" s="44">
        <f>ROUND(BE67*(1+取值表!$D$8)*取值表!$H$8,0)</f>
        <v>136833</v>
      </c>
      <c r="BG67" s="42">
        <f t="shared" ref="BG67:BI67" si="957">BF67</f>
        <v>136833</v>
      </c>
      <c r="BH67" s="42">
        <f t="shared" si="957"/>
        <v>136833</v>
      </c>
      <c r="BI67" s="42">
        <f t="shared" si="957"/>
        <v>136833</v>
      </c>
      <c r="BJ67" s="44">
        <f>ROUND(BI67*(1+取值表!$D$8)*取值表!$H$8,0)</f>
        <v>137775</v>
      </c>
      <c r="BK67" s="42">
        <f t="shared" ref="BK67:BM67" si="958">BJ67</f>
        <v>137775</v>
      </c>
      <c r="BL67" s="42">
        <f t="shared" si="958"/>
        <v>137775</v>
      </c>
      <c r="BM67" s="42">
        <f t="shared" si="958"/>
        <v>137775</v>
      </c>
      <c r="BN67" s="44">
        <f>ROUND(BM67*(1+取值表!$D$8)*取值表!$H$8,0)</f>
        <v>138723</v>
      </c>
      <c r="BO67" s="42">
        <f t="shared" ref="BO67:BQ67" si="959">BN67</f>
        <v>138723</v>
      </c>
      <c r="BP67" s="42">
        <f t="shared" si="959"/>
        <v>138723</v>
      </c>
      <c r="BQ67" s="42">
        <f t="shared" si="959"/>
        <v>138723</v>
      </c>
      <c r="BR67" s="44">
        <f>ROUND(BQ67*(1+取值表!$D$8)*取值表!$H$8,0)</f>
        <v>139678</v>
      </c>
      <c r="BS67" s="42">
        <f t="shared" ref="BS67:BU67" si="960">BR67</f>
        <v>139678</v>
      </c>
      <c r="BT67" s="42">
        <f t="shared" si="960"/>
        <v>139678</v>
      </c>
      <c r="BU67" s="42">
        <f t="shared" si="960"/>
        <v>139678</v>
      </c>
      <c r="BV67" s="44">
        <f>ROUND(BU67*(1+取值表!$D$8)*取值表!$H$8,0)</f>
        <v>140639</v>
      </c>
      <c r="BW67" s="42">
        <f t="shared" ref="BW67:BY67" si="961">BV67</f>
        <v>140639</v>
      </c>
      <c r="BX67" s="42">
        <f t="shared" si="961"/>
        <v>140639</v>
      </c>
      <c r="BY67" s="42">
        <f t="shared" si="961"/>
        <v>140639</v>
      </c>
      <c r="BZ67" s="44">
        <f>ROUND(BY67*(1+取值表!$D$8)*取值表!$H$8,0)</f>
        <v>141607</v>
      </c>
      <c r="CA67" s="42">
        <f t="shared" ref="CA67:CC67" si="962">BZ67</f>
        <v>141607</v>
      </c>
      <c r="CB67" s="42">
        <f t="shared" si="962"/>
        <v>141607</v>
      </c>
      <c r="CC67" s="42">
        <f t="shared" si="962"/>
        <v>141607</v>
      </c>
      <c r="CD67" s="44">
        <f>ROUND(CC67*(1+取值表!$D$8)*取值表!$H$8,0)</f>
        <v>142582</v>
      </c>
      <c r="CE67" s="42">
        <f t="shared" ref="CE67:CG67" si="963">CD67</f>
        <v>142582</v>
      </c>
      <c r="CF67" s="42">
        <f t="shared" si="963"/>
        <v>142582</v>
      </c>
      <c r="CG67" s="42">
        <f t="shared" si="963"/>
        <v>142582</v>
      </c>
      <c r="CH67" s="44">
        <f>ROUND(CG67*(1+取值表!$D$8)*取值表!$H$8,0)</f>
        <v>143563</v>
      </c>
      <c r="CI67" s="42">
        <f t="shared" ref="CI67:CK67" si="964">CH67</f>
        <v>143563</v>
      </c>
      <c r="CJ67" s="42">
        <f t="shared" si="964"/>
        <v>143563</v>
      </c>
      <c r="CK67" s="42">
        <f t="shared" si="964"/>
        <v>143563</v>
      </c>
      <c r="CL67" s="44">
        <f>ROUND(CK67*(1+取值表!$D$8)*取值表!$H$8,0)</f>
        <v>144551</v>
      </c>
      <c r="CM67" s="42">
        <f>CL67</f>
        <v>144551</v>
      </c>
      <c r="CN67" s="42">
        <f>CM67</f>
        <v>144551</v>
      </c>
      <c r="CO67" s="42">
        <f>CN67</f>
        <v>144551</v>
      </c>
      <c r="CP67" s="44">
        <f>ROUND(CO67*(1+取值表!$D$8)*取值表!$H$8,0)</f>
        <v>145546</v>
      </c>
      <c r="CQ67" s="42">
        <f t="shared" ref="CQ67:CS67" si="965">CP67</f>
        <v>145546</v>
      </c>
      <c r="CR67" s="42">
        <f t="shared" si="965"/>
        <v>145546</v>
      </c>
      <c r="CS67" s="42">
        <f t="shared" si="965"/>
        <v>145546</v>
      </c>
      <c r="CT67" s="44">
        <f>ROUND(CS67*(1+取值表!$D$8)*取值表!$H$8,0)</f>
        <v>146548</v>
      </c>
      <c r="CU67" s="42">
        <f t="shared" ref="CU67:CW67" si="966">CT67</f>
        <v>146548</v>
      </c>
      <c r="CV67" s="42">
        <f t="shared" si="966"/>
        <v>146548</v>
      </c>
      <c r="CW67" s="42">
        <f t="shared" si="966"/>
        <v>146548</v>
      </c>
      <c r="CX67" s="44">
        <f>ROUND(CW67*(1+取值表!$D$8)*取值表!$H$8,0)</f>
        <v>147557</v>
      </c>
      <c r="CY67" s="42">
        <f t="shared" ref="CY67:DA67" si="967">CX67</f>
        <v>147557</v>
      </c>
      <c r="CZ67" s="42">
        <f t="shared" si="967"/>
        <v>147557</v>
      </c>
      <c r="DA67" s="42">
        <f t="shared" si="967"/>
        <v>147557</v>
      </c>
      <c r="DB67" s="44">
        <f>ROUND(DA67*(1+取值表!$D$8)*取值表!$H$8,0)</f>
        <v>148572</v>
      </c>
      <c r="DC67" s="42">
        <f t="shared" ref="DC67:DE67" si="968">DB67</f>
        <v>148572</v>
      </c>
      <c r="DD67" s="42">
        <f t="shared" si="968"/>
        <v>148572</v>
      </c>
      <c r="DE67" s="42">
        <f t="shared" si="968"/>
        <v>148572</v>
      </c>
      <c r="DF67" s="45">
        <f t="shared" si="30"/>
        <v>13799948</v>
      </c>
      <c r="DG67" s="52"/>
    </row>
    <row r="68" spans="1:228" s="221" customFormat="1" ht="12">
      <c r="A68" s="448"/>
      <c r="B68" s="456"/>
      <c r="C68" s="457"/>
      <c r="D68" s="458"/>
      <c r="E68" s="459"/>
      <c r="F68" s="453"/>
      <c r="G68" s="453"/>
      <c r="H68" s="454"/>
      <c r="I68" s="219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5">
        <f t="shared" ref="DF68:DF131" si="969">SUM(J68:DE68)</f>
        <v>0</v>
      </c>
      <c r="DG68" s="52"/>
    </row>
    <row r="69" spans="1:228" s="40" customFormat="1" ht="12">
      <c r="A69" s="448">
        <v>34</v>
      </c>
      <c r="B69" s="518" t="s">
        <v>101</v>
      </c>
      <c r="C69" s="450" t="s">
        <v>102</v>
      </c>
      <c r="D69" s="451" t="s">
        <v>103</v>
      </c>
      <c r="E69" s="452" t="s">
        <v>443</v>
      </c>
      <c r="F69" s="446">
        <v>66.25</v>
      </c>
      <c r="G69" s="446">
        <v>15.5</v>
      </c>
      <c r="H69" s="447">
        <f>F69*G69*365</f>
        <v>374809.375</v>
      </c>
      <c r="I69" s="41">
        <v>92674.64</v>
      </c>
      <c r="J69" s="42">
        <f>ROUND(F69*G69*365/4,0)</f>
        <v>93702</v>
      </c>
      <c r="K69" s="43">
        <f>J69</f>
        <v>93702</v>
      </c>
      <c r="L69" s="44">
        <f>K69</f>
        <v>93702</v>
      </c>
      <c r="M69" s="44">
        <f>L69</f>
        <v>93702</v>
      </c>
      <c r="N69" s="44">
        <f>ROUND(M69*(1+取值表!$D$8)*取值表!$H$8,0)</f>
        <v>94347</v>
      </c>
      <c r="O69" s="44">
        <f>N69</f>
        <v>94347</v>
      </c>
      <c r="P69" s="44">
        <f>O69</f>
        <v>94347</v>
      </c>
      <c r="Q69" s="44">
        <f>P69</f>
        <v>94347</v>
      </c>
      <c r="R69" s="44">
        <f t="shared" ref="R69" si="970">Q69</f>
        <v>94347</v>
      </c>
      <c r="S69" s="44">
        <f>ROUND(R69*(1+取值表!$D$8)*取值表!$H$8,0)</f>
        <v>94996</v>
      </c>
      <c r="T69" s="44">
        <f t="shared" ref="T69:W69" si="971">S69</f>
        <v>94996</v>
      </c>
      <c r="U69" s="44">
        <f t="shared" si="971"/>
        <v>94996</v>
      </c>
      <c r="V69" s="44">
        <f t="shared" si="971"/>
        <v>94996</v>
      </c>
      <c r="W69" s="44">
        <f t="shared" si="971"/>
        <v>94996</v>
      </c>
      <c r="X69" s="44">
        <f>ROUND(W69*(1+取值表!$D$8)*取值表!$H$8,0)</f>
        <v>95650</v>
      </c>
      <c r="Y69" s="44">
        <f t="shared" ref="Y69:AB69" si="972">X69</f>
        <v>95650</v>
      </c>
      <c r="Z69" s="44">
        <f t="shared" si="972"/>
        <v>95650</v>
      </c>
      <c r="AA69" s="44">
        <f t="shared" si="972"/>
        <v>95650</v>
      </c>
      <c r="AB69" s="44">
        <f t="shared" si="972"/>
        <v>95650</v>
      </c>
      <c r="AC69" s="44">
        <f>ROUND(AB69*(1+取值表!$D$8)*取值表!$H$8,0)</f>
        <v>96308</v>
      </c>
      <c r="AD69" s="44">
        <f t="shared" ref="AD69:AG69" si="973">AC69</f>
        <v>96308</v>
      </c>
      <c r="AE69" s="44">
        <f t="shared" si="973"/>
        <v>96308</v>
      </c>
      <c r="AF69" s="44">
        <f t="shared" si="973"/>
        <v>96308</v>
      </c>
      <c r="AG69" s="44">
        <f t="shared" si="973"/>
        <v>96308</v>
      </c>
      <c r="AH69" s="44">
        <f>ROUND(AG69*(1+取值表!$D$8)*取值表!$H$8,0)</f>
        <v>96971</v>
      </c>
      <c r="AI69" s="44">
        <f t="shared" ref="AI69:AL69" si="974">AH69</f>
        <v>96971</v>
      </c>
      <c r="AJ69" s="44">
        <f t="shared" si="974"/>
        <v>96971</v>
      </c>
      <c r="AK69" s="44">
        <f t="shared" si="974"/>
        <v>96971</v>
      </c>
      <c r="AL69" s="44">
        <f t="shared" si="974"/>
        <v>96971</v>
      </c>
      <c r="AM69" s="44">
        <f>ROUND(AL69*(1+取值表!$D$8)*取值表!$H$8,0)</f>
        <v>97638</v>
      </c>
      <c r="AN69" s="44">
        <f t="shared" ref="AN69:AQ69" si="975">AM69</f>
        <v>97638</v>
      </c>
      <c r="AO69" s="44">
        <f t="shared" si="975"/>
        <v>97638</v>
      </c>
      <c r="AP69" s="44">
        <f t="shared" si="975"/>
        <v>97638</v>
      </c>
      <c r="AQ69" s="44">
        <f t="shared" si="975"/>
        <v>97638</v>
      </c>
      <c r="AR69" s="44">
        <f>ROUND(AQ69*(1+取值表!$D$8)*取值表!$H$8,0)</f>
        <v>98310</v>
      </c>
      <c r="AS69" s="44">
        <f t="shared" ref="AS69:AV69" si="976">AR69</f>
        <v>98310</v>
      </c>
      <c r="AT69" s="44">
        <f t="shared" si="976"/>
        <v>98310</v>
      </c>
      <c r="AU69" s="44">
        <f t="shared" si="976"/>
        <v>98310</v>
      </c>
      <c r="AV69" s="44">
        <f t="shared" si="976"/>
        <v>98310</v>
      </c>
      <c r="AW69" s="44">
        <f>ROUND(AV69*(1+取值表!$D$8)*取值表!$H$8,0)</f>
        <v>98987</v>
      </c>
      <c r="AX69" s="44">
        <f t="shared" ref="AX69:BA69" si="977">AW69</f>
        <v>98987</v>
      </c>
      <c r="AY69" s="44">
        <f t="shared" si="977"/>
        <v>98987</v>
      </c>
      <c r="AZ69" s="44">
        <f t="shared" si="977"/>
        <v>98987</v>
      </c>
      <c r="BA69" s="44">
        <f t="shared" si="977"/>
        <v>98987</v>
      </c>
      <c r="BB69" s="44">
        <f>ROUND(BA69*(1+取值表!$D$8)*取值表!$H$8,0)</f>
        <v>99668</v>
      </c>
      <c r="BC69" s="44">
        <f t="shared" ref="BC69:BF69" si="978">BB69</f>
        <v>99668</v>
      </c>
      <c r="BD69" s="44">
        <f t="shared" si="978"/>
        <v>99668</v>
      </c>
      <c r="BE69" s="44">
        <f t="shared" si="978"/>
        <v>99668</v>
      </c>
      <c r="BF69" s="44">
        <f t="shared" si="978"/>
        <v>99668</v>
      </c>
      <c r="BG69" s="44">
        <f>ROUND(BF69*(1+取值表!$D$8)*取值表!$H$8,0)</f>
        <v>100354</v>
      </c>
      <c r="BH69" s="44">
        <f t="shared" ref="BH69:BK69" si="979">BG69</f>
        <v>100354</v>
      </c>
      <c r="BI69" s="44">
        <f t="shared" si="979"/>
        <v>100354</v>
      </c>
      <c r="BJ69" s="44">
        <f t="shared" si="979"/>
        <v>100354</v>
      </c>
      <c r="BK69" s="44">
        <f t="shared" si="979"/>
        <v>100354</v>
      </c>
      <c r="BL69" s="44">
        <f>ROUND(BK69*(1+取值表!$D$8)*取值表!$H$8,0)</f>
        <v>101045</v>
      </c>
      <c r="BM69" s="44">
        <f t="shared" ref="BM69:BP69" si="980">BL69</f>
        <v>101045</v>
      </c>
      <c r="BN69" s="44">
        <f t="shared" si="980"/>
        <v>101045</v>
      </c>
      <c r="BO69" s="44">
        <f t="shared" si="980"/>
        <v>101045</v>
      </c>
      <c r="BP69" s="44">
        <f t="shared" si="980"/>
        <v>101045</v>
      </c>
      <c r="BQ69" s="44">
        <f>ROUND(BP69*(1+取值表!$D$8)*取值表!$H$8,0)</f>
        <v>101740</v>
      </c>
      <c r="BR69" s="44">
        <f t="shared" ref="BR69:BU69" si="981">BQ69</f>
        <v>101740</v>
      </c>
      <c r="BS69" s="44">
        <f t="shared" si="981"/>
        <v>101740</v>
      </c>
      <c r="BT69" s="44">
        <f t="shared" si="981"/>
        <v>101740</v>
      </c>
      <c r="BU69" s="44">
        <f t="shared" si="981"/>
        <v>101740</v>
      </c>
      <c r="BV69" s="44">
        <f>ROUND(BU69*(1+取值表!$D$8)*取值表!$H$8,0)</f>
        <v>102440</v>
      </c>
      <c r="BW69" s="44">
        <f t="shared" ref="BW69:BZ69" si="982">BV69</f>
        <v>102440</v>
      </c>
      <c r="BX69" s="44">
        <f t="shared" si="982"/>
        <v>102440</v>
      </c>
      <c r="BY69" s="44">
        <f t="shared" si="982"/>
        <v>102440</v>
      </c>
      <c r="BZ69" s="44">
        <f t="shared" si="982"/>
        <v>102440</v>
      </c>
      <c r="CA69" s="44">
        <f>ROUND(BZ69*(1+取值表!$D$8)*取值表!$H$8,0)</f>
        <v>103145</v>
      </c>
      <c r="CB69" s="44">
        <f t="shared" ref="CB69:CE69" si="983">CA69</f>
        <v>103145</v>
      </c>
      <c r="CC69" s="44">
        <f t="shared" si="983"/>
        <v>103145</v>
      </c>
      <c r="CD69" s="44">
        <f t="shared" si="983"/>
        <v>103145</v>
      </c>
      <c r="CE69" s="44">
        <f t="shared" si="983"/>
        <v>103145</v>
      </c>
      <c r="CF69" s="44">
        <f>ROUND(CE69*(1+取值表!$D$8)*取值表!$H$8,0)</f>
        <v>103855</v>
      </c>
      <c r="CG69" s="44">
        <f t="shared" ref="CG69:CJ69" si="984">CF69</f>
        <v>103855</v>
      </c>
      <c r="CH69" s="44">
        <f t="shared" si="984"/>
        <v>103855</v>
      </c>
      <c r="CI69" s="44">
        <f t="shared" si="984"/>
        <v>103855</v>
      </c>
      <c r="CJ69" s="44">
        <f t="shared" si="984"/>
        <v>103855</v>
      </c>
      <c r="CK69" s="44">
        <f>ROUND(CJ69*(1+取值表!$D$8)*取值表!$H$8,0)</f>
        <v>104570</v>
      </c>
      <c r="CL69" s="44">
        <f t="shared" ref="CL69:CO69" si="985">CK69</f>
        <v>104570</v>
      </c>
      <c r="CM69" s="44">
        <f t="shared" si="985"/>
        <v>104570</v>
      </c>
      <c r="CN69" s="44">
        <f t="shared" si="985"/>
        <v>104570</v>
      </c>
      <c r="CO69" s="44">
        <f t="shared" si="985"/>
        <v>104570</v>
      </c>
      <c r="CP69" s="44">
        <f t="shared" ref="CP69" si="986">CO69</f>
        <v>104570</v>
      </c>
      <c r="CQ69" s="44">
        <f t="shared" ref="CQ69" si="987">CP69</f>
        <v>104570</v>
      </c>
      <c r="CR69" s="44">
        <f t="shared" ref="CR69" si="988">CQ69</f>
        <v>104570</v>
      </c>
      <c r="CS69" s="44">
        <f t="shared" ref="CS69" si="989">CR69</f>
        <v>104570</v>
      </c>
      <c r="CT69" s="44">
        <f t="shared" ref="CT69" si="990">CS69</f>
        <v>104570</v>
      </c>
      <c r="CU69" s="44">
        <f t="shared" ref="CU69" si="991">CT69</f>
        <v>104570</v>
      </c>
      <c r="CV69" s="44">
        <f t="shared" ref="CV69" si="992">CU69</f>
        <v>104570</v>
      </c>
      <c r="CW69" s="44">
        <f t="shared" ref="CW69" si="993">CV69</f>
        <v>104570</v>
      </c>
      <c r="CX69" s="44">
        <f t="shared" ref="CX69" si="994">CW69</f>
        <v>104570</v>
      </c>
      <c r="CY69" s="44">
        <f t="shared" ref="CY69" si="995">CX69</f>
        <v>104570</v>
      </c>
      <c r="CZ69" s="44">
        <f t="shared" ref="CZ69" si="996">CY69</f>
        <v>104570</v>
      </c>
      <c r="DA69" s="44">
        <f t="shared" ref="DA69" si="997">CZ69</f>
        <v>104570</v>
      </c>
      <c r="DB69" s="44">
        <f t="shared" ref="DB69" si="998">DA69</f>
        <v>104570</v>
      </c>
      <c r="DC69" s="44">
        <f t="shared" ref="DC69" si="999">DB69</f>
        <v>104570</v>
      </c>
      <c r="DD69" s="44">
        <f t="shared" ref="DD69" si="1000">DC69</f>
        <v>104570</v>
      </c>
      <c r="DE69" s="44">
        <f t="shared" ref="DE69" si="1001">DD69</f>
        <v>104570</v>
      </c>
      <c r="DF69" s="45">
        <f t="shared" si="969"/>
        <v>9998048</v>
      </c>
    </row>
    <row r="70" spans="1:228" s="40" customFormat="1" ht="12">
      <c r="A70" s="448"/>
      <c r="B70" s="518"/>
      <c r="C70" s="450"/>
      <c r="D70" s="451"/>
      <c r="E70" s="452"/>
      <c r="F70" s="446"/>
      <c r="G70" s="446"/>
      <c r="H70" s="447"/>
      <c r="I70" s="41"/>
      <c r="J70" s="42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5">
        <f t="shared" si="969"/>
        <v>0</v>
      </c>
    </row>
    <row r="71" spans="1:228" ht="19.5" customHeight="1">
      <c r="A71" s="115">
        <v>35</v>
      </c>
      <c r="B71" s="3" t="s">
        <v>342</v>
      </c>
      <c r="C71" s="3" t="s">
        <v>1170</v>
      </c>
      <c r="D71" s="222" t="s">
        <v>1171</v>
      </c>
      <c r="E71" s="223" t="s">
        <v>1172</v>
      </c>
      <c r="F71" s="224">
        <v>20.3</v>
      </c>
      <c r="G71" s="55">
        <v>44</v>
      </c>
      <c r="H71" s="115">
        <f>G71*F71*365</f>
        <v>326018</v>
      </c>
      <c r="I71" s="41">
        <v>81504.5</v>
      </c>
      <c r="J71" s="225">
        <f>ROUND(G71*F71*365/4,0)</f>
        <v>81505</v>
      </c>
      <c r="K71" s="226">
        <f t="shared" ref="K71:M72" si="1002">J71</f>
        <v>81505</v>
      </c>
      <c r="L71" s="227">
        <f t="shared" si="1002"/>
        <v>81505</v>
      </c>
      <c r="M71" s="226">
        <f t="shared" si="1002"/>
        <v>81505</v>
      </c>
      <c r="N71" s="44">
        <f>ROUND(M71*(1+取值表!$D$8)*取值表!$H$8,0)</f>
        <v>82066</v>
      </c>
      <c r="O71" s="226">
        <f t="shared" ref="O71:Q72" si="1003">N71</f>
        <v>82066</v>
      </c>
      <c r="P71" s="226">
        <f t="shared" si="1003"/>
        <v>82066</v>
      </c>
      <c r="Q71" s="226">
        <f t="shared" si="1003"/>
        <v>82066</v>
      </c>
      <c r="R71" s="226">
        <f t="shared" ref="R71" si="1004">Q71</f>
        <v>82066</v>
      </c>
      <c r="S71" s="44">
        <f>ROUND(R71*(1+取值表!$D$8)*取值表!$H$8,0)</f>
        <v>82631</v>
      </c>
      <c r="T71" s="226">
        <f t="shared" ref="T71:W71" si="1005">S71</f>
        <v>82631</v>
      </c>
      <c r="U71" s="226">
        <f t="shared" si="1005"/>
        <v>82631</v>
      </c>
      <c r="V71" s="226">
        <f t="shared" si="1005"/>
        <v>82631</v>
      </c>
      <c r="W71" s="226">
        <f t="shared" si="1005"/>
        <v>82631</v>
      </c>
      <c r="X71" s="44">
        <f>ROUND(W71*(1+取值表!$D$8)*取值表!$H$8,0)</f>
        <v>83200</v>
      </c>
      <c r="Y71" s="226">
        <f t="shared" ref="Y71:AB71" si="1006">X71</f>
        <v>83200</v>
      </c>
      <c r="Z71" s="226">
        <f t="shared" si="1006"/>
        <v>83200</v>
      </c>
      <c r="AA71" s="226">
        <f t="shared" si="1006"/>
        <v>83200</v>
      </c>
      <c r="AB71" s="226">
        <f t="shared" si="1006"/>
        <v>83200</v>
      </c>
      <c r="AC71" s="44">
        <f>ROUND(AB71*(1+取值表!$D$8)*取值表!$H$8,0)</f>
        <v>83773</v>
      </c>
      <c r="AD71" s="226">
        <f t="shared" ref="AD71:AG71" si="1007">AC71</f>
        <v>83773</v>
      </c>
      <c r="AE71" s="226">
        <f t="shared" si="1007"/>
        <v>83773</v>
      </c>
      <c r="AF71" s="226">
        <f t="shared" si="1007"/>
        <v>83773</v>
      </c>
      <c r="AG71" s="226">
        <f t="shared" si="1007"/>
        <v>83773</v>
      </c>
      <c r="AH71" s="44">
        <f>ROUND(AG71*(1+取值表!$D$8)*取值表!$H$8,0)</f>
        <v>84350</v>
      </c>
      <c r="AI71" s="226">
        <f t="shared" ref="AI71:AL71" si="1008">AH71</f>
        <v>84350</v>
      </c>
      <c r="AJ71" s="226">
        <f t="shared" si="1008"/>
        <v>84350</v>
      </c>
      <c r="AK71" s="226">
        <f t="shared" si="1008"/>
        <v>84350</v>
      </c>
      <c r="AL71" s="226">
        <f t="shared" si="1008"/>
        <v>84350</v>
      </c>
      <c r="AM71" s="44">
        <f>ROUND(AL71*(1+取值表!$D$8)*取值表!$H$8,0)</f>
        <v>84930</v>
      </c>
      <c r="AN71" s="226">
        <f t="shared" ref="AN71:AQ71" si="1009">AM71</f>
        <v>84930</v>
      </c>
      <c r="AO71" s="226">
        <f t="shared" si="1009"/>
        <v>84930</v>
      </c>
      <c r="AP71" s="226">
        <f t="shared" si="1009"/>
        <v>84930</v>
      </c>
      <c r="AQ71" s="226">
        <f t="shared" si="1009"/>
        <v>84930</v>
      </c>
      <c r="AR71" s="44">
        <f>ROUND(AQ71*(1+取值表!$D$8)*取值表!$H$8,0)</f>
        <v>85514</v>
      </c>
      <c r="AS71" s="226">
        <f t="shared" ref="AS71:AV71" si="1010">AR71</f>
        <v>85514</v>
      </c>
      <c r="AT71" s="226">
        <f t="shared" si="1010"/>
        <v>85514</v>
      </c>
      <c r="AU71" s="226">
        <f t="shared" si="1010"/>
        <v>85514</v>
      </c>
      <c r="AV71" s="226">
        <f t="shared" si="1010"/>
        <v>85514</v>
      </c>
      <c r="AW71" s="44">
        <f>ROUND(AV71*(1+取值表!$D$8)*取值表!$H$8,0)</f>
        <v>86102</v>
      </c>
      <c r="AX71" s="226">
        <f t="shared" ref="AX71:BA71" si="1011">AW71</f>
        <v>86102</v>
      </c>
      <c r="AY71" s="226">
        <f t="shared" si="1011"/>
        <v>86102</v>
      </c>
      <c r="AZ71" s="226">
        <f t="shared" si="1011"/>
        <v>86102</v>
      </c>
      <c r="BA71" s="226">
        <f t="shared" si="1011"/>
        <v>86102</v>
      </c>
      <c r="BB71" s="44">
        <f>ROUND(BA71*(1+取值表!$D$8)*取值表!$H$8,0)</f>
        <v>86695</v>
      </c>
      <c r="BC71" s="226">
        <f t="shared" ref="BC71:BF71" si="1012">BB71</f>
        <v>86695</v>
      </c>
      <c r="BD71" s="226">
        <f t="shared" si="1012"/>
        <v>86695</v>
      </c>
      <c r="BE71" s="226">
        <f t="shared" si="1012"/>
        <v>86695</v>
      </c>
      <c r="BF71" s="226">
        <f t="shared" si="1012"/>
        <v>86695</v>
      </c>
      <c r="BG71" s="44">
        <f>ROUND(BF71*(1+取值表!$D$8)*取值表!$H$8,0)</f>
        <v>87292</v>
      </c>
      <c r="BH71" s="226">
        <f t="shared" ref="BH71:BK71" si="1013">BG71</f>
        <v>87292</v>
      </c>
      <c r="BI71" s="226">
        <f t="shared" si="1013"/>
        <v>87292</v>
      </c>
      <c r="BJ71" s="226">
        <f t="shared" si="1013"/>
        <v>87292</v>
      </c>
      <c r="BK71" s="226">
        <f t="shared" si="1013"/>
        <v>87292</v>
      </c>
      <c r="BL71" s="44">
        <f>ROUND(BK71*(1+取值表!$D$8)*取值表!$H$8,0)</f>
        <v>87893</v>
      </c>
      <c r="BM71" s="226">
        <f t="shared" ref="BM71:BP71" si="1014">BL71</f>
        <v>87893</v>
      </c>
      <c r="BN71" s="226">
        <f t="shared" si="1014"/>
        <v>87893</v>
      </c>
      <c r="BO71" s="226">
        <f t="shared" si="1014"/>
        <v>87893</v>
      </c>
      <c r="BP71" s="226">
        <f t="shared" si="1014"/>
        <v>87893</v>
      </c>
      <c r="BQ71" s="44">
        <f>ROUND(BP71*(1+取值表!$D$8)*取值表!$H$8,0)</f>
        <v>88498</v>
      </c>
      <c r="BR71" s="226">
        <f t="shared" ref="BR71:BU71" si="1015">BQ71</f>
        <v>88498</v>
      </c>
      <c r="BS71" s="226">
        <f t="shared" si="1015"/>
        <v>88498</v>
      </c>
      <c r="BT71" s="226">
        <f t="shared" si="1015"/>
        <v>88498</v>
      </c>
      <c r="BU71" s="226">
        <f t="shared" si="1015"/>
        <v>88498</v>
      </c>
      <c r="BV71" s="44">
        <f>ROUND(BU71*(1+取值表!$D$8)*取值表!$H$8,0)</f>
        <v>89107</v>
      </c>
      <c r="BW71" s="226">
        <f t="shared" ref="BW71:BZ71" si="1016">BV71</f>
        <v>89107</v>
      </c>
      <c r="BX71" s="226">
        <f t="shared" si="1016"/>
        <v>89107</v>
      </c>
      <c r="BY71" s="226">
        <f t="shared" si="1016"/>
        <v>89107</v>
      </c>
      <c r="BZ71" s="226">
        <f t="shared" si="1016"/>
        <v>89107</v>
      </c>
      <c r="CA71" s="44">
        <f>ROUND(BZ71*(1+取值表!$D$8)*取值表!$H$8,0)</f>
        <v>89720</v>
      </c>
      <c r="CB71" s="226">
        <f t="shared" ref="CB71:CE71" si="1017">CA71</f>
        <v>89720</v>
      </c>
      <c r="CC71" s="226">
        <f t="shared" si="1017"/>
        <v>89720</v>
      </c>
      <c r="CD71" s="226">
        <f t="shared" si="1017"/>
        <v>89720</v>
      </c>
      <c r="CE71" s="226">
        <f t="shared" si="1017"/>
        <v>89720</v>
      </c>
      <c r="CF71" s="44">
        <f>ROUND(CE71*(1+取值表!$D$8)*取值表!$H$8,0)</f>
        <v>90337</v>
      </c>
      <c r="CG71" s="226">
        <f t="shared" ref="CG71:CJ71" si="1018">CF71</f>
        <v>90337</v>
      </c>
      <c r="CH71" s="226">
        <f t="shared" si="1018"/>
        <v>90337</v>
      </c>
      <c r="CI71" s="226">
        <f t="shared" si="1018"/>
        <v>90337</v>
      </c>
      <c r="CJ71" s="226">
        <f t="shared" si="1018"/>
        <v>90337</v>
      </c>
      <c r="CK71" s="44">
        <f>ROUND(CJ71*(1+取值表!$D$8)*取值表!$H$8,0)</f>
        <v>90959</v>
      </c>
      <c r="CL71" s="226">
        <f t="shared" ref="CL71:CO71" si="1019">CK71</f>
        <v>90959</v>
      </c>
      <c r="CM71" s="226">
        <f t="shared" si="1019"/>
        <v>90959</v>
      </c>
      <c r="CN71" s="226">
        <f t="shared" si="1019"/>
        <v>90959</v>
      </c>
      <c r="CO71" s="226">
        <f t="shared" si="1019"/>
        <v>90959</v>
      </c>
      <c r="CP71" s="226">
        <f t="shared" ref="CP71" si="1020">CO71</f>
        <v>90959</v>
      </c>
      <c r="CQ71" s="226">
        <f t="shared" ref="CQ71:CQ72" si="1021">CP71</f>
        <v>90959</v>
      </c>
      <c r="CR71" s="226">
        <f t="shared" ref="CR71:CR72" si="1022">CQ71</f>
        <v>90959</v>
      </c>
      <c r="CS71" s="226">
        <f t="shared" ref="CS71:CS72" si="1023">CR71</f>
        <v>90959</v>
      </c>
      <c r="CT71" s="226">
        <f t="shared" ref="CT71" si="1024">CS71</f>
        <v>90959</v>
      </c>
      <c r="CU71" s="226">
        <f t="shared" ref="CU71:CU72" si="1025">CT71</f>
        <v>90959</v>
      </c>
      <c r="CV71" s="226">
        <f t="shared" ref="CV71:CV72" si="1026">CU71</f>
        <v>90959</v>
      </c>
      <c r="CW71" s="226">
        <f t="shared" ref="CW71:CW72" si="1027">CV71</f>
        <v>90959</v>
      </c>
      <c r="CX71" s="226">
        <f t="shared" ref="CX71" si="1028">CW71</f>
        <v>90959</v>
      </c>
      <c r="CY71" s="226">
        <f t="shared" ref="CY71:CY72" si="1029">CX71</f>
        <v>90959</v>
      </c>
      <c r="CZ71" s="226">
        <f t="shared" ref="CZ71:CZ72" si="1030">CY71</f>
        <v>90959</v>
      </c>
      <c r="DA71" s="226">
        <f t="shared" ref="DA71:DA72" si="1031">CZ71</f>
        <v>90959</v>
      </c>
      <c r="DB71" s="226">
        <f t="shared" ref="DB71" si="1032">DA71</f>
        <v>90959</v>
      </c>
      <c r="DC71" s="226">
        <f t="shared" ref="DC71:DC72" si="1033">DB71</f>
        <v>90959</v>
      </c>
      <c r="DD71" s="226">
        <f t="shared" ref="DD71:DD72" si="1034">DC71</f>
        <v>90959</v>
      </c>
      <c r="DE71" s="226">
        <f t="shared" ref="DE71:DE72" si="1035">DD71</f>
        <v>90959</v>
      </c>
      <c r="DF71" s="45">
        <f t="shared" si="969"/>
        <v>8696699</v>
      </c>
      <c r="DG71" s="40"/>
    </row>
    <row r="72" spans="1:228" s="52" customFormat="1" ht="12">
      <c r="A72" s="504">
        <v>36</v>
      </c>
      <c r="B72" s="506" t="s">
        <v>554</v>
      </c>
      <c r="C72" s="508" t="s">
        <v>710</v>
      </c>
      <c r="D72" s="510" t="s">
        <v>640</v>
      </c>
      <c r="E72" s="512" t="s">
        <v>443</v>
      </c>
      <c r="F72" s="500">
        <v>15.12</v>
      </c>
      <c r="G72" s="500">
        <v>47</v>
      </c>
      <c r="H72" s="502">
        <f>F72*G72*365</f>
        <v>259383.6</v>
      </c>
      <c r="I72" s="228">
        <v>62086.5</v>
      </c>
      <c r="J72" s="43">
        <f>ROUND(G72*F72*365/4,0)</f>
        <v>64846</v>
      </c>
      <c r="K72" s="42">
        <f t="shared" si="1002"/>
        <v>64846</v>
      </c>
      <c r="L72" s="42">
        <f t="shared" si="1002"/>
        <v>64846</v>
      </c>
      <c r="M72" s="42">
        <f t="shared" si="1002"/>
        <v>64846</v>
      </c>
      <c r="N72" s="44">
        <f>ROUND(M72*(1+取值表!$D$8)*取值表!$H$8,0)</f>
        <v>65292</v>
      </c>
      <c r="O72" s="42">
        <f t="shared" si="1003"/>
        <v>65292</v>
      </c>
      <c r="P72" s="42">
        <f t="shared" si="1003"/>
        <v>65292</v>
      </c>
      <c r="Q72" s="42">
        <f t="shared" si="1003"/>
        <v>65292</v>
      </c>
      <c r="R72" s="44">
        <f>ROUND(Q72*(1+取值表!$D$8)*取值表!$H$8,0)</f>
        <v>65741</v>
      </c>
      <c r="S72" s="42">
        <f t="shared" ref="S72:U72" si="1036">R72</f>
        <v>65741</v>
      </c>
      <c r="T72" s="42">
        <f t="shared" si="1036"/>
        <v>65741</v>
      </c>
      <c r="U72" s="42">
        <f t="shared" si="1036"/>
        <v>65741</v>
      </c>
      <c r="V72" s="44">
        <f>ROUND(U72*(1+取值表!$D$8)*取值表!$H$8,0)</f>
        <v>66193</v>
      </c>
      <c r="W72" s="42">
        <f>V72</f>
        <v>66193</v>
      </c>
      <c r="X72" s="42">
        <f t="shared" ref="X72:Y72" si="1037">W72</f>
        <v>66193</v>
      </c>
      <c r="Y72" s="42">
        <f t="shared" si="1037"/>
        <v>66193</v>
      </c>
      <c r="Z72" s="44">
        <f>ROUND(Y72*(1+取值表!$D$8)*取值表!$H$8,0)</f>
        <v>66649</v>
      </c>
      <c r="AA72" s="42">
        <f t="shared" ref="AA72:AC72" si="1038">Z72</f>
        <v>66649</v>
      </c>
      <c r="AB72" s="42">
        <f t="shared" si="1038"/>
        <v>66649</v>
      </c>
      <c r="AC72" s="42">
        <f t="shared" si="1038"/>
        <v>66649</v>
      </c>
      <c r="AD72" s="44">
        <f>ROUND(AC72*(1+取值表!$D$8)*取值表!$H$8,0)</f>
        <v>67108</v>
      </c>
      <c r="AE72" s="42">
        <f t="shared" ref="AE72:AG72" si="1039">AD72</f>
        <v>67108</v>
      </c>
      <c r="AF72" s="42">
        <f t="shared" si="1039"/>
        <v>67108</v>
      </c>
      <c r="AG72" s="42">
        <f t="shared" si="1039"/>
        <v>67108</v>
      </c>
      <c r="AH72" s="44">
        <f>ROUND(AG72*(1+取值表!$D$8)*取值表!$H$8,0)</f>
        <v>67570</v>
      </c>
      <c r="AI72" s="42">
        <f t="shared" ref="AI72:AK72" si="1040">AH72</f>
        <v>67570</v>
      </c>
      <c r="AJ72" s="42">
        <f t="shared" si="1040"/>
        <v>67570</v>
      </c>
      <c r="AK72" s="42">
        <f t="shared" si="1040"/>
        <v>67570</v>
      </c>
      <c r="AL72" s="44">
        <f>ROUND(AK72*(1+取值表!$D$8)*取值表!$H$8,0)</f>
        <v>68035</v>
      </c>
      <c r="AM72" s="42">
        <f t="shared" ref="AM72:AO72" si="1041">AL72</f>
        <v>68035</v>
      </c>
      <c r="AN72" s="42">
        <f t="shared" si="1041"/>
        <v>68035</v>
      </c>
      <c r="AO72" s="42">
        <f t="shared" si="1041"/>
        <v>68035</v>
      </c>
      <c r="AP72" s="44">
        <f>ROUND(AO72*(1+取值表!$D$8)*取值表!$H$8,0)</f>
        <v>68503</v>
      </c>
      <c r="AQ72" s="42">
        <f t="shared" ref="AQ72:AS72" si="1042">AP72</f>
        <v>68503</v>
      </c>
      <c r="AR72" s="42">
        <f t="shared" si="1042"/>
        <v>68503</v>
      </c>
      <c r="AS72" s="42">
        <f t="shared" si="1042"/>
        <v>68503</v>
      </c>
      <c r="AT72" s="44">
        <f>ROUND(AS72*(1+取值表!$D$8)*取值表!$H$8,0)</f>
        <v>68974</v>
      </c>
      <c r="AU72" s="42">
        <f t="shared" ref="AU72:AW72" si="1043">AT72</f>
        <v>68974</v>
      </c>
      <c r="AV72" s="42">
        <f t="shared" si="1043"/>
        <v>68974</v>
      </c>
      <c r="AW72" s="42">
        <f t="shared" si="1043"/>
        <v>68974</v>
      </c>
      <c r="AX72" s="44">
        <f>ROUND(AW72*(1+取值表!$D$8)*取值表!$H$8,0)</f>
        <v>69449</v>
      </c>
      <c r="AY72" s="42">
        <f t="shared" ref="AY72:BA72" si="1044">AX72</f>
        <v>69449</v>
      </c>
      <c r="AZ72" s="42">
        <f t="shared" si="1044"/>
        <v>69449</v>
      </c>
      <c r="BA72" s="42">
        <f t="shared" si="1044"/>
        <v>69449</v>
      </c>
      <c r="BB72" s="44">
        <f>ROUND(BA72*(1+取值表!$D$8)*取值表!$H$8,0)</f>
        <v>69927</v>
      </c>
      <c r="BC72" s="42">
        <f t="shared" ref="BC72:BE72" si="1045">BB72</f>
        <v>69927</v>
      </c>
      <c r="BD72" s="42">
        <f t="shared" si="1045"/>
        <v>69927</v>
      </c>
      <c r="BE72" s="42">
        <f t="shared" si="1045"/>
        <v>69927</v>
      </c>
      <c r="BF72" s="44">
        <f>ROUND(BE72*(1+取值表!$D$8)*取值表!$H$8,0)</f>
        <v>70408</v>
      </c>
      <c r="BG72" s="42">
        <f t="shared" ref="BG72:BI72" si="1046">BF72</f>
        <v>70408</v>
      </c>
      <c r="BH72" s="42">
        <f t="shared" si="1046"/>
        <v>70408</v>
      </c>
      <c r="BI72" s="42">
        <f t="shared" si="1046"/>
        <v>70408</v>
      </c>
      <c r="BJ72" s="44">
        <f>ROUND(BI72*(1+取值表!$D$8)*取值表!$H$8,0)</f>
        <v>70893</v>
      </c>
      <c r="BK72" s="42">
        <f t="shared" ref="BK72:BM72" si="1047">BJ72</f>
        <v>70893</v>
      </c>
      <c r="BL72" s="42">
        <f t="shared" si="1047"/>
        <v>70893</v>
      </c>
      <c r="BM72" s="42">
        <f t="shared" si="1047"/>
        <v>70893</v>
      </c>
      <c r="BN72" s="44">
        <f>ROUND(BM72*(1+取值表!$D$8)*取值表!$H$8,0)</f>
        <v>71381</v>
      </c>
      <c r="BO72" s="42">
        <f t="shared" ref="BO72:BQ72" si="1048">BN72</f>
        <v>71381</v>
      </c>
      <c r="BP72" s="42">
        <f t="shared" si="1048"/>
        <v>71381</v>
      </c>
      <c r="BQ72" s="42">
        <f t="shared" si="1048"/>
        <v>71381</v>
      </c>
      <c r="BR72" s="44">
        <f>ROUND(BQ72*(1+取值表!$D$8)*取值表!$H$8,0)</f>
        <v>71872</v>
      </c>
      <c r="BS72" s="42">
        <f t="shared" ref="BS72:BU72" si="1049">BR72</f>
        <v>71872</v>
      </c>
      <c r="BT72" s="42">
        <f t="shared" si="1049"/>
        <v>71872</v>
      </c>
      <c r="BU72" s="42">
        <f t="shared" si="1049"/>
        <v>71872</v>
      </c>
      <c r="BV72" s="44">
        <f>ROUND(BU72*(1+取值表!$D$8)*取值表!$H$8,0)</f>
        <v>72367</v>
      </c>
      <c r="BW72" s="42">
        <f t="shared" ref="BW72:BY72" si="1050">BV72</f>
        <v>72367</v>
      </c>
      <c r="BX72" s="42">
        <f t="shared" si="1050"/>
        <v>72367</v>
      </c>
      <c r="BY72" s="42">
        <f t="shared" si="1050"/>
        <v>72367</v>
      </c>
      <c r="BZ72" s="44">
        <f>ROUND(BY72*(1+取值表!$D$8)*取值表!$H$8,0)</f>
        <v>72865</v>
      </c>
      <c r="CA72" s="42">
        <f t="shared" ref="CA72:CC72" si="1051">BZ72</f>
        <v>72865</v>
      </c>
      <c r="CB72" s="42">
        <f t="shared" si="1051"/>
        <v>72865</v>
      </c>
      <c r="CC72" s="42">
        <f t="shared" si="1051"/>
        <v>72865</v>
      </c>
      <c r="CD72" s="44">
        <f>ROUND(CC72*(1+取值表!$D$8)*取值表!$H$8,0)</f>
        <v>73366</v>
      </c>
      <c r="CE72" s="42">
        <f t="shared" ref="CE72:CG72" si="1052">CD72</f>
        <v>73366</v>
      </c>
      <c r="CF72" s="42">
        <f t="shared" si="1052"/>
        <v>73366</v>
      </c>
      <c r="CG72" s="42">
        <f t="shared" si="1052"/>
        <v>73366</v>
      </c>
      <c r="CH72" s="44">
        <f>ROUND(CG72*(1+取值表!$D$8)*取值表!$H$8,0)</f>
        <v>73871</v>
      </c>
      <c r="CI72" s="42">
        <f t="shared" ref="CI72:CK72" si="1053">CH72</f>
        <v>73871</v>
      </c>
      <c r="CJ72" s="42">
        <f t="shared" si="1053"/>
        <v>73871</v>
      </c>
      <c r="CK72" s="42">
        <f t="shared" si="1053"/>
        <v>73871</v>
      </c>
      <c r="CL72" s="44">
        <f>ROUND(CK72*(1+取值表!$D$8)*取值表!$H$8,0)</f>
        <v>74379</v>
      </c>
      <c r="CM72" s="42">
        <f t="shared" ref="CM72:CO72" si="1054">CL72</f>
        <v>74379</v>
      </c>
      <c r="CN72" s="42">
        <f t="shared" si="1054"/>
        <v>74379</v>
      </c>
      <c r="CO72" s="42">
        <f t="shared" si="1054"/>
        <v>74379</v>
      </c>
      <c r="CP72" s="44">
        <f>ROUND(CO72*(1+取值表!$D$8)*取值表!$H$8,0)</f>
        <v>74891</v>
      </c>
      <c r="CQ72" s="42">
        <f t="shared" si="1021"/>
        <v>74891</v>
      </c>
      <c r="CR72" s="42">
        <f t="shared" si="1022"/>
        <v>74891</v>
      </c>
      <c r="CS72" s="42">
        <f t="shared" si="1023"/>
        <v>74891</v>
      </c>
      <c r="CT72" s="44">
        <f>ROUND(CS72*(1+取值表!$D$8)*取值表!$H$8,0)</f>
        <v>75406</v>
      </c>
      <c r="CU72" s="42">
        <f t="shared" si="1025"/>
        <v>75406</v>
      </c>
      <c r="CV72" s="42">
        <f t="shared" si="1026"/>
        <v>75406</v>
      </c>
      <c r="CW72" s="42">
        <f t="shared" si="1027"/>
        <v>75406</v>
      </c>
      <c r="CX72" s="44">
        <f>ROUND(CW72*(1+取值表!$D$8)*取值表!$H$8,0)</f>
        <v>75925</v>
      </c>
      <c r="CY72" s="42">
        <f t="shared" si="1029"/>
        <v>75925</v>
      </c>
      <c r="CZ72" s="42">
        <f t="shared" si="1030"/>
        <v>75925</v>
      </c>
      <c r="DA72" s="42">
        <f t="shared" si="1031"/>
        <v>75925</v>
      </c>
      <c r="DB72" s="44">
        <f>ROUND(DA72*(1+取值表!$D$8)*取值表!$H$8,0)</f>
        <v>76448</v>
      </c>
      <c r="DC72" s="42">
        <f t="shared" si="1033"/>
        <v>76448</v>
      </c>
      <c r="DD72" s="42">
        <f t="shared" si="1034"/>
        <v>76448</v>
      </c>
      <c r="DE72" s="42">
        <f t="shared" si="1035"/>
        <v>76448</v>
      </c>
      <c r="DF72" s="45">
        <f t="shared" si="969"/>
        <v>7049436</v>
      </c>
      <c r="DG72" s="229"/>
      <c r="DH72" s="229"/>
      <c r="DI72" s="229"/>
      <c r="DJ72" s="229"/>
      <c r="DK72" s="229"/>
      <c r="DL72" s="229"/>
      <c r="DM72" s="229"/>
      <c r="DN72" s="229"/>
      <c r="DO72" s="229"/>
      <c r="DP72" s="229"/>
      <c r="DQ72" s="229"/>
      <c r="DR72" s="229"/>
      <c r="DS72" s="229"/>
      <c r="DT72" s="229"/>
      <c r="DU72" s="229"/>
      <c r="DV72" s="229"/>
      <c r="DW72" s="229"/>
      <c r="DX72" s="229"/>
      <c r="DY72" s="229"/>
      <c r="DZ72" s="229"/>
      <c r="EA72" s="229"/>
      <c r="EB72" s="229"/>
      <c r="EC72" s="229"/>
      <c r="ED72" s="229"/>
      <c r="EE72" s="229"/>
      <c r="EF72" s="229"/>
      <c r="EG72" s="229"/>
      <c r="EH72" s="229"/>
      <c r="EI72" s="229"/>
      <c r="EJ72" s="229"/>
      <c r="EK72" s="229"/>
      <c r="EL72" s="229"/>
      <c r="EM72" s="229"/>
      <c r="EN72" s="229"/>
      <c r="EO72" s="229"/>
      <c r="EP72" s="229"/>
      <c r="EQ72" s="229"/>
      <c r="ER72" s="229"/>
      <c r="ES72" s="229"/>
      <c r="ET72" s="229"/>
      <c r="EU72" s="229"/>
      <c r="EV72" s="229"/>
      <c r="EW72" s="229"/>
      <c r="EX72" s="229"/>
      <c r="EY72" s="229"/>
      <c r="EZ72" s="229"/>
      <c r="FA72" s="229"/>
      <c r="FB72" s="229"/>
      <c r="FC72" s="229"/>
      <c r="FD72" s="229"/>
      <c r="FE72" s="229"/>
      <c r="FF72" s="229"/>
      <c r="FG72" s="229"/>
      <c r="FH72" s="229"/>
      <c r="FI72" s="229"/>
      <c r="FJ72" s="229"/>
      <c r="FK72" s="229"/>
      <c r="FL72" s="229"/>
      <c r="FM72" s="229"/>
      <c r="FN72" s="229"/>
      <c r="FO72" s="229"/>
      <c r="FP72" s="229"/>
      <c r="FQ72" s="229"/>
      <c r="FR72" s="229"/>
      <c r="FS72" s="229"/>
      <c r="FT72" s="229"/>
      <c r="FU72" s="229"/>
      <c r="FV72" s="229"/>
      <c r="FW72" s="229"/>
      <c r="FX72" s="229"/>
      <c r="FY72" s="229"/>
      <c r="FZ72" s="229"/>
      <c r="GA72" s="229"/>
      <c r="GB72" s="229"/>
      <c r="GC72" s="229"/>
      <c r="GD72" s="229"/>
      <c r="GE72" s="229"/>
      <c r="GF72" s="229"/>
      <c r="GG72" s="229"/>
      <c r="GH72" s="229"/>
      <c r="GI72" s="229"/>
      <c r="GJ72" s="229"/>
      <c r="GK72" s="229"/>
      <c r="GL72" s="229"/>
      <c r="GM72" s="229"/>
      <c r="GN72" s="229"/>
      <c r="GO72" s="229"/>
      <c r="GP72" s="229"/>
      <c r="GQ72" s="229"/>
      <c r="GR72" s="229"/>
      <c r="GS72" s="229"/>
      <c r="GT72" s="229"/>
      <c r="GU72" s="229"/>
      <c r="GV72" s="229"/>
      <c r="GW72" s="229"/>
      <c r="GX72" s="229"/>
      <c r="GY72" s="229"/>
      <c r="GZ72" s="229"/>
      <c r="HA72" s="229"/>
      <c r="HB72" s="229"/>
      <c r="HC72" s="229"/>
      <c r="HD72" s="229"/>
      <c r="HE72" s="229"/>
      <c r="HF72" s="229"/>
      <c r="HG72" s="229"/>
      <c r="HH72" s="229"/>
      <c r="HI72" s="229"/>
      <c r="HJ72" s="229"/>
      <c r="HK72" s="229"/>
      <c r="HL72" s="229"/>
      <c r="HM72" s="229"/>
      <c r="HN72" s="229"/>
      <c r="HO72" s="229"/>
      <c r="HP72" s="229"/>
      <c r="HQ72" s="48">
        <f t="shared" ref="HQ72:HQ81" si="1055">SUM(J72:HP72)</f>
        <v>14098872</v>
      </c>
      <c r="HR72" s="230"/>
      <c r="HS72" s="231"/>
      <c r="HT72" s="51">
        <v>229214.16</v>
      </c>
    </row>
    <row r="73" spans="1:228" s="52" customFormat="1" ht="12" customHeight="1">
      <c r="A73" s="505"/>
      <c r="B73" s="507"/>
      <c r="C73" s="509"/>
      <c r="D73" s="511"/>
      <c r="E73" s="513"/>
      <c r="F73" s="501"/>
      <c r="G73" s="501"/>
      <c r="H73" s="503"/>
      <c r="I73" s="23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42"/>
      <c r="DF73" s="45">
        <f t="shared" si="969"/>
        <v>0</v>
      </c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  <c r="EM73" s="47"/>
      <c r="EN73" s="47"/>
      <c r="EO73" s="47"/>
      <c r="EP73" s="47"/>
      <c r="EQ73" s="47"/>
      <c r="ER73" s="47"/>
      <c r="ES73" s="47"/>
      <c r="ET73" s="47"/>
      <c r="EU73" s="47"/>
      <c r="EV73" s="47"/>
      <c r="EW73" s="47"/>
      <c r="EX73" s="47"/>
      <c r="EY73" s="47"/>
      <c r="EZ73" s="47"/>
      <c r="FA73" s="47"/>
      <c r="FB73" s="47"/>
      <c r="FC73" s="47"/>
      <c r="FD73" s="47"/>
      <c r="FE73" s="47"/>
      <c r="FF73" s="47"/>
      <c r="FG73" s="47"/>
      <c r="FH73" s="47"/>
      <c r="FI73" s="47"/>
      <c r="FJ73" s="47"/>
      <c r="FK73" s="47"/>
      <c r="FL73" s="47"/>
      <c r="FM73" s="47"/>
      <c r="FN73" s="47"/>
      <c r="FO73" s="47"/>
      <c r="FP73" s="47"/>
      <c r="FQ73" s="47"/>
      <c r="FR73" s="47"/>
      <c r="FS73" s="47"/>
      <c r="FT73" s="47"/>
      <c r="FU73" s="47"/>
      <c r="FV73" s="47"/>
      <c r="FW73" s="47"/>
      <c r="FX73" s="47"/>
      <c r="FY73" s="47"/>
      <c r="FZ73" s="47"/>
      <c r="GA73" s="47"/>
      <c r="GB73" s="47"/>
      <c r="GC73" s="47"/>
      <c r="GD73" s="47"/>
      <c r="GE73" s="47"/>
      <c r="GF73" s="47"/>
      <c r="GG73" s="47"/>
      <c r="GH73" s="47"/>
      <c r="GI73" s="47"/>
      <c r="GJ73" s="47"/>
      <c r="GK73" s="47"/>
      <c r="GL73" s="47"/>
      <c r="GM73" s="47"/>
      <c r="GN73" s="47"/>
      <c r="GO73" s="47"/>
      <c r="GP73" s="47"/>
      <c r="GQ73" s="47"/>
      <c r="GR73" s="47"/>
      <c r="GS73" s="47"/>
      <c r="GT73" s="47"/>
      <c r="GU73" s="47"/>
      <c r="GV73" s="47"/>
      <c r="GW73" s="47"/>
      <c r="GX73" s="47"/>
      <c r="GY73" s="47"/>
      <c r="GZ73" s="47"/>
      <c r="HA73" s="47"/>
      <c r="HB73" s="47"/>
      <c r="HC73" s="47"/>
      <c r="HD73" s="47"/>
      <c r="HE73" s="47"/>
      <c r="HF73" s="47"/>
      <c r="HG73" s="47"/>
      <c r="HH73" s="47"/>
      <c r="HI73" s="47"/>
      <c r="HJ73" s="47"/>
      <c r="HK73" s="47"/>
      <c r="HL73" s="47"/>
      <c r="HM73" s="47"/>
      <c r="HN73" s="47"/>
      <c r="HO73" s="47"/>
      <c r="HP73" s="47"/>
      <c r="HQ73" s="53">
        <f t="shared" si="1055"/>
        <v>0</v>
      </c>
      <c r="HR73" s="49"/>
      <c r="HS73" s="50"/>
      <c r="HT73" s="51">
        <v>0</v>
      </c>
    </row>
    <row r="74" spans="1:228" s="52" customFormat="1" ht="12" customHeight="1">
      <c r="A74" s="504">
        <v>37</v>
      </c>
      <c r="B74" s="506" t="s">
        <v>555</v>
      </c>
      <c r="C74" s="508" t="s">
        <v>767</v>
      </c>
      <c r="D74" s="510" t="s">
        <v>641</v>
      </c>
      <c r="E74" s="512" t="s">
        <v>443</v>
      </c>
      <c r="F74" s="500">
        <v>15.75</v>
      </c>
      <c r="G74" s="500">
        <v>46</v>
      </c>
      <c r="H74" s="502">
        <f>F74*G74*365</f>
        <v>264442.5</v>
      </c>
      <c r="I74" s="228">
        <v>66110.63</v>
      </c>
      <c r="J74" s="43">
        <f>ROUND(G74*F74*365/4,0)</f>
        <v>66111</v>
      </c>
      <c r="K74" s="42">
        <f>J74</f>
        <v>66111</v>
      </c>
      <c r="L74" s="42">
        <f>K74</f>
        <v>66111</v>
      </c>
      <c r="M74" s="42">
        <f>L74</f>
        <v>66111</v>
      </c>
      <c r="N74" s="44">
        <f>ROUND(M74*(1+取值表!$D$8)*取值表!$H$8,0)</f>
        <v>66566</v>
      </c>
      <c r="O74" s="42">
        <f>N74</f>
        <v>66566</v>
      </c>
      <c r="P74" s="42">
        <f>O74</f>
        <v>66566</v>
      </c>
      <c r="Q74" s="42">
        <f>P74</f>
        <v>66566</v>
      </c>
      <c r="R74" s="44">
        <f>ROUND(Q74*(1+取值表!$D$8)*取值表!$H$8,0)</f>
        <v>67024</v>
      </c>
      <c r="S74" s="42">
        <f t="shared" ref="S74:U74" si="1056">R74</f>
        <v>67024</v>
      </c>
      <c r="T74" s="42">
        <f t="shared" si="1056"/>
        <v>67024</v>
      </c>
      <c r="U74" s="42">
        <f t="shared" si="1056"/>
        <v>67024</v>
      </c>
      <c r="V74" s="44">
        <f>ROUND(U74*(1+取值表!$D$8)*取值表!$H$8,0)</f>
        <v>67485</v>
      </c>
      <c r="W74" s="42">
        <f t="shared" ref="W74:Y74" si="1057">V74</f>
        <v>67485</v>
      </c>
      <c r="X74" s="42">
        <f t="shared" si="1057"/>
        <v>67485</v>
      </c>
      <c r="Y74" s="42">
        <f t="shared" si="1057"/>
        <v>67485</v>
      </c>
      <c r="Z74" s="44">
        <f>ROUND(Y74*(1+取值表!$D$8)*取值表!$H$8,0)</f>
        <v>67949</v>
      </c>
      <c r="AA74" s="42">
        <f t="shared" ref="AA74:AC74" si="1058">Z74</f>
        <v>67949</v>
      </c>
      <c r="AB74" s="42">
        <f t="shared" si="1058"/>
        <v>67949</v>
      </c>
      <c r="AC74" s="42">
        <f t="shared" si="1058"/>
        <v>67949</v>
      </c>
      <c r="AD74" s="44">
        <f>ROUND(AC74*(1+取值表!$D$8)*取值表!$H$8,0)</f>
        <v>68417</v>
      </c>
      <c r="AE74" s="42">
        <f t="shared" ref="AE74:AG74" si="1059">AD74</f>
        <v>68417</v>
      </c>
      <c r="AF74" s="42">
        <f t="shared" si="1059"/>
        <v>68417</v>
      </c>
      <c r="AG74" s="42">
        <f t="shared" si="1059"/>
        <v>68417</v>
      </c>
      <c r="AH74" s="44">
        <f>ROUND(AG74*(1+取值表!$D$8)*取值表!$H$8,0)</f>
        <v>68888</v>
      </c>
      <c r="AI74" s="42">
        <f t="shared" ref="AI74:AK74" si="1060">AH74</f>
        <v>68888</v>
      </c>
      <c r="AJ74" s="42">
        <f t="shared" si="1060"/>
        <v>68888</v>
      </c>
      <c r="AK74" s="42">
        <f t="shared" si="1060"/>
        <v>68888</v>
      </c>
      <c r="AL74" s="44">
        <f>ROUND(AK74*(1+取值表!$D$8)*取值表!$H$8,0)</f>
        <v>69362</v>
      </c>
      <c r="AM74" s="42">
        <f t="shared" ref="AM74:AO74" si="1061">AL74</f>
        <v>69362</v>
      </c>
      <c r="AN74" s="42">
        <f t="shared" si="1061"/>
        <v>69362</v>
      </c>
      <c r="AO74" s="42">
        <f t="shared" si="1061"/>
        <v>69362</v>
      </c>
      <c r="AP74" s="44">
        <f>ROUND(AO74*(1+取值表!$D$8)*取值表!$H$8,0)</f>
        <v>69839</v>
      </c>
      <c r="AQ74" s="42">
        <f t="shared" ref="AQ74:AS74" si="1062">AP74</f>
        <v>69839</v>
      </c>
      <c r="AR74" s="42">
        <f t="shared" si="1062"/>
        <v>69839</v>
      </c>
      <c r="AS74" s="42">
        <f t="shared" si="1062"/>
        <v>69839</v>
      </c>
      <c r="AT74" s="44">
        <f>ROUND(AS74*(1+取值表!$D$8)*取值表!$H$8,0)</f>
        <v>70320</v>
      </c>
      <c r="AU74" s="42">
        <f t="shared" ref="AU74:AW74" si="1063">AT74</f>
        <v>70320</v>
      </c>
      <c r="AV74" s="42">
        <f t="shared" si="1063"/>
        <v>70320</v>
      </c>
      <c r="AW74" s="42">
        <f t="shared" si="1063"/>
        <v>70320</v>
      </c>
      <c r="AX74" s="44">
        <f>ROUND(AW74*(1+取值表!$D$8)*取值表!$H$8,0)</f>
        <v>70804</v>
      </c>
      <c r="AY74" s="42">
        <f t="shared" ref="AY74:BA74" si="1064">AX74</f>
        <v>70804</v>
      </c>
      <c r="AZ74" s="42">
        <f t="shared" si="1064"/>
        <v>70804</v>
      </c>
      <c r="BA74" s="42">
        <f t="shared" si="1064"/>
        <v>70804</v>
      </c>
      <c r="BB74" s="44">
        <f>ROUND(BA74*(1+取值表!$D$8)*取值表!$H$8,0)</f>
        <v>71291</v>
      </c>
      <c r="BC74" s="42">
        <f t="shared" ref="BC74:BE74" si="1065">BB74</f>
        <v>71291</v>
      </c>
      <c r="BD74" s="42">
        <f t="shared" si="1065"/>
        <v>71291</v>
      </c>
      <c r="BE74" s="42">
        <f t="shared" si="1065"/>
        <v>71291</v>
      </c>
      <c r="BF74" s="44">
        <f>ROUND(BE74*(1+取值表!$D$8)*取值表!$H$8,0)</f>
        <v>71782</v>
      </c>
      <c r="BG74" s="42">
        <f t="shared" ref="BG74:BI74" si="1066">BF74</f>
        <v>71782</v>
      </c>
      <c r="BH74" s="42">
        <f t="shared" si="1066"/>
        <v>71782</v>
      </c>
      <c r="BI74" s="42">
        <f t="shared" si="1066"/>
        <v>71782</v>
      </c>
      <c r="BJ74" s="44">
        <f>ROUND(BI74*(1+取值表!$D$8)*取值表!$H$8,0)</f>
        <v>72276</v>
      </c>
      <c r="BK74" s="42">
        <f t="shared" ref="BK74:BM74" si="1067">BJ74</f>
        <v>72276</v>
      </c>
      <c r="BL74" s="42">
        <f t="shared" si="1067"/>
        <v>72276</v>
      </c>
      <c r="BM74" s="42">
        <f t="shared" si="1067"/>
        <v>72276</v>
      </c>
      <c r="BN74" s="44">
        <f>ROUND(BM74*(1+取值表!$D$8)*取值表!$H$8,0)</f>
        <v>72773</v>
      </c>
      <c r="BO74" s="42">
        <f t="shared" ref="BO74:BQ74" si="1068">BN74</f>
        <v>72773</v>
      </c>
      <c r="BP74" s="42">
        <f t="shared" si="1068"/>
        <v>72773</v>
      </c>
      <c r="BQ74" s="42">
        <f t="shared" si="1068"/>
        <v>72773</v>
      </c>
      <c r="BR74" s="44">
        <f>ROUND(BQ74*(1+取值表!$D$8)*取值表!$H$8,0)</f>
        <v>73274</v>
      </c>
      <c r="BS74" s="42">
        <f t="shared" ref="BS74:BU74" si="1069">BR74</f>
        <v>73274</v>
      </c>
      <c r="BT74" s="42">
        <f t="shared" si="1069"/>
        <v>73274</v>
      </c>
      <c r="BU74" s="42">
        <f t="shared" si="1069"/>
        <v>73274</v>
      </c>
      <c r="BV74" s="44">
        <f>ROUND(BU74*(1+取值表!$D$8)*取值表!$H$8,0)</f>
        <v>73778</v>
      </c>
      <c r="BW74" s="42">
        <f t="shared" ref="BW74:BY74" si="1070">BV74</f>
        <v>73778</v>
      </c>
      <c r="BX74" s="42">
        <f t="shared" si="1070"/>
        <v>73778</v>
      </c>
      <c r="BY74" s="42">
        <f t="shared" si="1070"/>
        <v>73778</v>
      </c>
      <c r="BZ74" s="44">
        <f>ROUND(BY74*(1+取值表!$D$8)*取值表!$H$8,0)</f>
        <v>74286</v>
      </c>
      <c r="CA74" s="42">
        <f t="shared" ref="CA74:CC74" si="1071">BZ74</f>
        <v>74286</v>
      </c>
      <c r="CB74" s="42">
        <f t="shared" si="1071"/>
        <v>74286</v>
      </c>
      <c r="CC74" s="42">
        <f t="shared" si="1071"/>
        <v>74286</v>
      </c>
      <c r="CD74" s="44">
        <f>ROUND(CC74*(1+取值表!$D$8)*取值表!$H$8,0)</f>
        <v>74797</v>
      </c>
      <c r="CE74" s="42">
        <f t="shared" ref="CE74:CG74" si="1072">CD74</f>
        <v>74797</v>
      </c>
      <c r="CF74" s="42">
        <f t="shared" si="1072"/>
        <v>74797</v>
      </c>
      <c r="CG74" s="42">
        <f t="shared" si="1072"/>
        <v>74797</v>
      </c>
      <c r="CH74" s="44">
        <f>ROUND(CG74*(1+取值表!$D$8)*取值表!$H$8,0)</f>
        <v>75312</v>
      </c>
      <c r="CI74" s="42">
        <f t="shared" ref="CI74:CK74" si="1073">CH74</f>
        <v>75312</v>
      </c>
      <c r="CJ74" s="42">
        <f t="shared" si="1073"/>
        <v>75312</v>
      </c>
      <c r="CK74" s="42">
        <f t="shared" si="1073"/>
        <v>75312</v>
      </c>
      <c r="CL74" s="44">
        <f>ROUND(CK74*(1+取值表!$D$8)*取值表!$H$8,0)</f>
        <v>75830</v>
      </c>
      <c r="CM74" s="42">
        <f t="shared" ref="CM74:CO74" si="1074">CL74</f>
        <v>75830</v>
      </c>
      <c r="CN74" s="42">
        <f t="shared" si="1074"/>
        <v>75830</v>
      </c>
      <c r="CO74" s="42">
        <f t="shared" si="1074"/>
        <v>75830</v>
      </c>
      <c r="CP74" s="44">
        <f>ROUND(CO74*(1+取值表!$D$8)*取值表!$H$8,0)</f>
        <v>76352</v>
      </c>
      <c r="CQ74" s="42">
        <f t="shared" ref="CQ74" si="1075">CP74</f>
        <v>76352</v>
      </c>
      <c r="CR74" s="42">
        <f t="shared" ref="CR74" si="1076">CQ74</f>
        <v>76352</v>
      </c>
      <c r="CS74" s="42">
        <f t="shared" ref="CS74" si="1077">CR74</f>
        <v>76352</v>
      </c>
      <c r="CT74" s="44">
        <f>ROUND(CS74*(1+取值表!$D$8)*取值表!$H$8,0)</f>
        <v>76877</v>
      </c>
      <c r="CU74" s="42">
        <f t="shared" ref="CU74" si="1078">CT74</f>
        <v>76877</v>
      </c>
      <c r="CV74" s="42">
        <f t="shared" ref="CV74" si="1079">CU74</f>
        <v>76877</v>
      </c>
      <c r="CW74" s="42">
        <f t="shared" ref="CW74" si="1080">CV74</f>
        <v>76877</v>
      </c>
      <c r="CX74" s="44">
        <f>ROUND(CW74*(1+取值表!$D$8)*取值表!$H$8,0)</f>
        <v>77406</v>
      </c>
      <c r="CY74" s="42">
        <f t="shared" ref="CY74" si="1081">CX74</f>
        <v>77406</v>
      </c>
      <c r="CZ74" s="42">
        <f t="shared" ref="CZ74" si="1082">CY74</f>
        <v>77406</v>
      </c>
      <c r="DA74" s="42">
        <f t="shared" ref="DA74" si="1083">CZ74</f>
        <v>77406</v>
      </c>
      <c r="DB74" s="44">
        <f>ROUND(DA74*(1+取值表!$D$8)*取值表!$H$8,0)</f>
        <v>77939</v>
      </c>
      <c r="DC74" s="42">
        <f t="shared" ref="DC74" si="1084">DB74</f>
        <v>77939</v>
      </c>
      <c r="DD74" s="42">
        <f t="shared" ref="DD74" si="1085">DC74</f>
        <v>77939</v>
      </c>
      <c r="DE74" s="42">
        <f t="shared" ref="DE74" si="1086">DD74</f>
        <v>77939</v>
      </c>
      <c r="DF74" s="45">
        <f t="shared" si="969"/>
        <v>7186952</v>
      </c>
      <c r="DG74" s="229"/>
      <c r="DH74" s="229"/>
      <c r="DI74" s="229"/>
      <c r="DJ74" s="229"/>
      <c r="DK74" s="229"/>
      <c r="DL74" s="229"/>
      <c r="DM74" s="229"/>
      <c r="DN74" s="229"/>
      <c r="DO74" s="229"/>
      <c r="DP74" s="229"/>
      <c r="DQ74" s="229"/>
      <c r="DR74" s="229"/>
      <c r="DS74" s="229"/>
      <c r="DT74" s="229"/>
      <c r="DU74" s="229"/>
      <c r="DV74" s="229"/>
      <c r="DW74" s="229"/>
      <c r="DX74" s="229"/>
      <c r="DY74" s="229"/>
      <c r="DZ74" s="229"/>
      <c r="EA74" s="229"/>
      <c r="EB74" s="229"/>
      <c r="EC74" s="229"/>
      <c r="ED74" s="229"/>
      <c r="EE74" s="229"/>
      <c r="EF74" s="229"/>
      <c r="EG74" s="229"/>
      <c r="EH74" s="229"/>
      <c r="EI74" s="229"/>
      <c r="EJ74" s="229"/>
      <c r="EK74" s="229"/>
      <c r="EL74" s="229"/>
      <c r="EM74" s="229"/>
      <c r="EN74" s="229"/>
      <c r="EO74" s="229"/>
      <c r="EP74" s="229"/>
      <c r="EQ74" s="229"/>
      <c r="ER74" s="229"/>
      <c r="ES74" s="229"/>
      <c r="ET74" s="229"/>
      <c r="EU74" s="229"/>
      <c r="EV74" s="229"/>
      <c r="EW74" s="229"/>
      <c r="EX74" s="229"/>
      <c r="EY74" s="229"/>
      <c r="EZ74" s="229"/>
      <c r="FA74" s="229"/>
      <c r="FB74" s="229"/>
      <c r="FC74" s="229"/>
      <c r="FD74" s="229"/>
      <c r="FE74" s="229"/>
      <c r="FF74" s="229"/>
      <c r="FG74" s="229"/>
      <c r="FH74" s="229"/>
      <c r="FI74" s="229"/>
      <c r="FJ74" s="229"/>
      <c r="FK74" s="229"/>
      <c r="FL74" s="229"/>
      <c r="FM74" s="229"/>
      <c r="FN74" s="229"/>
      <c r="FO74" s="229"/>
      <c r="FP74" s="229"/>
      <c r="FQ74" s="229"/>
      <c r="FR74" s="229"/>
      <c r="FS74" s="229"/>
      <c r="FT74" s="229"/>
      <c r="FU74" s="229"/>
      <c r="FV74" s="229"/>
      <c r="FW74" s="229"/>
      <c r="FX74" s="229"/>
      <c r="FY74" s="229"/>
      <c r="FZ74" s="229"/>
      <c r="GA74" s="229"/>
      <c r="GB74" s="229"/>
      <c r="GC74" s="229"/>
      <c r="GD74" s="229"/>
      <c r="GE74" s="229"/>
      <c r="GF74" s="229"/>
      <c r="GG74" s="229"/>
      <c r="GH74" s="229"/>
      <c r="GI74" s="229"/>
      <c r="GJ74" s="229"/>
      <c r="GK74" s="229"/>
      <c r="GL74" s="229"/>
      <c r="GM74" s="229"/>
      <c r="GN74" s="229"/>
      <c r="GO74" s="229"/>
      <c r="GP74" s="229"/>
      <c r="GQ74" s="229"/>
      <c r="GR74" s="229"/>
      <c r="GS74" s="229"/>
      <c r="GT74" s="229"/>
      <c r="GU74" s="229"/>
      <c r="GV74" s="229"/>
      <c r="GW74" s="229"/>
      <c r="GX74" s="229"/>
      <c r="GY74" s="229"/>
      <c r="GZ74" s="229"/>
      <c r="HA74" s="229"/>
      <c r="HB74" s="229"/>
      <c r="HC74" s="229"/>
      <c r="HD74" s="229"/>
      <c r="HE74" s="229"/>
      <c r="HF74" s="229"/>
      <c r="HG74" s="229"/>
      <c r="HH74" s="229"/>
      <c r="HI74" s="229"/>
      <c r="HJ74" s="229"/>
      <c r="HK74" s="229"/>
      <c r="HL74" s="229"/>
      <c r="HM74" s="229"/>
      <c r="HN74" s="229"/>
      <c r="HO74" s="229"/>
      <c r="HP74" s="229"/>
      <c r="HQ74" s="48">
        <f t="shared" si="1055"/>
        <v>14373904</v>
      </c>
      <c r="HR74" s="230">
        <v>19584</v>
      </c>
      <c r="HS74" s="231">
        <v>9792</v>
      </c>
      <c r="HT74" s="51">
        <v>353867.56</v>
      </c>
    </row>
    <row r="75" spans="1:228" s="52" customFormat="1" ht="12" customHeight="1">
      <c r="A75" s="505"/>
      <c r="B75" s="507"/>
      <c r="C75" s="509"/>
      <c r="D75" s="511"/>
      <c r="E75" s="513"/>
      <c r="F75" s="501"/>
      <c r="G75" s="501"/>
      <c r="H75" s="503"/>
      <c r="I75" s="233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42"/>
      <c r="DF75" s="45">
        <f t="shared" si="969"/>
        <v>0</v>
      </c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  <c r="EM75" s="47"/>
      <c r="EN75" s="47"/>
      <c r="EO75" s="47"/>
      <c r="EP75" s="47"/>
      <c r="EQ75" s="47"/>
      <c r="ER75" s="47"/>
      <c r="ES75" s="47"/>
      <c r="ET75" s="47"/>
      <c r="EU75" s="47"/>
      <c r="EV75" s="47"/>
      <c r="EW75" s="47"/>
      <c r="EX75" s="47"/>
      <c r="EY75" s="47"/>
      <c r="EZ75" s="47"/>
      <c r="FA75" s="47"/>
      <c r="FB75" s="47"/>
      <c r="FC75" s="47"/>
      <c r="FD75" s="47"/>
      <c r="FE75" s="47"/>
      <c r="FF75" s="47"/>
      <c r="FG75" s="47"/>
      <c r="FH75" s="47"/>
      <c r="FI75" s="47"/>
      <c r="FJ75" s="47"/>
      <c r="FK75" s="47"/>
      <c r="FL75" s="47"/>
      <c r="FM75" s="47"/>
      <c r="FN75" s="47"/>
      <c r="FO75" s="47"/>
      <c r="FP75" s="47"/>
      <c r="FQ75" s="47"/>
      <c r="FR75" s="47"/>
      <c r="FS75" s="47"/>
      <c r="FT75" s="47"/>
      <c r="FU75" s="47"/>
      <c r="FV75" s="47"/>
      <c r="FW75" s="47"/>
      <c r="FX75" s="47"/>
      <c r="FY75" s="47"/>
      <c r="FZ75" s="47"/>
      <c r="GA75" s="47"/>
      <c r="GB75" s="47"/>
      <c r="GC75" s="47"/>
      <c r="GD75" s="47"/>
      <c r="GE75" s="47"/>
      <c r="GF75" s="47"/>
      <c r="GG75" s="47"/>
      <c r="GH75" s="47"/>
      <c r="GI75" s="47"/>
      <c r="GJ75" s="47"/>
      <c r="GK75" s="47"/>
      <c r="GL75" s="47"/>
      <c r="GM75" s="47"/>
      <c r="GN75" s="47"/>
      <c r="GO75" s="47"/>
      <c r="GP75" s="47"/>
      <c r="GQ75" s="47"/>
      <c r="GR75" s="47"/>
      <c r="GS75" s="47"/>
      <c r="GT75" s="47"/>
      <c r="GU75" s="47"/>
      <c r="GV75" s="47"/>
      <c r="GW75" s="47"/>
      <c r="GX75" s="47"/>
      <c r="GY75" s="47"/>
      <c r="GZ75" s="47"/>
      <c r="HA75" s="47"/>
      <c r="HB75" s="47"/>
      <c r="HC75" s="47"/>
      <c r="HD75" s="47"/>
      <c r="HE75" s="47"/>
      <c r="HF75" s="47"/>
      <c r="HG75" s="47"/>
      <c r="HH75" s="47"/>
      <c r="HI75" s="47"/>
      <c r="HJ75" s="47"/>
      <c r="HK75" s="47"/>
      <c r="HL75" s="47"/>
      <c r="HM75" s="47"/>
      <c r="HN75" s="47"/>
      <c r="HO75" s="47"/>
      <c r="HP75" s="47"/>
      <c r="HQ75" s="53">
        <f t="shared" si="1055"/>
        <v>0</v>
      </c>
      <c r="HR75" s="49">
        <v>19584</v>
      </c>
      <c r="HS75" s="50">
        <v>9792</v>
      </c>
      <c r="HT75" s="51">
        <v>282774.67</v>
      </c>
    </row>
    <row r="76" spans="1:228" s="52" customFormat="1" ht="12" customHeight="1">
      <c r="A76" s="504">
        <v>38</v>
      </c>
      <c r="B76" s="506" t="s">
        <v>556</v>
      </c>
      <c r="C76" s="508" t="s">
        <v>711</v>
      </c>
      <c r="D76" s="510" t="s">
        <v>642</v>
      </c>
      <c r="E76" s="512" t="s">
        <v>443</v>
      </c>
      <c r="F76" s="500">
        <v>7.2</v>
      </c>
      <c r="G76" s="500">
        <v>37</v>
      </c>
      <c r="H76" s="502">
        <f>F76*G76*365</f>
        <v>97236.000000000015</v>
      </c>
      <c r="I76" s="228">
        <v>203520.35</v>
      </c>
      <c r="J76" s="43">
        <f>ROUND(G76*F76*365/4,0)</f>
        <v>24309</v>
      </c>
      <c r="K76" s="42">
        <f>J76</f>
        <v>24309</v>
      </c>
      <c r="L76" s="42">
        <f>K76</f>
        <v>24309</v>
      </c>
      <c r="M76" s="42">
        <f>L76</f>
        <v>24309</v>
      </c>
      <c r="N76" s="44">
        <f>ROUND(M76*(1+取值表!$D$8)*取值表!$H$8,0)</f>
        <v>24476</v>
      </c>
      <c r="O76" s="42">
        <f>N76</f>
        <v>24476</v>
      </c>
      <c r="P76" s="42">
        <f>O76</f>
        <v>24476</v>
      </c>
      <c r="Q76" s="42">
        <f>P76</f>
        <v>24476</v>
      </c>
      <c r="R76" s="44">
        <f>ROUND(Q76*(1+取值表!$D$8)*取值表!$H$8,0)</f>
        <v>24644</v>
      </c>
      <c r="S76" s="42">
        <f t="shared" ref="S76:U76" si="1087">R76</f>
        <v>24644</v>
      </c>
      <c r="T76" s="42">
        <f t="shared" si="1087"/>
        <v>24644</v>
      </c>
      <c r="U76" s="42">
        <f t="shared" si="1087"/>
        <v>24644</v>
      </c>
      <c r="V76" s="44">
        <f>ROUND(U76*(1+取值表!$D$8)*取值表!$H$8,0)</f>
        <v>24814</v>
      </c>
      <c r="W76" s="42">
        <f t="shared" ref="W76:Y76" si="1088">V76</f>
        <v>24814</v>
      </c>
      <c r="X76" s="42">
        <f t="shared" si="1088"/>
        <v>24814</v>
      </c>
      <c r="Y76" s="42">
        <f t="shared" si="1088"/>
        <v>24814</v>
      </c>
      <c r="Z76" s="44">
        <f>ROUND(Y76*(1+取值表!$D$8)*取值表!$H$8,0)</f>
        <v>24985</v>
      </c>
      <c r="AA76" s="42">
        <f t="shared" ref="AA76:AC76" si="1089">Z76</f>
        <v>24985</v>
      </c>
      <c r="AB76" s="42">
        <f t="shared" si="1089"/>
        <v>24985</v>
      </c>
      <c r="AC76" s="42">
        <f t="shared" si="1089"/>
        <v>24985</v>
      </c>
      <c r="AD76" s="44">
        <f>ROUND(AC76*(1+取值表!$D$8)*取值表!$H$8,0)</f>
        <v>25157</v>
      </c>
      <c r="AE76" s="42">
        <f t="shared" ref="AE76:AG76" si="1090">AD76</f>
        <v>25157</v>
      </c>
      <c r="AF76" s="42">
        <f t="shared" si="1090"/>
        <v>25157</v>
      </c>
      <c r="AG76" s="42">
        <f t="shared" si="1090"/>
        <v>25157</v>
      </c>
      <c r="AH76" s="44">
        <f>ROUND(AG76*(1+取值表!$D$8)*取值表!$H$8,0)</f>
        <v>25330</v>
      </c>
      <c r="AI76" s="42">
        <f t="shared" ref="AI76:AK76" si="1091">AH76</f>
        <v>25330</v>
      </c>
      <c r="AJ76" s="42">
        <f t="shared" si="1091"/>
        <v>25330</v>
      </c>
      <c r="AK76" s="42">
        <f t="shared" si="1091"/>
        <v>25330</v>
      </c>
      <c r="AL76" s="44">
        <f>ROUND(AK76*(1+取值表!$D$8)*取值表!$H$8,0)</f>
        <v>25504</v>
      </c>
      <c r="AM76" s="42">
        <f t="shared" ref="AM76:AO76" si="1092">AL76</f>
        <v>25504</v>
      </c>
      <c r="AN76" s="42">
        <f t="shared" si="1092"/>
        <v>25504</v>
      </c>
      <c r="AO76" s="42">
        <f t="shared" si="1092"/>
        <v>25504</v>
      </c>
      <c r="AP76" s="44">
        <f>ROUND(AO76*(1+取值表!$D$8)*取值表!$H$8,0)</f>
        <v>25680</v>
      </c>
      <c r="AQ76" s="42">
        <f t="shared" ref="AQ76:AS76" si="1093">AP76</f>
        <v>25680</v>
      </c>
      <c r="AR76" s="42">
        <f t="shared" si="1093"/>
        <v>25680</v>
      </c>
      <c r="AS76" s="42">
        <f t="shared" si="1093"/>
        <v>25680</v>
      </c>
      <c r="AT76" s="44">
        <f>ROUND(AS76*(1+取值表!$D$8)*取值表!$H$8,0)</f>
        <v>25857</v>
      </c>
      <c r="AU76" s="42">
        <f t="shared" ref="AU76:AW76" si="1094">AT76</f>
        <v>25857</v>
      </c>
      <c r="AV76" s="42">
        <f t="shared" si="1094"/>
        <v>25857</v>
      </c>
      <c r="AW76" s="42">
        <f t="shared" si="1094"/>
        <v>25857</v>
      </c>
      <c r="AX76" s="44">
        <f>ROUND(AW76*(1+取值表!$D$8)*取值表!$H$8,0)</f>
        <v>26035</v>
      </c>
      <c r="AY76" s="42">
        <f t="shared" ref="AY76:BA76" si="1095">AX76</f>
        <v>26035</v>
      </c>
      <c r="AZ76" s="42">
        <f t="shared" si="1095"/>
        <v>26035</v>
      </c>
      <c r="BA76" s="42">
        <f t="shared" si="1095"/>
        <v>26035</v>
      </c>
      <c r="BB76" s="44">
        <f>ROUND(BA76*(1+取值表!$D$8)*取值表!$H$8,0)</f>
        <v>26214</v>
      </c>
      <c r="BC76" s="42">
        <f t="shared" ref="BC76:BE76" si="1096">BB76</f>
        <v>26214</v>
      </c>
      <c r="BD76" s="42">
        <f t="shared" si="1096"/>
        <v>26214</v>
      </c>
      <c r="BE76" s="42">
        <f t="shared" si="1096"/>
        <v>26214</v>
      </c>
      <c r="BF76" s="44">
        <f>ROUND(BE76*(1+取值表!$D$8)*取值表!$H$8,0)</f>
        <v>26394</v>
      </c>
      <c r="BG76" s="42">
        <f t="shared" ref="BG76:BI76" si="1097">BF76</f>
        <v>26394</v>
      </c>
      <c r="BH76" s="42">
        <f t="shared" si="1097"/>
        <v>26394</v>
      </c>
      <c r="BI76" s="42">
        <f t="shared" si="1097"/>
        <v>26394</v>
      </c>
      <c r="BJ76" s="44">
        <f>ROUND(BI76*(1+取值表!$D$8)*取值表!$H$8,0)</f>
        <v>26576</v>
      </c>
      <c r="BK76" s="42">
        <f t="shared" ref="BK76:BM76" si="1098">BJ76</f>
        <v>26576</v>
      </c>
      <c r="BL76" s="42">
        <f t="shared" si="1098"/>
        <v>26576</v>
      </c>
      <c r="BM76" s="42">
        <f t="shared" si="1098"/>
        <v>26576</v>
      </c>
      <c r="BN76" s="44">
        <f>ROUND(BM76*(1+取值表!$D$8)*取值表!$H$8,0)</f>
        <v>26759</v>
      </c>
      <c r="BO76" s="42">
        <f t="shared" ref="BO76:BQ76" si="1099">BN76</f>
        <v>26759</v>
      </c>
      <c r="BP76" s="42">
        <f t="shared" si="1099"/>
        <v>26759</v>
      </c>
      <c r="BQ76" s="42">
        <f t="shared" si="1099"/>
        <v>26759</v>
      </c>
      <c r="BR76" s="44">
        <f>ROUND(BQ76*(1+取值表!$D$8)*取值表!$H$8,0)</f>
        <v>26943</v>
      </c>
      <c r="BS76" s="42">
        <f t="shared" ref="BS76:BU76" si="1100">BR76</f>
        <v>26943</v>
      </c>
      <c r="BT76" s="42">
        <f t="shared" si="1100"/>
        <v>26943</v>
      </c>
      <c r="BU76" s="42">
        <f t="shared" si="1100"/>
        <v>26943</v>
      </c>
      <c r="BV76" s="44">
        <f>ROUND(BU76*(1+取值表!$D$8)*取值表!$H$8,0)</f>
        <v>27128</v>
      </c>
      <c r="BW76" s="42">
        <f t="shared" ref="BW76:BY76" si="1101">BV76</f>
        <v>27128</v>
      </c>
      <c r="BX76" s="42">
        <f t="shared" si="1101"/>
        <v>27128</v>
      </c>
      <c r="BY76" s="42">
        <f t="shared" si="1101"/>
        <v>27128</v>
      </c>
      <c r="BZ76" s="44">
        <f>ROUND(BY76*(1+取值表!$D$8)*取值表!$H$8,0)</f>
        <v>27315</v>
      </c>
      <c r="CA76" s="42">
        <f t="shared" ref="CA76:CC76" si="1102">BZ76</f>
        <v>27315</v>
      </c>
      <c r="CB76" s="42">
        <f t="shared" si="1102"/>
        <v>27315</v>
      </c>
      <c r="CC76" s="42">
        <f t="shared" si="1102"/>
        <v>27315</v>
      </c>
      <c r="CD76" s="44">
        <f>ROUND(CC76*(1+取值表!$D$8)*取值表!$H$8,0)</f>
        <v>27503</v>
      </c>
      <c r="CE76" s="42">
        <f t="shared" ref="CE76:CG76" si="1103">CD76</f>
        <v>27503</v>
      </c>
      <c r="CF76" s="42">
        <f t="shared" si="1103"/>
        <v>27503</v>
      </c>
      <c r="CG76" s="42">
        <f t="shared" si="1103"/>
        <v>27503</v>
      </c>
      <c r="CH76" s="44">
        <f>ROUND(CG76*(1+取值表!$D$8)*取值表!$H$8,0)</f>
        <v>27692</v>
      </c>
      <c r="CI76" s="42">
        <f t="shared" ref="CI76:CK76" si="1104">CH76</f>
        <v>27692</v>
      </c>
      <c r="CJ76" s="42">
        <f t="shared" si="1104"/>
        <v>27692</v>
      </c>
      <c r="CK76" s="42">
        <f t="shared" si="1104"/>
        <v>27692</v>
      </c>
      <c r="CL76" s="44">
        <f>ROUND(CK76*(1+取值表!$D$8)*取值表!$H$8,0)</f>
        <v>27883</v>
      </c>
      <c r="CM76" s="42">
        <f t="shared" ref="CM76:CO76" si="1105">CL76</f>
        <v>27883</v>
      </c>
      <c r="CN76" s="42">
        <f t="shared" si="1105"/>
        <v>27883</v>
      </c>
      <c r="CO76" s="42">
        <f t="shared" si="1105"/>
        <v>27883</v>
      </c>
      <c r="CP76" s="44">
        <f>ROUND(CO76*(1+取值表!$D$8)*取值表!$H$8,0)</f>
        <v>28075</v>
      </c>
      <c r="CQ76" s="42">
        <f t="shared" ref="CQ76" si="1106">CP76</f>
        <v>28075</v>
      </c>
      <c r="CR76" s="42">
        <f t="shared" ref="CR76" si="1107">CQ76</f>
        <v>28075</v>
      </c>
      <c r="CS76" s="42">
        <f t="shared" ref="CS76" si="1108">CR76</f>
        <v>28075</v>
      </c>
      <c r="CT76" s="44">
        <f>ROUND(CS76*(1+取值表!$D$8)*取值表!$H$8,0)</f>
        <v>28268</v>
      </c>
      <c r="CU76" s="42">
        <f t="shared" ref="CU76" si="1109">CT76</f>
        <v>28268</v>
      </c>
      <c r="CV76" s="42">
        <f t="shared" ref="CV76" si="1110">CU76</f>
        <v>28268</v>
      </c>
      <c r="CW76" s="42">
        <f t="shared" ref="CW76" si="1111">CV76</f>
        <v>28268</v>
      </c>
      <c r="CX76" s="44">
        <f>ROUND(CW76*(1+取值表!$D$8)*取值表!$H$8,0)</f>
        <v>28463</v>
      </c>
      <c r="CY76" s="42">
        <f t="shared" ref="CY76" si="1112">CX76</f>
        <v>28463</v>
      </c>
      <c r="CZ76" s="42">
        <f t="shared" ref="CZ76" si="1113">CY76</f>
        <v>28463</v>
      </c>
      <c r="DA76" s="42">
        <f t="shared" ref="DA76" si="1114">CZ76</f>
        <v>28463</v>
      </c>
      <c r="DB76" s="44">
        <f>ROUND(DA76*(1+取值表!$D$8)*取值表!$H$8,0)</f>
        <v>28659</v>
      </c>
      <c r="DC76" s="42">
        <f t="shared" ref="DC76" si="1115">DB76</f>
        <v>28659</v>
      </c>
      <c r="DD76" s="42">
        <f t="shared" ref="DD76" si="1116">DC76</f>
        <v>28659</v>
      </c>
      <c r="DE76" s="42">
        <f t="shared" ref="DE76" si="1117">DD76</f>
        <v>28659</v>
      </c>
      <c r="DF76" s="45">
        <f t="shared" si="969"/>
        <v>2642652</v>
      </c>
      <c r="DG76" s="229"/>
      <c r="DH76" s="229"/>
      <c r="DI76" s="229"/>
      <c r="DJ76" s="229"/>
      <c r="DK76" s="229"/>
      <c r="DL76" s="229"/>
      <c r="DM76" s="229"/>
      <c r="DN76" s="229"/>
      <c r="DO76" s="229"/>
      <c r="DP76" s="229"/>
      <c r="DQ76" s="229"/>
      <c r="DR76" s="229"/>
      <c r="DS76" s="229"/>
      <c r="DT76" s="229"/>
      <c r="DU76" s="229"/>
      <c r="DV76" s="229"/>
      <c r="DW76" s="229"/>
      <c r="DX76" s="229"/>
      <c r="DY76" s="229"/>
      <c r="DZ76" s="229"/>
      <c r="EA76" s="229"/>
      <c r="EB76" s="229"/>
      <c r="EC76" s="229"/>
      <c r="ED76" s="229"/>
      <c r="EE76" s="229"/>
      <c r="EF76" s="229"/>
      <c r="EG76" s="229"/>
      <c r="EH76" s="229"/>
      <c r="EI76" s="229"/>
      <c r="EJ76" s="229"/>
      <c r="EK76" s="229"/>
      <c r="EL76" s="229"/>
      <c r="EM76" s="229"/>
      <c r="EN76" s="229"/>
      <c r="EO76" s="229"/>
      <c r="EP76" s="229"/>
      <c r="EQ76" s="229"/>
      <c r="ER76" s="229"/>
      <c r="ES76" s="229"/>
      <c r="ET76" s="229"/>
      <c r="EU76" s="229"/>
      <c r="EV76" s="229"/>
      <c r="EW76" s="229"/>
      <c r="EX76" s="229"/>
      <c r="EY76" s="229"/>
      <c r="EZ76" s="229"/>
      <c r="FA76" s="229"/>
      <c r="FB76" s="229"/>
      <c r="FC76" s="229"/>
      <c r="FD76" s="229"/>
      <c r="FE76" s="229"/>
      <c r="FF76" s="229"/>
      <c r="FG76" s="229"/>
      <c r="FH76" s="229"/>
      <c r="FI76" s="229"/>
      <c r="FJ76" s="229"/>
      <c r="FK76" s="229"/>
      <c r="FL76" s="229"/>
      <c r="FM76" s="229"/>
      <c r="FN76" s="229"/>
      <c r="FO76" s="229"/>
      <c r="FP76" s="229"/>
      <c r="FQ76" s="229"/>
      <c r="FR76" s="229"/>
      <c r="FS76" s="229"/>
      <c r="FT76" s="229"/>
      <c r="FU76" s="229"/>
      <c r="FV76" s="229"/>
      <c r="FW76" s="229"/>
      <c r="FX76" s="229"/>
      <c r="FY76" s="229"/>
      <c r="FZ76" s="229"/>
      <c r="GA76" s="229"/>
      <c r="GB76" s="229"/>
      <c r="GC76" s="229"/>
      <c r="GD76" s="229"/>
      <c r="GE76" s="229"/>
      <c r="GF76" s="229"/>
      <c r="GG76" s="229"/>
      <c r="GH76" s="229"/>
      <c r="GI76" s="229"/>
      <c r="GJ76" s="229"/>
      <c r="GK76" s="229"/>
      <c r="GL76" s="229"/>
      <c r="GM76" s="229"/>
      <c r="GN76" s="229"/>
      <c r="GO76" s="229"/>
      <c r="GP76" s="229"/>
      <c r="GQ76" s="229"/>
      <c r="GR76" s="229"/>
      <c r="GS76" s="229"/>
      <c r="GT76" s="229"/>
      <c r="GU76" s="229"/>
      <c r="GV76" s="229"/>
      <c r="GW76" s="229"/>
      <c r="GX76" s="229"/>
      <c r="GY76" s="229"/>
      <c r="GZ76" s="229"/>
      <c r="HA76" s="229"/>
      <c r="HB76" s="229"/>
      <c r="HC76" s="229"/>
      <c r="HD76" s="229"/>
      <c r="HE76" s="229"/>
      <c r="HF76" s="229"/>
      <c r="HG76" s="229"/>
      <c r="HH76" s="229"/>
      <c r="HI76" s="229"/>
      <c r="HJ76" s="229"/>
      <c r="HK76" s="229"/>
      <c r="HL76" s="229"/>
      <c r="HM76" s="229"/>
      <c r="HN76" s="229"/>
      <c r="HO76" s="229"/>
      <c r="HP76" s="229"/>
      <c r="HQ76" s="48">
        <f t="shared" si="1055"/>
        <v>5285304</v>
      </c>
      <c r="HR76" s="230">
        <v>19584</v>
      </c>
      <c r="HS76" s="231">
        <v>9792</v>
      </c>
      <c r="HT76" s="51">
        <v>722401.8</v>
      </c>
    </row>
    <row r="77" spans="1:228" s="52" customFormat="1" ht="12" customHeight="1">
      <c r="A77" s="505"/>
      <c r="B77" s="507"/>
      <c r="C77" s="509"/>
      <c r="D77" s="511"/>
      <c r="E77" s="513"/>
      <c r="F77" s="501"/>
      <c r="G77" s="501"/>
      <c r="H77" s="503"/>
      <c r="I77" s="233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42"/>
      <c r="DF77" s="45">
        <f t="shared" si="969"/>
        <v>0</v>
      </c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  <c r="EM77" s="47"/>
      <c r="EN77" s="47"/>
      <c r="EO77" s="47"/>
      <c r="EP77" s="47"/>
      <c r="EQ77" s="47"/>
      <c r="ER77" s="47"/>
      <c r="ES77" s="47"/>
      <c r="ET77" s="47"/>
      <c r="EU77" s="47"/>
      <c r="EV77" s="47"/>
      <c r="EW77" s="47"/>
      <c r="EX77" s="47"/>
      <c r="EY77" s="47"/>
      <c r="EZ77" s="47"/>
      <c r="FA77" s="47"/>
      <c r="FB77" s="47"/>
      <c r="FC77" s="47"/>
      <c r="FD77" s="47"/>
      <c r="FE77" s="47"/>
      <c r="FF77" s="47"/>
      <c r="FG77" s="47"/>
      <c r="FH77" s="47"/>
      <c r="FI77" s="47"/>
      <c r="FJ77" s="47"/>
      <c r="FK77" s="47"/>
      <c r="FL77" s="47"/>
      <c r="FM77" s="47"/>
      <c r="FN77" s="47"/>
      <c r="FO77" s="47"/>
      <c r="FP77" s="47"/>
      <c r="FQ77" s="47"/>
      <c r="FR77" s="47"/>
      <c r="FS77" s="47"/>
      <c r="FT77" s="47"/>
      <c r="FU77" s="47"/>
      <c r="FV77" s="47"/>
      <c r="FW77" s="47"/>
      <c r="FX77" s="47"/>
      <c r="FY77" s="47"/>
      <c r="FZ77" s="47"/>
      <c r="GA77" s="47"/>
      <c r="GB77" s="47"/>
      <c r="GC77" s="47"/>
      <c r="GD77" s="47"/>
      <c r="GE77" s="47"/>
      <c r="GF77" s="47"/>
      <c r="GG77" s="47"/>
      <c r="GH77" s="47"/>
      <c r="GI77" s="47"/>
      <c r="GJ77" s="47"/>
      <c r="GK77" s="47"/>
      <c r="GL77" s="47"/>
      <c r="GM77" s="47"/>
      <c r="GN77" s="47"/>
      <c r="GO77" s="47"/>
      <c r="GP77" s="47"/>
      <c r="GQ77" s="47"/>
      <c r="GR77" s="47"/>
      <c r="GS77" s="47"/>
      <c r="GT77" s="47"/>
      <c r="GU77" s="47"/>
      <c r="GV77" s="47"/>
      <c r="GW77" s="47"/>
      <c r="GX77" s="47"/>
      <c r="GY77" s="47"/>
      <c r="GZ77" s="47"/>
      <c r="HA77" s="47"/>
      <c r="HB77" s="47"/>
      <c r="HC77" s="47"/>
      <c r="HD77" s="47"/>
      <c r="HE77" s="47"/>
      <c r="HF77" s="47"/>
      <c r="HG77" s="47"/>
      <c r="HH77" s="47"/>
      <c r="HI77" s="47"/>
      <c r="HJ77" s="47"/>
      <c r="HK77" s="47"/>
      <c r="HL77" s="47"/>
      <c r="HM77" s="47"/>
      <c r="HN77" s="47"/>
      <c r="HO77" s="47"/>
      <c r="HP77" s="47"/>
      <c r="HQ77" s="53">
        <f t="shared" si="1055"/>
        <v>0</v>
      </c>
      <c r="HR77" s="49">
        <v>19584</v>
      </c>
      <c r="HS77" s="50">
        <v>9792</v>
      </c>
      <c r="HT77" s="51">
        <v>433794.39</v>
      </c>
    </row>
    <row r="78" spans="1:228" s="52" customFormat="1" ht="12" customHeight="1">
      <c r="A78" s="504">
        <v>39</v>
      </c>
      <c r="B78" s="506" t="s">
        <v>557</v>
      </c>
      <c r="C78" s="508" t="s">
        <v>42</v>
      </c>
      <c r="D78" s="510" t="s">
        <v>642</v>
      </c>
      <c r="E78" s="512" t="s">
        <v>443</v>
      </c>
      <c r="F78" s="500">
        <v>29.07</v>
      </c>
      <c r="G78" s="500">
        <v>37</v>
      </c>
      <c r="H78" s="502">
        <f>F78*G78*365</f>
        <v>392590.35</v>
      </c>
      <c r="I78" s="228">
        <v>74095</v>
      </c>
      <c r="J78" s="43">
        <f>ROUND(G78*F78*365/4,0)</f>
        <v>98148</v>
      </c>
      <c r="K78" s="42">
        <f>J78</f>
        <v>98148</v>
      </c>
      <c r="L78" s="42">
        <f>K78</f>
        <v>98148</v>
      </c>
      <c r="M78" s="42">
        <f>L78</f>
        <v>98148</v>
      </c>
      <c r="N78" s="44">
        <f>ROUND(M78*(1+取值表!$D$8)*取值表!$H$8,0)</f>
        <v>98823</v>
      </c>
      <c r="O78" s="42">
        <f>N78</f>
        <v>98823</v>
      </c>
      <c r="P78" s="42">
        <f>O78</f>
        <v>98823</v>
      </c>
      <c r="Q78" s="42">
        <f>P78</f>
        <v>98823</v>
      </c>
      <c r="R78" s="44">
        <f>ROUND(Q78*(1+取值表!$D$8)*取值表!$H$8,0)</f>
        <v>99503</v>
      </c>
      <c r="S78" s="42">
        <f t="shared" ref="S78:U78" si="1118">R78</f>
        <v>99503</v>
      </c>
      <c r="T78" s="42">
        <f t="shared" si="1118"/>
        <v>99503</v>
      </c>
      <c r="U78" s="42">
        <f t="shared" si="1118"/>
        <v>99503</v>
      </c>
      <c r="V78" s="44">
        <f>ROUND(U78*(1+取值表!$D$8)*取值表!$H$8,0)</f>
        <v>100188</v>
      </c>
      <c r="W78" s="42">
        <f t="shared" ref="W78:Y78" si="1119">V78</f>
        <v>100188</v>
      </c>
      <c r="X78" s="42">
        <f t="shared" si="1119"/>
        <v>100188</v>
      </c>
      <c r="Y78" s="42">
        <f t="shared" si="1119"/>
        <v>100188</v>
      </c>
      <c r="Z78" s="44">
        <f>ROUND(Y78*(1+取值表!$D$8)*取值表!$H$8,0)</f>
        <v>100877</v>
      </c>
      <c r="AA78" s="42">
        <f t="shared" ref="AA78:AC78" si="1120">Z78</f>
        <v>100877</v>
      </c>
      <c r="AB78" s="42">
        <f t="shared" si="1120"/>
        <v>100877</v>
      </c>
      <c r="AC78" s="42">
        <f t="shared" si="1120"/>
        <v>100877</v>
      </c>
      <c r="AD78" s="44">
        <f>ROUND(AC78*(1+取值表!$D$8)*取值表!$H$8,0)</f>
        <v>101571</v>
      </c>
      <c r="AE78" s="42">
        <f t="shared" ref="AE78:AG78" si="1121">AD78</f>
        <v>101571</v>
      </c>
      <c r="AF78" s="42">
        <f t="shared" si="1121"/>
        <v>101571</v>
      </c>
      <c r="AG78" s="42">
        <f t="shared" si="1121"/>
        <v>101571</v>
      </c>
      <c r="AH78" s="44">
        <f>ROUND(AG78*(1+取值表!$D$8)*取值表!$H$8,0)</f>
        <v>102270</v>
      </c>
      <c r="AI78" s="42">
        <f t="shared" ref="AI78:AK78" si="1122">AH78</f>
        <v>102270</v>
      </c>
      <c r="AJ78" s="42">
        <f t="shared" si="1122"/>
        <v>102270</v>
      </c>
      <c r="AK78" s="42">
        <f t="shared" si="1122"/>
        <v>102270</v>
      </c>
      <c r="AL78" s="44">
        <f>ROUND(AK78*(1+取值表!$D$8)*取值表!$H$8,0)</f>
        <v>102974</v>
      </c>
      <c r="AM78" s="42">
        <f t="shared" ref="AM78:AO78" si="1123">AL78</f>
        <v>102974</v>
      </c>
      <c r="AN78" s="42">
        <f t="shared" si="1123"/>
        <v>102974</v>
      </c>
      <c r="AO78" s="42">
        <f t="shared" si="1123"/>
        <v>102974</v>
      </c>
      <c r="AP78" s="44">
        <f>ROUND(AO78*(1+取值表!$D$8)*取值表!$H$8,0)</f>
        <v>103683</v>
      </c>
      <c r="AQ78" s="42">
        <f t="shared" ref="AQ78:AS78" si="1124">AP78</f>
        <v>103683</v>
      </c>
      <c r="AR78" s="42">
        <f t="shared" si="1124"/>
        <v>103683</v>
      </c>
      <c r="AS78" s="42">
        <f t="shared" si="1124"/>
        <v>103683</v>
      </c>
      <c r="AT78" s="44">
        <f>ROUND(AS78*(1+取值表!$D$8)*取值表!$H$8,0)</f>
        <v>104397</v>
      </c>
      <c r="AU78" s="42">
        <f t="shared" ref="AU78:AW78" si="1125">AT78</f>
        <v>104397</v>
      </c>
      <c r="AV78" s="42">
        <f t="shared" si="1125"/>
        <v>104397</v>
      </c>
      <c r="AW78" s="42">
        <f t="shared" si="1125"/>
        <v>104397</v>
      </c>
      <c r="AX78" s="44">
        <f>ROUND(AW78*(1+取值表!$D$8)*取值表!$H$8,0)</f>
        <v>105115</v>
      </c>
      <c r="AY78" s="42">
        <f t="shared" ref="AY78:BA78" si="1126">AX78</f>
        <v>105115</v>
      </c>
      <c r="AZ78" s="42">
        <f t="shared" si="1126"/>
        <v>105115</v>
      </c>
      <c r="BA78" s="42">
        <f t="shared" si="1126"/>
        <v>105115</v>
      </c>
      <c r="BB78" s="44">
        <f>ROUND(BA78*(1+取值表!$D$8)*取值表!$H$8,0)</f>
        <v>105838</v>
      </c>
      <c r="BC78" s="42">
        <f t="shared" ref="BC78:BE78" si="1127">BB78</f>
        <v>105838</v>
      </c>
      <c r="BD78" s="42">
        <f t="shared" si="1127"/>
        <v>105838</v>
      </c>
      <c r="BE78" s="42">
        <f t="shared" si="1127"/>
        <v>105838</v>
      </c>
      <c r="BF78" s="44">
        <f>ROUND(BE78*(1+取值表!$D$8)*取值表!$H$8,0)</f>
        <v>106566</v>
      </c>
      <c r="BG78" s="42">
        <f t="shared" ref="BG78:BI78" si="1128">BF78</f>
        <v>106566</v>
      </c>
      <c r="BH78" s="42">
        <f t="shared" si="1128"/>
        <v>106566</v>
      </c>
      <c r="BI78" s="42">
        <f t="shared" si="1128"/>
        <v>106566</v>
      </c>
      <c r="BJ78" s="44">
        <f>ROUND(BI78*(1+取值表!$D$8)*取值表!$H$8,0)</f>
        <v>107299</v>
      </c>
      <c r="BK78" s="42">
        <f t="shared" ref="BK78:BM78" si="1129">BJ78</f>
        <v>107299</v>
      </c>
      <c r="BL78" s="42">
        <f t="shared" si="1129"/>
        <v>107299</v>
      </c>
      <c r="BM78" s="42">
        <f t="shared" si="1129"/>
        <v>107299</v>
      </c>
      <c r="BN78" s="44">
        <f>ROUND(BM78*(1+取值表!$D$8)*取值表!$H$8,0)</f>
        <v>108037</v>
      </c>
      <c r="BO78" s="42">
        <f t="shared" ref="BO78:BQ78" si="1130">BN78</f>
        <v>108037</v>
      </c>
      <c r="BP78" s="42">
        <f t="shared" si="1130"/>
        <v>108037</v>
      </c>
      <c r="BQ78" s="42">
        <f t="shared" si="1130"/>
        <v>108037</v>
      </c>
      <c r="BR78" s="44">
        <f>ROUND(BQ78*(1+取值表!$D$8)*取值表!$H$8,0)</f>
        <v>108780</v>
      </c>
      <c r="BS78" s="42">
        <f t="shared" ref="BS78:BU78" si="1131">BR78</f>
        <v>108780</v>
      </c>
      <c r="BT78" s="42">
        <f t="shared" si="1131"/>
        <v>108780</v>
      </c>
      <c r="BU78" s="42">
        <f t="shared" si="1131"/>
        <v>108780</v>
      </c>
      <c r="BV78" s="44">
        <f>ROUND(BU78*(1+取值表!$D$8)*取值表!$H$8,0)</f>
        <v>109529</v>
      </c>
      <c r="BW78" s="42">
        <f t="shared" ref="BW78:BY78" si="1132">BV78</f>
        <v>109529</v>
      </c>
      <c r="BX78" s="42">
        <f t="shared" si="1132"/>
        <v>109529</v>
      </c>
      <c r="BY78" s="42">
        <f t="shared" si="1132"/>
        <v>109529</v>
      </c>
      <c r="BZ78" s="44">
        <f>ROUND(BY78*(1+取值表!$D$8)*取值表!$H$8,0)</f>
        <v>110283</v>
      </c>
      <c r="CA78" s="42">
        <f t="shared" ref="CA78:CC78" si="1133">BZ78</f>
        <v>110283</v>
      </c>
      <c r="CB78" s="42">
        <f t="shared" si="1133"/>
        <v>110283</v>
      </c>
      <c r="CC78" s="42">
        <f t="shared" si="1133"/>
        <v>110283</v>
      </c>
      <c r="CD78" s="44">
        <f>ROUND(CC78*(1+取值表!$D$8)*取值表!$H$8,0)</f>
        <v>111042</v>
      </c>
      <c r="CE78" s="42">
        <f t="shared" ref="CE78:CG78" si="1134">CD78</f>
        <v>111042</v>
      </c>
      <c r="CF78" s="42">
        <f t="shared" si="1134"/>
        <v>111042</v>
      </c>
      <c r="CG78" s="42">
        <f t="shared" si="1134"/>
        <v>111042</v>
      </c>
      <c r="CH78" s="44">
        <f>ROUND(CG78*(1+取值表!$D$8)*取值表!$H$8,0)</f>
        <v>111806</v>
      </c>
      <c r="CI78" s="42">
        <f t="shared" ref="CI78:CK78" si="1135">CH78</f>
        <v>111806</v>
      </c>
      <c r="CJ78" s="42">
        <f t="shared" si="1135"/>
        <v>111806</v>
      </c>
      <c r="CK78" s="42">
        <f t="shared" si="1135"/>
        <v>111806</v>
      </c>
      <c r="CL78" s="44">
        <f>ROUND(CK78*(1+取值表!$D$8)*取值表!$H$8,0)</f>
        <v>112575</v>
      </c>
      <c r="CM78" s="42">
        <f t="shared" ref="CM78:CO78" si="1136">CL78</f>
        <v>112575</v>
      </c>
      <c r="CN78" s="42">
        <f t="shared" si="1136"/>
        <v>112575</v>
      </c>
      <c r="CO78" s="42">
        <f t="shared" si="1136"/>
        <v>112575</v>
      </c>
      <c r="CP78" s="44">
        <f>ROUND(CO78*(1+取值表!$D$8)*取值表!$H$8,0)</f>
        <v>113350</v>
      </c>
      <c r="CQ78" s="42">
        <f t="shared" ref="CQ78" si="1137">CP78</f>
        <v>113350</v>
      </c>
      <c r="CR78" s="42">
        <f t="shared" ref="CR78" si="1138">CQ78</f>
        <v>113350</v>
      </c>
      <c r="CS78" s="42">
        <f t="shared" ref="CS78" si="1139">CR78</f>
        <v>113350</v>
      </c>
      <c r="CT78" s="44">
        <f>ROUND(CS78*(1+取值表!$D$8)*取值表!$H$8,0)</f>
        <v>114130</v>
      </c>
      <c r="CU78" s="42">
        <f t="shared" ref="CU78" si="1140">CT78</f>
        <v>114130</v>
      </c>
      <c r="CV78" s="42">
        <f t="shared" ref="CV78" si="1141">CU78</f>
        <v>114130</v>
      </c>
      <c r="CW78" s="42">
        <f t="shared" ref="CW78" si="1142">CV78</f>
        <v>114130</v>
      </c>
      <c r="CX78" s="44">
        <f>ROUND(CW78*(1+取值表!$D$8)*取值表!$H$8,0)</f>
        <v>114915</v>
      </c>
      <c r="CY78" s="42">
        <f t="shared" ref="CY78" si="1143">CX78</f>
        <v>114915</v>
      </c>
      <c r="CZ78" s="42">
        <f t="shared" ref="CZ78" si="1144">CY78</f>
        <v>114915</v>
      </c>
      <c r="DA78" s="42">
        <f t="shared" ref="DA78" si="1145">CZ78</f>
        <v>114915</v>
      </c>
      <c r="DB78" s="44">
        <f>ROUND(DA78*(1+取值表!$D$8)*取值表!$H$8,0)</f>
        <v>115706</v>
      </c>
      <c r="DC78" s="42">
        <f t="shared" ref="DC78" si="1146">DB78</f>
        <v>115706</v>
      </c>
      <c r="DD78" s="42">
        <f t="shared" ref="DD78" si="1147">DC78</f>
        <v>115706</v>
      </c>
      <c r="DE78" s="42">
        <f t="shared" ref="DE78" si="1148">DD78</f>
        <v>115706</v>
      </c>
      <c r="DF78" s="45">
        <f t="shared" si="969"/>
        <v>10669620</v>
      </c>
      <c r="DG78" s="229"/>
      <c r="DH78" s="229"/>
      <c r="DI78" s="229"/>
      <c r="DJ78" s="229"/>
      <c r="DK78" s="229"/>
      <c r="DL78" s="229"/>
      <c r="DM78" s="229"/>
      <c r="DN78" s="229"/>
      <c r="DO78" s="229"/>
      <c r="DP78" s="229"/>
      <c r="DQ78" s="229"/>
      <c r="DR78" s="229"/>
      <c r="DS78" s="229"/>
      <c r="DT78" s="229"/>
      <c r="DU78" s="229"/>
      <c r="DV78" s="229"/>
      <c r="DW78" s="229"/>
      <c r="DX78" s="229"/>
      <c r="DY78" s="229"/>
      <c r="DZ78" s="229"/>
      <c r="EA78" s="229"/>
      <c r="EB78" s="229"/>
      <c r="EC78" s="229"/>
      <c r="ED78" s="229"/>
      <c r="EE78" s="229"/>
      <c r="EF78" s="229"/>
      <c r="EG78" s="229"/>
      <c r="EH78" s="229"/>
      <c r="EI78" s="229"/>
      <c r="EJ78" s="229"/>
      <c r="EK78" s="229"/>
      <c r="EL78" s="229"/>
      <c r="EM78" s="229"/>
      <c r="EN78" s="229"/>
      <c r="EO78" s="229"/>
      <c r="EP78" s="229"/>
      <c r="EQ78" s="229"/>
      <c r="ER78" s="229"/>
      <c r="ES78" s="229"/>
      <c r="ET78" s="229"/>
      <c r="EU78" s="229"/>
      <c r="EV78" s="229"/>
      <c r="EW78" s="229"/>
      <c r="EX78" s="229"/>
      <c r="EY78" s="229"/>
      <c r="EZ78" s="229"/>
      <c r="FA78" s="229"/>
      <c r="FB78" s="229"/>
      <c r="FC78" s="229"/>
      <c r="FD78" s="229"/>
      <c r="FE78" s="229"/>
      <c r="FF78" s="229"/>
      <c r="FG78" s="229"/>
      <c r="FH78" s="229"/>
      <c r="FI78" s="229"/>
      <c r="FJ78" s="229"/>
      <c r="FK78" s="229"/>
      <c r="FL78" s="229"/>
      <c r="FM78" s="229"/>
      <c r="FN78" s="229"/>
      <c r="FO78" s="229"/>
      <c r="FP78" s="229"/>
      <c r="FQ78" s="229"/>
      <c r="FR78" s="229"/>
      <c r="FS78" s="229"/>
      <c r="FT78" s="229"/>
      <c r="FU78" s="229"/>
      <c r="FV78" s="229"/>
      <c r="FW78" s="229"/>
      <c r="FX78" s="229"/>
      <c r="FY78" s="229"/>
      <c r="FZ78" s="229"/>
      <c r="GA78" s="229"/>
      <c r="GB78" s="229"/>
      <c r="GC78" s="229"/>
      <c r="GD78" s="229"/>
      <c r="GE78" s="229"/>
      <c r="GF78" s="229"/>
      <c r="GG78" s="229"/>
      <c r="GH78" s="229"/>
      <c r="GI78" s="229"/>
      <c r="GJ78" s="229"/>
      <c r="GK78" s="229"/>
      <c r="GL78" s="229"/>
      <c r="GM78" s="229"/>
      <c r="GN78" s="229"/>
      <c r="GO78" s="229"/>
      <c r="GP78" s="229"/>
      <c r="GQ78" s="229"/>
      <c r="GR78" s="229"/>
      <c r="GS78" s="229"/>
      <c r="GT78" s="229"/>
      <c r="GU78" s="229"/>
      <c r="GV78" s="229"/>
      <c r="GW78" s="229"/>
      <c r="GX78" s="229"/>
      <c r="GY78" s="229"/>
      <c r="GZ78" s="229"/>
      <c r="HA78" s="229"/>
      <c r="HB78" s="229"/>
      <c r="HC78" s="229"/>
      <c r="HD78" s="229"/>
      <c r="HE78" s="229"/>
      <c r="HF78" s="229"/>
      <c r="HG78" s="229"/>
      <c r="HH78" s="229"/>
      <c r="HI78" s="229"/>
      <c r="HJ78" s="229"/>
      <c r="HK78" s="229"/>
      <c r="HL78" s="229"/>
      <c r="HM78" s="229"/>
      <c r="HN78" s="229"/>
      <c r="HO78" s="229"/>
      <c r="HP78" s="229"/>
      <c r="HQ78" s="48">
        <f t="shared" si="1055"/>
        <v>21339240</v>
      </c>
      <c r="HR78" s="230">
        <v>19584</v>
      </c>
      <c r="HS78" s="231">
        <v>9792</v>
      </c>
      <c r="HT78" s="51">
        <v>722401.8</v>
      </c>
    </row>
    <row r="79" spans="1:228" s="52" customFormat="1" ht="12" customHeight="1">
      <c r="A79" s="505"/>
      <c r="B79" s="507"/>
      <c r="C79" s="509"/>
      <c r="D79" s="511"/>
      <c r="E79" s="513"/>
      <c r="F79" s="501"/>
      <c r="G79" s="501"/>
      <c r="H79" s="503"/>
      <c r="I79" s="233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42"/>
      <c r="DF79" s="45">
        <f t="shared" si="969"/>
        <v>0</v>
      </c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  <c r="EM79" s="47"/>
      <c r="EN79" s="47"/>
      <c r="EO79" s="47"/>
      <c r="EP79" s="47"/>
      <c r="EQ79" s="47"/>
      <c r="ER79" s="47"/>
      <c r="ES79" s="47"/>
      <c r="ET79" s="47"/>
      <c r="EU79" s="47"/>
      <c r="EV79" s="47"/>
      <c r="EW79" s="47"/>
      <c r="EX79" s="47"/>
      <c r="EY79" s="47"/>
      <c r="EZ79" s="47"/>
      <c r="FA79" s="47"/>
      <c r="FB79" s="47"/>
      <c r="FC79" s="47"/>
      <c r="FD79" s="47"/>
      <c r="FE79" s="47"/>
      <c r="FF79" s="47"/>
      <c r="FG79" s="47"/>
      <c r="FH79" s="47"/>
      <c r="FI79" s="47"/>
      <c r="FJ79" s="47"/>
      <c r="FK79" s="47"/>
      <c r="FL79" s="47"/>
      <c r="FM79" s="47"/>
      <c r="FN79" s="47"/>
      <c r="FO79" s="47"/>
      <c r="FP79" s="47"/>
      <c r="FQ79" s="47"/>
      <c r="FR79" s="47"/>
      <c r="FS79" s="47"/>
      <c r="FT79" s="47"/>
      <c r="FU79" s="47"/>
      <c r="FV79" s="47"/>
      <c r="FW79" s="47"/>
      <c r="FX79" s="47"/>
      <c r="FY79" s="47"/>
      <c r="FZ79" s="47"/>
      <c r="GA79" s="47"/>
      <c r="GB79" s="47"/>
      <c r="GC79" s="47"/>
      <c r="GD79" s="47"/>
      <c r="GE79" s="47"/>
      <c r="GF79" s="47"/>
      <c r="GG79" s="47"/>
      <c r="GH79" s="47"/>
      <c r="GI79" s="47"/>
      <c r="GJ79" s="47"/>
      <c r="GK79" s="47"/>
      <c r="GL79" s="47"/>
      <c r="GM79" s="47"/>
      <c r="GN79" s="47"/>
      <c r="GO79" s="47"/>
      <c r="GP79" s="47"/>
      <c r="GQ79" s="47"/>
      <c r="GR79" s="47"/>
      <c r="GS79" s="47"/>
      <c r="GT79" s="47"/>
      <c r="GU79" s="47"/>
      <c r="GV79" s="47"/>
      <c r="GW79" s="47"/>
      <c r="GX79" s="47"/>
      <c r="GY79" s="47"/>
      <c r="GZ79" s="47"/>
      <c r="HA79" s="47"/>
      <c r="HB79" s="47"/>
      <c r="HC79" s="47"/>
      <c r="HD79" s="47"/>
      <c r="HE79" s="47"/>
      <c r="HF79" s="47"/>
      <c r="HG79" s="47"/>
      <c r="HH79" s="47"/>
      <c r="HI79" s="47"/>
      <c r="HJ79" s="47"/>
      <c r="HK79" s="47"/>
      <c r="HL79" s="47"/>
      <c r="HM79" s="47"/>
      <c r="HN79" s="47"/>
      <c r="HO79" s="47"/>
      <c r="HP79" s="47"/>
      <c r="HQ79" s="53">
        <f t="shared" si="1055"/>
        <v>0</v>
      </c>
      <c r="HR79" s="49">
        <v>19584</v>
      </c>
      <c r="HS79" s="50">
        <v>9792</v>
      </c>
      <c r="HT79" s="51">
        <v>433794.39</v>
      </c>
    </row>
    <row r="80" spans="1:228" s="52" customFormat="1" ht="12" customHeight="1">
      <c r="A80" s="504">
        <v>40</v>
      </c>
      <c r="B80" s="506" t="s">
        <v>558</v>
      </c>
      <c r="C80" s="508" t="s">
        <v>766</v>
      </c>
      <c r="D80" s="510" t="s">
        <v>643</v>
      </c>
      <c r="E80" s="512" t="s">
        <v>443</v>
      </c>
      <c r="F80" s="500">
        <v>43.95</v>
      </c>
      <c r="G80" s="500">
        <v>39</v>
      </c>
      <c r="H80" s="502">
        <f>F80*G80*365</f>
        <v>625628.25000000012</v>
      </c>
      <c r="I80" s="228">
        <v>154401.84</v>
      </c>
      <c r="J80" s="43">
        <f>ROUND(G80*F80*365/4,0)</f>
        <v>156407</v>
      </c>
      <c r="K80" s="42">
        <f>J80</f>
        <v>156407</v>
      </c>
      <c r="L80" s="42">
        <f>K80</f>
        <v>156407</v>
      </c>
      <c r="M80" s="42">
        <f>L80</f>
        <v>156407</v>
      </c>
      <c r="N80" s="44">
        <f>ROUND(M80*(1+取值表!$D$8)*取值表!$H$8,0)</f>
        <v>157483</v>
      </c>
      <c r="O80" s="42">
        <f>N80</f>
        <v>157483</v>
      </c>
      <c r="P80" s="42">
        <f>O80</f>
        <v>157483</v>
      </c>
      <c r="Q80" s="42">
        <f>P80</f>
        <v>157483</v>
      </c>
      <c r="R80" s="44">
        <f>ROUND(Q80*(1+取值表!$D$8)*取值表!$H$8,0)</f>
        <v>158567</v>
      </c>
      <c r="S80" s="42">
        <f t="shared" ref="S80:U80" si="1149">R80</f>
        <v>158567</v>
      </c>
      <c r="T80" s="42">
        <f t="shared" si="1149"/>
        <v>158567</v>
      </c>
      <c r="U80" s="42">
        <f t="shared" si="1149"/>
        <v>158567</v>
      </c>
      <c r="V80" s="44">
        <f>ROUND(U80*(1+取值表!$D$8)*取值表!$H$8,0)</f>
        <v>159658</v>
      </c>
      <c r="W80" s="42">
        <f t="shared" ref="W80:Y80" si="1150">V80</f>
        <v>159658</v>
      </c>
      <c r="X80" s="42">
        <f t="shared" si="1150"/>
        <v>159658</v>
      </c>
      <c r="Y80" s="42">
        <f t="shared" si="1150"/>
        <v>159658</v>
      </c>
      <c r="Z80" s="44">
        <f>ROUND(Y80*(1+取值表!$D$8)*取值表!$H$8,0)</f>
        <v>160757</v>
      </c>
      <c r="AA80" s="42">
        <f t="shared" ref="AA80:AC80" si="1151">Z80</f>
        <v>160757</v>
      </c>
      <c r="AB80" s="42">
        <f t="shared" si="1151"/>
        <v>160757</v>
      </c>
      <c r="AC80" s="42">
        <f t="shared" si="1151"/>
        <v>160757</v>
      </c>
      <c r="AD80" s="44">
        <f>ROUND(AC80*(1+取值表!$D$8)*取值表!$H$8,0)</f>
        <v>161863</v>
      </c>
      <c r="AE80" s="42">
        <f t="shared" ref="AE80:AG80" si="1152">AD80</f>
        <v>161863</v>
      </c>
      <c r="AF80" s="42">
        <f t="shared" si="1152"/>
        <v>161863</v>
      </c>
      <c r="AG80" s="42">
        <f t="shared" si="1152"/>
        <v>161863</v>
      </c>
      <c r="AH80" s="44">
        <f>ROUND(AG80*(1+取值表!$D$8)*取值表!$H$8,0)</f>
        <v>162977</v>
      </c>
      <c r="AI80" s="42">
        <f t="shared" ref="AI80:AK80" si="1153">AH80</f>
        <v>162977</v>
      </c>
      <c r="AJ80" s="42">
        <f t="shared" si="1153"/>
        <v>162977</v>
      </c>
      <c r="AK80" s="42">
        <f t="shared" si="1153"/>
        <v>162977</v>
      </c>
      <c r="AL80" s="44">
        <f>ROUND(AK80*(1+取值表!$D$8)*取值表!$H$8,0)</f>
        <v>164099</v>
      </c>
      <c r="AM80" s="42">
        <f t="shared" ref="AM80:AO80" si="1154">AL80</f>
        <v>164099</v>
      </c>
      <c r="AN80" s="42">
        <f t="shared" si="1154"/>
        <v>164099</v>
      </c>
      <c r="AO80" s="42">
        <f t="shared" si="1154"/>
        <v>164099</v>
      </c>
      <c r="AP80" s="44">
        <f>ROUND(AO80*(1+取值表!$D$8)*取值表!$H$8,0)</f>
        <v>165228</v>
      </c>
      <c r="AQ80" s="42">
        <f t="shared" ref="AQ80:AS80" si="1155">AP80</f>
        <v>165228</v>
      </c>
      <c r="AR80" s="42">
        <f t="shared" si="1155"/>
        <v>165228</v>
      </c>
      <c r="AS80" s="42">
        <f t="shared" si="1155"/>
        <v>165228</v>
      </c>
      <c r="AT80" s="44">
        <f>ROUND(AS80*(1+取值表!$D$8)*取值表!$H$8,0)</f>
        <v>166365</v>
      </c>
      <c r="AU80" s="42">
        <f t="shared" ref="AU80:AW80" si="1156">AT80</f>
        <v>166365</v>
      </c>
      <c r="AV80" s="42">
        <f t="shared" si="1156"/>
        <v>166365</v>
      </c>
      <c r="AW80" s="42">
        <f t="shared" si="1156"/>
        <v>166365</v>
      </c>
      <c r="AX80" s="44">
        <f>ROUND(AW80*(1+取值表!$D$8)*取值表!$H$8,0)</f>
        <v>167510</v>
      </c>
      <c r="AY80" s="42">
        <f t="shared" ref="AY80:BA80" si="1157">AX80</f>
        <v>167510</v>
      </c>
      <c r="AZ80" s="42">
        <f t="shared" si="1157"/>
        <v>167510</v>
      </c>
      <c r="BA80" s="42">
        <f t="shared" si="1157"/>
        <v>167510</v>
      </c>
      <c r="BB80" s="44">
        <f>ROUND(BA80*(1+取值表!$D$8)*取值表!$H$8,0)</f>
        <v>168663</v>
      </c>
      <c r="BC80" s="42">
        <f t="shared" ref="BC80:BE80" si="1158">BB80</f>
        <v>168663</v>
      </c>
      <c r="BD80" s="42">
        <f t="shared" si="1158"/>
        <v>168663</v>
      </c>
      <c r="BE80" s="42">
        <f t="shared" si="1158"/>
        <v>168663</v>
      </c>
      <c r="BF80" s="44">
        <f>ROUND(BE80*(1+取值表!$D$8)*取值表!$H$8,0)</f>
        <v>169824</v>
      </c>
      <c r="BG80" s="42">
        <f t="shared" ref="BG80:BI80" si="1159">BF80</f>
        <v>169824</v>
      </c>
      <c r="BH80" s="42">
        <f t="shared" si="1159"/>
        <v>169824</v>
      </c>
      <c r="BI80" s="42">
        <f t="shared" si="1159"/>
        <v>169824</v>
      </c>
      <c r="BJ80" s="44">
        <f>ROUND(BI80*(1+取值表!$D$8)*取值表!$H$8,0)</f>
        <v>170993</v>
      </c>
      <c r="BK80" s="42">
        <f t="shared" ref="BK80:BM80" si="1160">BJ80</f>
        <v>170993</v>
      </c>
      <c r="BL80" s="42">
        <f t="shared" si="1160"/>
        <v>170993</v>
      </c>
      <c r="BM80" s="42">
        <f t="shared" si="1160"/>
        <v>170993</v>
      </c>
      <c r="BN80" s="44">
        <f>ROUND(BM80*(1+取值表!$D$8)*取值表!$H$8,0)</f>
        <v>172170</v>
      </c>
      <c r="BO80" s="42">
        <f t="shared" ref="BO80:BQ80" si="1161">BN80</f>
        <v>172170</v>
      </c>
      <c r="BP80" s="42">
        <f t="shared" si="1161"/>
        <v>172170</v>
      </c>
      <c r="BQ80" s="42">
        <f t="shared" si="1161"/>
        <v>172170</v>
      </c>
      <c r="BR80" s="44">
        <f>ROUND(BQ80*(1+取值表!$D$8)*取值表!$H$8,0)</f>
        <v>173355</v>
      </c>
      <c r="BS80" s="42">
        <f t="shared" ref="BS80:BU80" si="1162">BR80</f>
        <v>173355</v>
      </c>
      <c r="BT80" s="42">
        <f t="shared" si="1162"/>
        <v>173355</v>
      </c>
      <c r="BU80" s="42">
        <f t="shared" si="1162"/>
        <v>173355</v>
      </c>
      <c r="BV80" s="44">
        <f>ROUND(BU80*(1+取值表!$D$8)*取值表!$H$8,0)</f>
        <v>174548</v>
      </c>
      <c r="BW80" s="42">
        <f t="shared" ref="BW80:BY80" si="1163">BV80</f>
        <v>174548</v>
      </c>
      <c r="BX80" s="42">
        <f t="shared" si="1163"/>
        <v>174548</v>
      </c>
      <c r="BY80" s="42">
        <f t="shared" si="1163"/>
        <v>174548</v>
      </c>
      <c r="BZ80" s="44">
        <f>ROUND(BY80*(1+取值表!$D$8)*取值表!$H$8,0)</f>
        <v>175749</v>
      </c>
      <c r="CA80" s="42">
        <f t="shared" ref="CA80:CC80" si="1164">BZ80</f>
        <v>175749</v>
      </c>
      <c r="CB80" s="42">
        <f t="shared" si="1164"/>
        <v>175749</v>
      </c>
      <c r="CC80" s="42">
        <f t="shared" si="1164"/>
        <v>175749</v>
      </c>
      <c r="CD80" s="44">
        <f>ROUND(CC80*(1+取值表!$D$8)*取值表!$H$8,0)</f>
        <v>176958</v>
      </c>
      <c r="CE80" s="42">
        <f t="shared" ref="CE80:CG80" si="1165">CD80</f>
        <v>176958</v>
      </c>
      <c r="CF80" s="42">
        <f t="shared" si="1165"/>
        <v>176958</v>
      </c>
      <c r="CG80" s="42">
        <f t="shared" si="1165"/>
        <v>176958</v>
      </c>
      <c r="CH80" s="44">
        <f>ROUND(CG80*(1+取值表!$D$8)*取值表!$H$8,0)</f>
        <v>178176</v>
      </c>
      <c r="CI80" s="42">
        <f t="shared" ref="CI80:CK80" si="1166">CH80</f>
        <v>178176</v>
      </c>
      <c r="CJ80" s="42">
        <f t="shared" si="1166"/>
        <v>178176</v>
      </c>
      <c r="CK80" s="42">
        <f t="shared" si="1166"/>
        <v>178176</v>
      </c>
      <c r="CL80" s="44">
        <f>ROUND(CK80*(1+取值表!$D$8)*取值表!$H$8,0)</f>
        <v>179402</v>
      </c>
      <c r="CM80" s="42">
        <f t="shared" ref="CM80:CO80" si="1167">CL80</f>
        <v>179402</v>
      </c>
      <c r="CN80" s="42">
        <f t="shared" si="1167"/>
        <v>179402</v>
      </c>
      <c r="CO80" s="42">
        <f t="shared" si="1167"/>
        <v>179402</v>
      </c>
      <c r="CP80" s="44">
        <f>ROUND(CO80*(1+取值表!$D$8)*取值表!$H$8,0)</f>
        <v>180637</v>
      </c>
      <c r="CQ80" s="42">
        <f t="shared" ref="CQ80" si="1168">CP80</f>
        <v>180637</v>
      </c>
      <c r="CR80" s="42">
        <f t="shared" ref="CR80" si="1169">CQ80</f>
        <v>180637</v>
      </c>
      <c r="CS80" s="42">
        <f t="shared" ref="CS80" si="1170">CR80</f>
        <v>180637</v>
      </c>
      <c r="CT80" s="44">
        <f>ROUND(CS80*(1+取值表!$D$8)*取值表!$H$8,0)</f>
        <v>181880</v>
      </c>
      <c r="CU80" s="42">
        <f t="shared" ref="CU80" si="1171">CT80</f>
        <v>181880</v>
      </c>
      <c r="CV80" s="42">
        <f t="shared" ref="CV80" si="1172">CU80</f>
        <v>181880</v>
      </c>
      <c r="CW80" s="42">
        <f t="shared" ref="CW80" si="1173">CV80</f>
        <v>181880</v>
      </c>
      <c r="CX80" s="44">
        <f>ROUND(CW80*(1+取值表!$D$8)*取值表!$H$8,0)</f>
        <v>183132</v>
      </c>
      <c r="CY80" s="42">
        <f t="shared" ref="CY80" si="1174">CX80</f>
        <v>183132</v>
      </c>
      <c r="CZ80" s="42">
        <f t="shared" ref="CZ80" si="1175">CY80</f>
        <v>183132</v>
      </c>
      <c r="DA80" s="42">
        <f t="shared" ref="DA80" si="1176">CZ80</f>
        <v>183132</v>
      </c>
      <c r="DB80" s="44">
        <f>ROUND(DA80*(1+取值表!$D$8)*取值表!$H$8,0)</f>
        <v>184392</v>
      </c>
      <c r="DC80" s="42">
        <f t="shared" ref="DC80" si="1177">DB80</f>
        <v>184392</v>
      </c>
      <c r="DD80" s="42">
        <f t="shared" ref="DD80" si="1178">DC80</f>
        <v>184392</v>
      </c>
      <c r="DE80" s="42">
        <f t="shared" ref="DE80" si="1179">DD80</f>
        <v>184392</v>
      </c>
      <c r="DF80" s="45">
        <f t="shared" si="969"/>
        <v>17003172</v>
      </c>
      <c r="DG80" s="229"/>
      <c r="DH80" s="229"/>
      <c r="DI80" s="229"/>
      <c r="DJ80" s="229"/>
      <c r="DK80" s="229"/>
      <c r="DL80" s="229"/>
      <c r="DM80" s="229"/>
      <c r="DN80" s="229"/>
      <c r="DO80" s="229"/>
      <c r="DP80" s="229"/>
      <c r="DQ80" s="229"/>
      <c r="DR80" s="229"/>
      <c r="DS80" s="229"/>
      <c r="DT80" s="229"/>
      <c r="DU80" s="229"/>
      <c r="DV80" s="229"/>
      <c r="DW80" s="229"/>
      <c r="DX80" s="229"/>
      <c r="DY80" s="229"/>
      <c r="DZ80" s="229"/>
      <c r="EA80" s="229"/>
      <c r="EB80" s="229"/>
      <c r="EC80" s="229"/>
      <c r="ED80" s="229"/>
      <c r="EE80" s="229"/>
      <c r="EF80" s="229"/>
      <c r="EG80" s="229"/>
      <c r="EH80" s="229"/>
      <c r="EI80" s="229"/>
      <c r="EJ80" s="229"/>
      <c r="EK80" s="229"/>
      <c r="EL80" s="229"/>
      <c r="EM80" s="229"/>
      <c r="EN80" s="229"/>
      <c r="EO80" s="229"/>
      <c r="EP80" s="229"/>
      <c r="EQ80" s="229"/>
      <c r="ER80" s="229"/>
      <c r="ES80" s="229"/>
      <c r="ET80" s="229"/>
      <c r="EU80" s="229"/>
      <c r="EV80" s="229"/>
      <c r="EW80" s="229"/>
      <c r="EX80" s="229"/>
      <c r="EY80" s="229"/>
      <c r="EZ80" s="229"/>
      <c r="FA80" s="229"/>
      <c r="FB80" s="229"/>
      <c r="FC80" s="229"/>
      <c r="FD80" s="229"/>
      <c r="FE80" s="229"/>
      <c r="FF80" s="229"/>
      <c r="FG80" s="229"/>
      <c r="FH80" s="229"/>
      <c r="FI80" s="229"/>
      <c r="FJ80" s="229"/>
      <c r="FK80" s="229"/>
      <c r="FL80" s="229"/>
      <c r="FM80" s="229"/>
      <c r="FN80" s="229"/>
      <c r="FO80" s="229"/>
      <c r="FP80" s="229"/>
      <c r="FQ80" s="229"/>
      <c r="FR80" s="229"/>
      <c r="FS80" s="229"/>
      <c r="FT80" s="229"/>
      <c r="FU80" s="229"/>
      <c r="FV80" s="229"/>
      <c r="FW80" s="229"/>
      <c r="FX80" s="229"/>
      <c r="FY80" s="229"/>
      <c r="FZ80" s="229"/>
      <c r="GA80" s="229"/>
      <c r="GB80" s="229"/>
      <c r="GC80" s="229"/>
      <c r="GD80" s="229"/>
      <c r="GE80" s="229"/>
      <c r="GF80" s="229"/>
      <c r="GG80" s="229"/>
      <c r="GH80" s="229"/>
      <c r="GI80" s="229"/>
      <c r="GJ80" s="229"/>
      <c r="GK80" s="229"/>
      <c r="GL80" s="229"/>
      <c r="GM80" s="229"/>
      <c r="GN80" s="229"/>
      <c r="GO80" s="229"/>
      <c r="GP80" s="229"/>
      <c r="GQ80" s="229"/>
      <c r="GR80" s="229"/>
      <c r="GS80" s="229"/>
      <c r="GT80" s="229"/>
      <c r="GU80" s="229"/>
      <c r="GV80" s="229"/>
      <c r="GW80" s="229"/>
      <c r="GX80" s="229"/>
      <c r="GY80" s="229"/>
      <c r="GZ80" s="229"/>
      <c r="HA80" s="229"/>
      <c r="HB80" s="229"/>
      <c r="HC80" s="229"/>
      <c r="HD80" s="229"/>
      <c r="HE80" s="229"/>
      <c r="HF80" s="229"/>
      <c r="HG80" s="229"/>
      <c r="HH80" s="229"/>
      <c r="HI80" s="229"/>
      <c r="HJ80" s="229"/>
      <c r="HK80" s="229"/>
      <c r="HL80" s="229"/>
      <c r="HM80" s="229"/>
      <c r="HN80" s="229"/>
      <c r="HO80" s="229"/>
      <c r="HP80" s="229"/>
      <c r="HQ80" s="48">
        <f t="shared" si="1055"/>
        <v>34006344</v>
      </c>
      <c r="HR80" s="230"/>
      <c r="HS80" s="231"/>
      <c r="HT80" s="51">
        <v>1079743.483</v>
      </c>
    </row>
    <row r="81" spans="1:228" s="52" customFormat="1" ht="12">
      <c r="A81" s="505"/>
      <c r="B81" s="507"/>
      <c r="C81" s="509"/>
      <c r="D81" s="511"/>
      <c r="E81" s="513"/>
      <c r="F81" s="501"/>
      <c r="G81" s="501"/>
      <c r="H81" s="503"/>
      <c r="I81" s="233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5">
        <f t="shared" si="969"/>
        <v>0</v>
      </c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  <c r="EM81" s="47"/>
      <c r="EN81" s="47"/>
      <c r="EO81" s="47"/>
      <c r="EP81" s="47"/>
      <c r="EQ81" s="47"/>
      <c r="ER81" s="47"/>
      <c r="ES81" s="47"/>
      <c r="ET81" s="47"/>
      <c r="EU81" s="47"/>
      <c r="EV81" s="47"/>
      <c r="EW81" s="47"/>
      <c r="EX81" s="47"/>
      <c r="EY81" s="47"/>
      <c r="EZ81" s="47"/>
      <c r="FA81" s="47"/>
      <c r="FB81" s="47"/>
      <c r="FC81" s="47"/>
      <c r="FD81" s="47"/>
      <c r="FE81" s="47"/>
      <c r="FF81" s="47"/>
      <c r="FG81" s="47"/>
      <c r="FH81" s="47"/>
      <c r="FI81" s="47"/>
      <c r="FJ81" s="47"/>
      <c r="FK81" s="47"/>
      <c r="FL81" s="47"/>
      <c r="FM81" s="47"/>
      <c r="FN81" s="47"/>
      <c r="FO81" s="47"/>
      <c r="FP81" s="47"/>
      <c r="FQ81" s="47"/>
      <c r="FR81" s="47"/>
      <c r="FS81" s="47"/>
      <c r="FT81" s="47"/>
      <c r="FU81" s="47"/>
      <c r="FV81" s="47"/>
      <c r="FW81" s="47"/>
      <c r="FX81" s="47"/>
      <c r="FY81" s="47"/>
      <c r="FZ81" s="47"/>
      <c r="GA81" s="47"/>
      <c r="GB81" s="47"/>
      <c r="GC81" s="47"/>
      <c r="GD81" s="47"/>
      <c r="GE81" s="47"/>
      <c r="GF81" s="47"/>
      <c r="GG81" s="47"/>
      <c r="GH81" s="47"/>
      <c r="GI81" s="47"/>
      <c r="GJ81" s="47"/>
      <c r="GK81" s="47"/>
      <c r="GL81" s="47"/>
      <c r="GM81" s="47"/>
      <c r="GN81" s="47"/>
      <c r="GO81" s="47"/>
      <c r="GP81" s="47"/>
      <c r="GQ81" s="47"/>
      <c r="GR81" s="47"/>
      <c r="GS81" s="47"/>
      <c r="GT81" s="47"/>
      <c r="GU81" s="47"/>
      <c r="GV81" s="47"/>
      <c r="GW81" s="47"/>
      <c r="GX81" s="47"/>
      <c r="GY81" s="47"/>
      <c r="GZ81" s="47"/>
      <c r="HA81" s="47"/>
      <c r="HB81" s="47"/>
      <c r="HC81" s="47"/>
      <c r="HD81" s="47"/>
      <c r="HE81" s="47"/>
      <c r="HF81" s="47"/>
      <c r="HG81" s="47"/>
      <c r="HH81" s="47"/>
      <c r="HI81" s="47"/>
      <c r="HJ81" s="47"/>
      <c r="HK81" s="47"/>
      <c r="HL81" s="47"/>
      <c r="HM81" s="47"/>
      <c r="HN81" s="47"/>
      <c r="HO81" s="47"/>
      <c r="HP81" s="47"/>
      <c r="HQ81" s="53">
        <f t="shared" si="1055"/>
        <v>0</v>
      </c>
      <c r="HR81" s="49"/>
      <c r="HS81" s="50"/>
      <c r="HT81" s="51">
        <v>321280.62</v>
      </c>
    </row>
    <row r="82" spans="1:228" s="40" customFormat="1" ht="12">
      <c r="A82" s="504">
        <v>41</v>
      </c>
      <c r="B82" s="534" t="s">
        <v>105</v>
      </c>
      <c r="C82" s="530" t="s">
        <v>106</v>
      </c>
      <c r="D82" s="532" t="s">
        <v>107</v>
      </c>
      <c r="E82" s="514" t="s">
        <v>459</v>
      </c>
      <c r="F82" s="524">
        <v>298.69</v>
      </c>
      <c r="G82" s="524">
        <f>AVERAGE(10,11,12,12.5,13,13.5)</f>
        <v>12</v>
      </c>
      <c r="H82" s="526">
        <f>F82*G82*365</f>
        <v>1308262.2</v>
      </c>
      <c r="I82" s="41">
        <v>327065.55</v>
      </c>
      <c r="J82" s="42">
        <f>K82</f>
        <v>340693</v>
      </c>
      <c r="K82" s="44">
        <f>L82</f>
        <v>340693</v>
      </c>
      <c r="L82" s="44">
        <f>M82</f>
        <v>340693</v>
      </c>
      <c r="M82" s="44">
        <f>ROUND(12.5*365*F82/4,0)</f>
        <v>340693</v>
      </c>
      <c r="N82" s="44">
        <f>O82</f>
        <v>354321</v>
      </c>
      <c r="O82" s="44">
        <f>P82</f>
        <v>354321</v>
      </c>
      <c r="P82" s="44">
        <f>Q82</f>
        <v>354321</v>
      </c>
      <c r="Q82" s="44">
        <f>ROUND(13*365*F82/4,0)</f>
        <v>354321</v>
      </c>
      <c r="R82" s="44">
        <f>S82</f>
        <v>367949</v>
      </c>
      <c r="S82" s="44">
        <f>T82</f>
        <v>367949</v>
      </c>
      <c r="T82" s="44">
        <f>U82</f>
        <v>367949</v>
      </c>
      <c r="U82" s="43">
        <f>ROUND(13.5*F82*365/4,0)</f>
        <v>367949</v>
      </c>
      <c r="V82" s="44">
        <f>ROUND(U82*(1+取值表!$D$10)*取值表!$H$10,0)</f>
        <v>370204</v>
      </c>
      <c r="W82" s="44">
        <f>V82</f>
        <v>370204</v>
      </c>
      <c r="X82" s="44">
        <f>W82</f>
        <v>370204</v>
      </c>
      <c r="Y82" s="44">
        <f>X82</f>
        <v>370204</v>
      </c>
      <c r="Z82" s="44">
        <f>ROUND(Y82*(1+取值表!$D$10)*取值表!$H$10,0)</f>
        <v>372473</v>
      </c>
      <c r="AA82" s="44">
        <f t="shared" ref="AA82:AC82" si="1180">Z82</f>
        <v>372473</v>
      </c>
      <c r="AB82" s="44">
        <f t="shared" si="1180"/>
        <v>372473</v>
      </c>
      <c r="AC82" s="44">
        <f t="shared" si="1180"/>
        <v>372473</v>
      </c>
      <c r="AD82" s="44">
        <f>ROUND(AC82*(1+取值表!$D$10)*取值表!$H$10,0)</f>
        <v>374756</v>
      </c>
      <c r="AE82" s="44">
        <f t="shared" ref="AE82:AG82" si="1181">AD82</f>
        <v>374756</v>
      </c>
      <c r="AF82" s="44">
        <f t="shared" si="1181"/>
        <v>374756</v>
      </c>
      <c r="AG82" s="44">
        <f t="shared" si="1181"/>
        <v>374756</v>
      </c>
      <c r="AH82" s="44">
        <f>ROUND(AG82*(1+取值表!$D$10)*取值表!$H$10,0)</f>
        <v>377053</v>
      </c>
      <c r="AI82" s="44">
        <f t="shared" ref="AI82:AK82" si="1182">AH82</f>
        <v>377053</v>
      </c>
      <c r="AJ82" s="44">
        <f t="shared" si="1182"/>
        <v>377053</v>
      </c>
      <c r="AK82" s="44">
        <f t="shared" si="1182"/>
        <v>377053</v>
      </c>
      <c r="AL82" s="44">
        <f>ROUND(AK82*(1+取值表!$D$10)*取值表!$H$10,0)</f>
        <v>379364</v>
      </c>
      <c r="AM82" s="44">
        <f t="shared" ref="AM82:AO82" si="1183">AL82</f>
        <v>379364</v>
      </c>
      <c r="AN82" s="44">
        <f t="shared" si="1183"/>
        <v>379364</v>
      </c>
      <c r="AO82" s="44">
        <f t="shared" si="1183"/>
        <v>379364</v>
      </c>
      <c r="AP82" s="44">
        <f>ROUND(AO82*(1+取值表!$D$10)*取值表!$H$10,0)</f>
        <v>381689</v>
      </c>
      <c r="AQ82" s="44">
        <f t="shared" ref="AQ82:AS82" si="1184">AP82</f>
        <v>381689</v>
      </c>
      <c r="AR82" s="44">
        <f t="shared" si="1184"/>
        <v>381689</v>
      </c>
      <c r="AS82" s="44">
        <f t="shared" si="1184"/>
        <v>381689</v>
      </c>
      <c r="AT82" s="44">
        <f>ROUND(AS82*(1+取值表!$D$10)*取值表!$H$10,0)</f>
        <v>384028</v>
      </c>
      <c r="AU82" s="44">
        <f t="shared" ref="AU82:AW82" si="1185">AT82</f>
        <v>384028</v>
      </c>
      <c r="AV82" s="44">
        <f t="shared" si="1185"/>
        <v>384028</v>
      </c>
      <c r="AW82" s="44">
        <f t="shared" si="1185"/>
        <v>384028</v>
      </c>
      <c r="AX82" s="44">
        <f>ROUND(AW82*(1+取值表!$D$10)*取值表!$H$10,0)</f>
        <v>386382</v>
      </c>
      <c r="AY82" s="44">
        <f t="shared" ref="AY82:BA82" si="1186">AX82</f>
        <v>386382</v>
      </c>
      <c r="AZ82" s="44">
        <f t="shared" si="1186"/>
        <v>386382</v>
      </c>
      <c r="BA82" s="44">
        <f t="shared" si="1186"/>
        <v>386382</v>
      </c>
      <c r="BB82" s="44">
        <f>ROUND(BA82*(1+取值表!$D$10)*取值表!$H$10,0)</f>
        <v>388750</v>
      </c>
      <c r="BC82" s="44">
        <f t="shared" ref="BC82:BE82" si="1187">BB82</f>
        <v>388750</v>
      </c>
      <c r="BD82" s="44">
        <f t="shared" si="1187"/>
        <v>388750</v>
      </c>
      <c r="BE82" s="44">
        <f t="shared" si="1187"/>
        <v>388750</v>
      </c>
      <c r="BF82" s="44">
        <f>ROUND(BE82*(1+取值表!$D$10)*取值表!$H$10,0)</f>
        <v>391133</v>
      </c>
      <c r="BG82" s="44">
        <f t="shared" ref="BG82:BI82" si="1188">BF82</f>
        <v>391133</v>
      </c>
      <c r="BH82" s="44">
        <f t="shared" si="1188"/>
        <v>391133</v>
      </c>
      <c r="BI82" s="44">
        <f t="shared" si="1188"/>
        <v>391133</v>
      </c>
      <c r="BJ82" s="44">
        <f>ROUND(BI82*(1+取值表!$D$10)*取值表!$H$10,0)</f>
        <v>393530</v>
      </c>
      <c r="BK82" s="44">
        <f t="shared" ref="BK82:BM82" si="1189">BJ82</f>
        <v>393530</v>
      </c>
      <c r="BL82" s="44">
        <f t="shared" si="1189"/>
        <v>393530</v>
      </c>
      <c r="BM82" s="44">
        <f t="shared" si="1189"/>
        <v>393530</v>
      </c>
      <c r="BN82" s="44">
        <f>ROUND(BM82*(1+取值表!$D$10)*取值表!$H$10,0)</f>
        <v>395942</v>
      </c>
      <c r="BO82" s="44">
        <f t="shared" ref="BO82:BQ82" si="1190">BN82</f>
        <v>395942</v>
      </c>
      <c r="BP82" s="44">
        <f t="shared" si="1190"/>
        <v>395942</v>
      </c>
      <c r="BQ82" s="44">
        <f t="shared" si="1190"/>
        <v>395942</v>
      </c>
      <c r="BR82" s="44">
        <f>ROUND(BQ82*(1+取值表!$D$10)*取值表!$H$10,0)</f>
        <v>398369</v>
      </c>
      <c r="BS82" s="44">
        <f t="shared" ref="BS82:BU82" si="1191">BR82</f>
        <v>398369</v>
      </c>
      <c r="BT82" s="44">
        <f t="shared" si="1191"/>
        <v>398369</v>
      </c>
      <c r="BU82" s="44">
        <f t="shared" si="1191"/>
        <v>398369</v>
      </c>
      <c r="BV82" s="44">
        <f>ROUND(BU82*(1+取值表!$D$10)*取值表!$H$10,0)</f>
        <v>400811</v>
      </c>
      <c r="BW82" s="44">
        <f t="shared" ref="BW82:BY82" si="1192">BV82</f>
        <v>400811</v>
      </c>
      <c r="BX82" s="44">
        <f t="shared" si="1192"/>
        <v>400811</v>
      </c>
      <c r="BY82" s="44">
        <f t="shared" si="1192"/>
        <v>400811</v>
      </c>
      <c r="BZ82" s="44">
        <f>ROUND(BY82*(1+取值表!$D$10)*取值表!$H$10,0)</f>
        <v>403268</v>
      </c>
      <c r="CA82" s="44">
        <f t="shared" ref="CA82:CC82" si="1193">BZ82</f>
        <v>403268</v>
      </c>
      <c r="CB82" s="44">
        <f t="shared" si="1193"/>
        <v>403268</v>
      </c>
      <c r="CC82" s="44">
        <f t="shared" si="1193"/>
        <v>403268</v>
      </c>
      <c r="CD82" s="44">
        <f>ROUND(CC82*(1+取值表!$D$10)*取值表!$H$10,0)</f>
        <v>405740</v>
      </c>
      <c r="CE82" s="44">
        <f t="shared" ref="CE82:CG82" si="1194">CD82</f>
        <v>405740</v>
      </c>
      <c r="CF82" s="44">
        <f t="shared" si="1194"/>
        <v>405740</v>
      </c>
      <c r="CG82" s="44">
        <f t="shared" si="1194"/>
        <v>405740</v>
      </c>
      <c r="CH82" s="44">
        <f>ROUND(CG82*(1+取值表!$D$10)*取值表!$H$10,0)</f>
        <v>408227</v>
      </c>
      <c r="CI82" s="44">
        <f t="shared" ref="CI82:CK82" si="1195">CH82</f>
        <v>408227</v>
      </c>
      <c r="CJ82" s="44">
        <f t="shared" si="1195"/>
        <v>408227</v>
      </c>
      <c r="CK82" s="44">
        <f t="shared" si="1195"/>
        <v>408227</v>
      </c>
      <c r="CL82" s="44">
        <f>ROUND(CK82*(1+取值表!$D$10)*取值表!$H$10,0)</f>
        <v>410729</v>
      </c>
      <c r="CM82" s="44">
        <f t="shared" ref="CM82:CO82" si="1196">CL82</f>
        <v>410729</v>
      </c>
      <c r="CN82" s="44">
        <f t="shared" si="1196"/>
        <v>410729</v>
      </c>
      <c r="CO82" s="44">
        <f t="shared" si="1196"/>
        <v>410729</v>
      </c>
      <c r="CP82" s="44">
        <f>ROUND(CO82*(1+取值表!$D$10)*取值表!$H$10,0)</f>
        <v>413246</v>
      </c>
      <c r="CQ82" s="44">
        <f t="shared" ref="CQ82" si="1197">CP82</f>
        <v>413246</v>
      </c>
      <c r="CR82" s="44">
        <f t="shared" ref="CR82" si="1198">CQ82</f>
        <v>413246</v>
      </c>
      <c r="CS82" s="44">
        <f t="shared" ref="CS82" si="1199">CR82</f>
        <v>413246</v>
      </c>
      <c r="CT82" s="44">
        <f>ROUND(CS82*(1+取值表!$D$10)*取值表!$H$10,0)</f>
        <v>415779</v>
      </c>
      <c r="CU82" s="44">
        <f t="shared" ref="CU82" si="1200">CT82</f>
        <v>415779</v>
      </c>
      <c r="CV82" s="44">
        <f t="shared" ref="CV82" si="1201">CU82</f>
        <v>415779</v>
      </c>
      <c r="CW82" s="44">
        <f t="shared" ref="CW82" si="1202">CV82</f>
        <v>415779</v>
      </c>
      <c r="CX82" s="44">
        <f>ROUND(CW82*(1+取值表!$D$10)*取值表!$H$10,0)</f>
        <v>418327</v>
      </c>
      <c r="CY82" s="44">
        <f t="shared" ref="CY82" si="1203">CX82</f>
        <v>418327</v>
      </c>
      <c r="CZ82" s="44">
        <f t="shared" ref="CZ82" si="1204">CY82</f>
        <v>418327</v>
      </c>
      <c r="DA82" s="44">
        <f t="shared" ref="DA82" si="1205">CZ82</f>
        <v>418327</v>
      </c>
      <c r="DB82" s="44">
        <f>ROUND(DA82*(1+取值表!$D$10)*取值表!$H$10,0)</f>
        <v>420891</v>
      </c>
      <c r="DC82" s="44">
        <f t="shared" ref="DC82" si="1206">DB82</f>
        <v>420891</v>
      </c>
      <c r="DD82" s="44">
        <f t="shared" ref="DD82" si="1207">DC82</f>
        <v>420891</v>
      </c>
      <c r="DE82" s="44">
        <f t="shared" ref="DE82" si="1208">DD82</f>
        <v>420891</v>
      </c>
      <c r="DF82" s="45">
        <f t="shared" si="969"/>
        <v>39014616</v>
      </c>
    </row>
    <row r="83" spans="1:228" s="40" customFormat="1" ht="12">
      <c r="A83" s="505"/>
      <c r="B83" s="535"/>
      <c r="C83" s="531"/>
      <c r="D83" s="533"/>
      <c r="E83" s="515"/>
      <c r="F83" s="525"/>
      <c r="G83" s="525"/>
      <c r="H83" s="527"/>
      <c r="I83" s="41"/>
      <c r="J83" s="42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5">
        <f t="shared" si="969"/>
        <v>0</v>
      </c>
    </row>
    <row r="84" spans="1:228" s="40" customFormat="1" ht="12" customHeight="1">
      <c r="A84" s="504">
        <v>42</v>
      </c>
      <c r="B84" s="534" t="s">
        <v>108</v>
      </c>
      <c r="C84" s="530" t="s">
        <v>31</v>
      </c>
      <c r="D84" s="532" t="s">
        <v>460</v>
      </c>
      <c r="E84" s="514" t="s">
        <v>459</v>
      </c>
      <c r="F84" s="524">
        <v>140.59</v>
      </c>
      <c r="G84" s="524">
        <v>22</v>
      </c>
      <c r="H84" s="526">
        <f>F84*G84*365</f>
        <v>1128937.7</v>
      </c>
      <c r="I84" s="41">
        <v>282234.42</v>
      </c>
      <c r="J84" s="42">
        <f>ROUND(G84*F84*365/4,0)</f>
        <v>282234</v>
      </c>
      <c r="K84" s="44">
        <f t="shared" ref="K84:P84" si="1209">J84</f>
        <v>282234</v>
      </c>
      <c r="L84" s="44">
        <f t="shared" si="1209"/>
        <v>282234</v>
      </c>
      <c r="M84" s="44">
        <f t="shared" si="1209"/>
        <v>282234</v>
      </c>
      <c r="N84" s="44">
        <f t="shared" si="1209"/>
        <v>282234</v>
      </c>
      <c r="O84" s="44">
        <f t="shared" si="1209"/>
        <v>282234</v>
      </c>
      <c r="P84" s="43">
        <f t="shared" si="1209"/>
        <v>282234</v>
      </c>
      <c r="Q84" s="44">
        <f>P84</f>
        <v>282234</v>
      </c>
      <c r="R84" s="44">
        <f>ROUND(Q84*(1+取值表!$D$10)*取值表!$H$10,0)</f>
        <v>283964</v>
      </c>
      <c r="S84" s="44">
        <f>R84</f>
        <v>283964</v>
      </c>
      <c r="T84" s="44">
        <f>S84</f>
        <v>283964</v>
      </c>
      <c r="U84" s="44">
        <f>T84</f>
        <v>283964</v>
      </c>
      <c r="V84" s="44">
        <f>ROUND(U84*(1+取值表!$D$10)*取值表!$H$10,0)</f>
        <v>285704</v>
      </c>
      <c r="W84" s="44">
        <f t="shared" ref="W84:Y84" si="1210">V84</f>
        <v>285704</v>
      </c>
      <c r="X84" s="44">
        <f t="shared" si="1210"/>
        <v>285704</v>
      </c>
      <c r="Y84" s="44">
        <f t="shared" si="1210"/>
        <v>285704</v>
      </c>
      <c r="Z84" s="44">
        <f>ROUND(Y84*(1+取值表!$D$10)*取值表!$H$10,0)</f>
        <v>287455</v>
      </c>
      <c r="AA84" s="44">
        <f t="shared" ref="AA84:AC84" si="1211">Z84</f>
        <v>287455</v>
      </c>
      <c r="AB84" s="44">
        <f t="shared" si="1211"/>
        <v>287455</v>
      </c>
      <c r="AC84" s="44">
        <f t="shared" si="1211"/>
        <v>287455</v>
      </c>
      <c r="AD84" s="44">
        <f>ROUND(AC84*(1+取值表!$D$10)*取值表!$H$10,0)</f>
        <v>289217</v>
      </c>
      <c r="AE84" s="44">
        <f t="shared" ref="AE84:AG84" si="1212">AD84</f>
        <v>289217</v>
      </c>
      <c r="AF84" s="44">
        <f t="shared" si="1212"/>
        <v>289217</v>
      </c>
      <c r="AG84" s="44">
        <f t="shared" si="1212"/>
        <v>289217</v>
      </c>
      <c r="AH84" s="44">
        <f>ROUND(AG84*(1+取值表!$D$10)*取值表!$H$10,0)</f>
        <v>290990</v>
      </c>
      <c r="AI84" s="44">
        <f t="shared" ref="AI84:AK84" si="1213">AH84</f>
        <v>290990</v>
      </c>
      <c r="AJ84" s="44">
        <f t="shared" si="1213"/>
        <v>290990</v>
      </c>
      <c r="AK84" s="44">
        <f t="shared" si="1213"/>
        <v>290990</v>
      </c>
      <c r="AL84" s="44">
        <f>ROUND(AK84*(1+取值表!$D$10)*取值表!$H$10,0)</f>
        <v>292774</v>
      </c>
      <c r="AM84" s="44">
        <f t="shared" ref="AM84:AO84" si="1214">AL84</f>
        <v>292774</v>
      </c>
      <c r="AN84" s="44">
        <f t="shared" si="1214"/>
        <v>292774</v>
      </c>
      <c r="AO84" s="44">
        <f t="shared" si="1214"/>
        <v>292774</v>
      </c>
      <c r="AP84" s="44">
        <f>ROUND(AO84*(1+取值表!$D$10)*取值表!$H$10,0)</f>
        <v>294568</v>
      </c>
      <c r="AQ84" s="44">
        <f t="shared" ref="AQ84:AS84" si="1215">AP84</f>
        <v>294568</v>
      </c>
      <c r="AR84" s="44">
        <f t="shared" si="1215"/>
        <v>294568</v>
      </c>
      <c r="AS84" s="44">
        <f t="shared" si="1215"/>
        <v>294568</v>
      </c>
      <c r="AT84" s="44">
        <f>ROUND(AS84*(1+取值表!$D$10)*取值表!$H$10,0)</f>
        <v>296373</v>
      </c>
      <c r="AU84" s="44">
        <f t="shared" ref="AU84:AW84" si="1216">AT84</f>
        <v>296373</v>
      </c>
      <c r="AV84" s="44">
        <f t="shared" si="1216"/>
        <v>296373</v>
      </c>
      <c r="AW84" s="44">
        <f t="shared" si="1216"/>
        <v>296373</v>
      </c>
      <c r="AX84" s="44">
        <f>ROUND(AW84*(1+取值表!$D$10)*取值表!$H$10,0)</f>
        <v>298190</v>
      </c>
      <c r="AY84" s="44">
        <f t="shared" ref="AY84:BA84" si="1217">AX84</f>
        <v>298190</v>
      </c>
      <c r="AZ84" s="44">
        <f t="shared" si="1217"/>
        <v>298190</v>
      </c>
      <c r="BA84" s="44">
        <f t="shared" si="1217"/>
        <v>298190</v>
      </c>
      <c r="BB84" s="44">
        <f>ROUND(BA84*(1+取值表!$D$10)*取值表!$H$10,0)</f>
        <v>300018</v>
      </c>
      <c r="BC84" s="44">
        <f t="shared" ref="BC84:BE84" si="1218">BB84</f>
        <v>300018</v>
      </c>
      <c r="BD84" s="44">
        <f t="shared" si="1218"/>
        <v>300018</v>
      </c>
      <c r="BE84" s="44">
        <f t="shared" si="1218"/>
        <v>300018</v>
      </c>
      <c r="BF84" s="44">
        <f>ROUND(BE84*(1+取值表!$D$10)*取值表!$H$10,0)</f>
        <v>301857</v>
      </c>
      <c r="BG84" s="44">
        <f t="shared" ref="BG84:BI84" si="1219">BF84</f>
        <v>301857</v>
      </c>
      <c r="BH84" s="44">
        <f t="shared" si="1219"/>
        <v>301857</v>
      </c>
      <c r="BI84" s="44">
        <f t="shared" si="1219"/>
        <v>301857</v>
      </c>
      <c r="BJ84" s="44">
        <f>ROUND(BI84*(1+取值表!$D$10)*取值表!$H$10,0)</f>
        <v>303707</v>
      </c>
      <c r="BK84" s="44">
        <f t="shared" ref="BK84:BM84" si="1220">BJ84</f>
        <v>303707</v>
      </c>
      <c r="BL84" s="44">
        <f t="shared" si="1220"/>
        <v>303707</v>
      </c>
      <c r="BM84" s="44">
        <f t="shared" si="1220"/>
        <v>303707</v>
      </c>
      <c r="BN84" s="44">
        <f>ROUND(BM84*(1+取值表!$D$10)*取值表!$H$10,0)</f>
        <v>305568</v>
      </c>
      <c r="BO84" s="44">
        <f t="shared" ref="BO84:BQ84" si="1221">BN84</f>
        <v>305568</v>
      </c>
      <c r="BP84" s="44">
        <f t="shared" si="1221"/>
        <v>305568</v>
      </c>
      <c r="BQ84" s="44">
        <f t="shared" si="1221"/>
        <v>305568</v>
      </c>
      <c r="BR84" s="44">
        <f>ROUND(BQ84*(1+取值表!$D$10)*取值表!$H$10,0)</f>
        <v>307441</v>
      </c>
      <c r="BS84" s="44">
        <f t="shared" ref="BS84:BU84" si="1222">BR84</f>
        <v>307441</v>
      </c>
      <c r="BT84" s="44">
        <f t="shared" si="1222"/>
        <v>307441</v>
      </c>
      <c r="BU84" s="44">
        <f t="shared" si="1222"/>
        <v>307441</v>
      </c>
      <c r="BV84" s="44">
        <f>ROUND(BU84*(1+取值表!$D$10)*取值表!$H$10,0)</f>
        <v>309325</v>
      </c>
      <c r="BW84" s="44">
        <f t="shared" ref="BW84:BY84" si="1223">BV84</f>
        <v>309325</v>
      </c>
      <c r="BX84" s="44">
        <f t="shared" si="1223"/>
        <v>309325</v>
      </c>
      <c r="BY84" s="44">
        <f t="shared" si="1223"/>
        <v>309325</v>
      </c>
      <c r="BZ84" s="44">
        <f>ROUND(BY84*(1+取值表!$D$10)*取值表!$H$10,0)</f>
        <v>311221</v>
      </c>
      <c r="CA84" s="44">
        <f t="shared" ref="CA84:CC84" si="1224">BZ84</f>
        <v>311221</v>
      </c>
      <c r="CB84" s="44">
        <f t="shared" si="1224"/>
        <v>311221</v>
      </c>
      <c r="CC84" s="44">
        <f t="shared" si="1224"/>
        <v>311221</v>
      </c>
      <c r="CD84" s="44">
        <f>ROUND(CC84*(1+取值表!$D$10)*取值表!$H$10,0)</f>
        <v>313129</v>
      </c>
      <c r="CE84" s="44">
        <f t="shared" ref="CE84:CG84" si="1225">CD84</f>
        <v>313129</v>
      </c>
      <c r="CF84" s="44">
        <f t="shared" si="1225"/>
        <v>313129</v>
      </c>
      <c r="CG84" s="44">
        <f t="shared" si="1225"/>
        <v>313129</v>
      </c>
      <c r="CH84" s="44">
        <f>ROUND(CG84*(1+取值表!$D$10)*取值表!$H$10,0)</f>
        <v>315048</v>
      </c>
      <c r="CI84" s="44">
        <f t="shared" ref="CI84:CK84" si="1226">CH84</f>
        <v>315048</v>
      </c>
      <c r="CJ84" s="44">
        <f t="shared" si="1226"/>
        <v>315048</v>
      </c>
      <c r="CK84" s="44">
        <f t="shared" si="1226"/>
        <v>315048</v>
      </c>
      <c r="CL84" s="44">
        <f>ROUND(CK84*(1+取值表!$D$10)*取值表!$H$10,0)</f>
        <v>316979</v>
      </c>
      <c r="CM84" s="44">
        <f t="shared" ref="CM84:CO84" si="1227">CL84</f>
        <v>316979</v>
      </c>
      <c r="CN84" s="44">
        <f t="shared" si="1227"/>
        <v>316979</v>
      </c>
      <c r="CO84" s="44">
        <f t="shared" si="1227"/>
        <v>316979</v>
      </c>
      <c r="CP84" s="44">
        <f>ROUND(CO84*(1+取值表!$D$10)*取值表!$H$10,0)</f>
        <v>318922</v>
      </c>
      <c r="CQ84" s="44">
        <f t="shared" ref="CQ84" si="1228">CP84</f>
        <v>318922</v>
      </c>
      <c r="CR84" s="44">
        <f t="shared" ref="CR84" si="1229">CQ84</f>
        <v>318922</v>
      </c>
      <c r="CS84" s="44">
        <f t="shared" ref="CS84" si="1230">CR84</f>
        <v>318922</v>
      </c>
      <c r="CT84" s="44">
        <f>ROUND(CS84*(1+取值表!$D$10)*取值表!$H$10,0)</f>
        <v>320877</v>
      </c>
      <c r="CU84" s="44">
        <f t="shared" ref="CU84" si="1231">CT84</f>
        <v>320877</v>
      </c>
      <c r="CV84" s="44">
        <f t="shared" ref="CV84" si="1232">CU84</f>
        <v>320877</v>
      </c>
      <c r="CW84" s="44">
        <f t="shared" ref="CW84" si="1233">CV84</f>
        <v>320877</v>
      </c>
      <c r="CX84" s="44">
        <f>ROUND(CW84*(1+取值表!$D$10)*取值表!$H$10,0)</f>
        <v>322844</v>
      </c>
      <c r="CY84" s="44">
        <f t="shared" ref="CY84" si="1234">CX84</f>
        <v>322844</v>
      </c>
      <c r="CZ84" s="44">
        <f t="shared" ref="CZ84" si="1235">CY84</f>
        <v>322844</v>
      </c>
      <c r="DA84" s="44">
        <f t="shared" ref="DA84" si="1236">CZ84</f>
        <v>322844</v>
      </c>
      <c r="DB84" s="44">
        <f>ROUND(DA84*(1+取值表!$D$10)*取值表!$H$10,0)</f>
        <v>324823</v>
      </c>
      <c r="DC84" s="44">
        <f t="shared" ref="DC84" si="1237">DB84</f>
        <v>324823</v>
      </c>
      <c r="DD84" s="44">
        <f t="shared" ref="DD84" si="1238">DC84</f>
        <v>324823</v>
      </c>
      <c r="DE84" s="44">
        <f t="shared" ref="DE84" si="1239">DD84</f>
        <v>324823</v>
      </c>
      <c r="DF84" s="45">
        <f t="shared" si="969"/>
        <v>30221848</v>
      </c>
    </row>
    <row r="85" spans="1:228" s="40" customFormat="1" ht="12">
      <c r="A85" s="505"/>
      <c r="B85" s="535"/>
      <c r="C85" s="531"/>
      <c r="D85" s="533"/>
      <c r="E85" s="515"/>
      <c r="F85" s="525"/>
      <c r="G85" s="525"/>
      <c r="H85" s="527"/>
      <c r="I85" s="41"/>
      <c r="J85" s="42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5">
        <f t="shared" si="969"/>
        <v>0</v>
      </c>
    </row>
    <row r="86" spans="1:228" s="40" customFormat="1" ht="12" customHeight="1">
      <c r="A86" s="504">
        <v>43</v>
      </c>
      <c r="B86" s="534" t="s">
        <v>110</v>
      </c>
      <c r="C86" s="530" t="s">
        <v>30</v>
      </c>
      <c r="D86" s="532" t="s">
        <v>461</v>
      </c>
      <c r="E86" s="514" t="s">
        <v>459</v>
      </c>
      <c r="F86" s="524">
        <v>125.62</v>
      </c>
      <c r="G86" s="524">
        <v>23</v>
      </c>
      <c r="H86" s="526">
        <f>F86*G86*365</f>
        <v>1054579.9000000001</v>
      </c>
      <c r="I86" s="41">
        <v>244502.06</v>
      </c>
      <c r="J86" s="42">
        <f>ROUND(G86*F86*365/4,0)</f>
        <v>263645</v>
      </c>
      <c r="K86" s="43">
        <f>J86</f>
        <v>263645</v>
      </c>
      <c r="L86" s="44">
        <f>K86</f>
        <v>263645</v>
      </c>
      <c r="M86" s="44">
        <f>L86</f>
        <v>263645</v>
      </c>
      <c r="N86" s="44">
        <f>ROUND(M86*(1+取值表!$D$10)*取值表!$H$10,0)</f>
        <v>265261</v>
      </c>
      <c r="O86" s="44">
        <f>N86</f>
        <v>265261</v>
      </c>
      <c r="P86" s="44">
        <f>O86</f>
        <v>265261</v>
      </c>
      <c r="Q86" s="44">
        <f>P86</f>
        <v>265261</v>
      </c>
      <c r="R86" s="44">
        <f>ROUND(Q86*(1+取值表!$D$10)*取值表!$H$10,0)</f>
        <v>266887</v>
      </c>
      <c r="S86" s="44">
        <f>R86</f>
        <v>266887</v>
      </c>
      <c r="T86" s="44">
        <f>S86</f>
        <v>266887</v>
      </c>
      <c r="U86" s="44">
        <f>T86</f>
        <v>266887</v>
      </c>
      <c r="V86" s="44">
        <f t="shared" ref="V86" si="1240">U86</f>
        <v>266887</v>
      </c>
      <c r="W86" s="44">
        <f>ROUND(V86*(1+取值表!$D$10)*取值表!$H$10,0)</f>
        <v>268523</v>
      </c>
      <c r="X86" s="44">
        <f t="shared" ref="X86:AA86" si="1241">W86</f>
        <v>268523</v>
      </c>
      <c r="Y86" s="44">
        <f t="shared" si="1241"/>
        <v>268523</v>
      </c>
      <c r="Z86" s="44">
        <f t="shared" si="1241"/>
        <v>268523</v>
      </c>
      <c r="AA86" s="44">
        <f t="shared" si="1241"/>
        <v>268523</v>
      </c>
      <c r="AB86" s="44">
        <f>ROUND(AA86*(1+取值表!$D$10)*取值表!$H$10,0)</f>
        <v>270169</v>
      </c>
      <c r="AC86" s="44">
        <f t="shared" ref="AC86:AF86" si="1242">AB86</f>
        <v>270169</v>
      </c>
      <c r="AD86" s="44">
        <f t="shared" si="1242"/>
        <v>270169</v>
      </c>
      <c r="AE86" s="44">
        <f t="shared" si="1242"/>
        <v>270169</v>
      </c>
      <c r="AF86" s="44">
        <f t="shared" si="1242"/>
        <v>270169</v>
      </c>
      <c r="AG86" s="44">
        <f>ROUND(AF86*(1+取值表!$D$10)*取值表!$H$10,0)</f>
        <v>271825</v>
      </c>
      <c r="AH86" s="44">
        <f t="shared" ref="AH86:AK86" si="1243">AG86</f>
        <v>271825</v>
      </c>
      <c r="AI86" s="44">
        <f t="shared" si="1243"/>
        <v>271825</v>
      </c>
      <c r="AJ86" s="44">
        <f t="shared" si="1243"/>
        <v>271825</v>
      </c>
      <c r="AK86" s="44">
        <f t="shared" si="1243"/>
        <v>271825</v>
      </c>
      <c r="AL86" s="44">
        <f>ROUND(AK86*(1+取值表!$D$10)*取值表!$H$10,0)</f>
        <v>273491</v>
      </c>
      <c r="AM86" s="44">
        <f t="shared" ref="AM86:AP86" si="1244">AL86</f>
        <v>273491</v>
      </c>
      <c r="AN86" s="44">
        <f t="shared" si="1244"/>
        <v>273491</v>
      </c>
      <c r="AO86" s="44">
        <f t="shared" si="1244"/>
        <v>273491</v>
      </c>
      <c r="AP86" s="44">
        <f t="shared" si="1244"/>
        <v>273491</v>
      </c>
      <c r="AQ86" s="44">
        <f>ROUND(AP86*(1+取值表!$D$10)*取值表!$H$10,0)</f>
        <v>275167</v>
      </c>
      <c r="AR86" s="44">
        <f t="shared" ref="AR86:AU86" si="1245">AQ86</f>
        <v>275167</v>
      </c>
      <c r="AS86" s="44">
        <f t="shared" si="1245"/>
        <v>275167</v>
      </c>
      <c r="AT86" s="44">
        <f t="shared" si="1245"/>
        <v>275167</v>
      </c>
      <c r="AU86" s="44">
        <f t="shared" si="1245"/>
        <v>275167</v>
      </c>
      <c r="AV86" s="44">
        <f>ROUND(AU86*(1+取值表!$D$10)*取值表!$H$10,0)</f>
        <v>276854</v>
      </c>
      <c r="AW86" s="44">
        <f t="shared" ref="AW86:AZ86" si="1246">AV86</f>
        <v>276854</v>
      </c>
      <c r="AX86" s="44">
        <f t="shared" si="1246"/>
        <v>276854</v>
      </c>
      <c r="AY86" s="44">
        <f t="shared" si="1246"/>
        <v>276854</v>
      </c>
      <c r="AZ86" s="44">
        <f t="shared" si="1246"/>
        <v>276854</v>
      </c>
      <c r="BA86" s="44">
        <f>ROUND(AZ86*(1+取值表!$D$10)*取值表!$H$10,0)</f>
        <v>278551</v>
      </c>
      <c r="BB86" s="44">
        <f t="shared" ref="BB86:BE86" si="1247">BA86</f>
        <v>278551</v>
      </c>
      <c r="BC86" s="44">
        <f t="shared" si="1247"/>
        <v>278551</v>
      </c>
      <c r="BD86" s="44">
        <f t="shared" si="1247"/>
        <v>278551</v>
      </c>
      <c r="BE86" s="44">
        <f t="shared" si="1247"/>
        <v>278551</v>
      </c>
      <c r="BF86" s="44">
        <f>ROUND(BE86*(1+取值表!$D$10)*取值表!$H$10,0)</f>
        <v>280258</v>
      </c>
      <c r="BG86" s="44">
        <f t="shared" ref="BG86:BJ86" si="1248">BF86</f>
        <v>280258</v>
      </c>
      <c r="BH86" s="44">
        <f t="shared" si="1248"/>
        <v>280258</v>
      </c>
      <c r="BI86" s="44">
        <f t="shared" si="1248"/>
        <v>280258</v>
      </c>
      <c r="BJ86" s="44">
        <f t="shared" si="1248"/>
        <v>280258</v>
      </c>
      <c r="BK86" s="44">
        <f>ROUND(BJ86*(1+取值表!$D$10)*取值表!$H$10,0)</f>
        <v>281976</v>
      </c>
      <c r="BL86" s="44">
        <f t="shared" ref="BL86:BO86" si="1249">BK86</f>
        <v>281976</v>
      </c>
      <c r="BM86" s="44">
        <f t="shared" si="1249"/>
        <v>281976</v>
      </c>
      <c r="BN86" s="44">
        <f t="shared" si="1249"/>
        <v>281976</v>
      </c>
      <c r="BO86" s="44">
        <f t="shared" si="1249"/>
        <v>281976</v>
      </c>
      <c r="BP86" s="44">
        <f>ROUND(BO86*(1+取值表!$D$10)*取值表!$H$10,0)</f>
        <v>283704</v>
      </c>
      <c r="BQ86" s="44">
        <f t="shared" ref="BQ86:BT86" si="1250">BP86</f>
        <v>283704</v>
      </c>
      <c r="BR86" s="44">
        <f t="shared" si="1250"/>
        <v>283704</v>
      </c>
      <c r="BS86" s="44">
        <f t="shared" si="1250"/>
        <v>283704</v>
      </c>
      <c r="BT86" s="44">
        <f t="shared" si="1250"/>
        <v>283704</v>
      </c>
      <c r="BU86" s="44">
        <f>ROUND(BT86*(1+取值表!$D$10)*取值表!$H$10,0)</f>
        <v>285443</v>
      </c>
      <c r="BV86" s="44">
        <f t="shared" ref="BV86:BY86" si="1251">BU86</f>
        <v>285443</v>
      </c>
      <c r="BW86" s="44">
        <f t="shared" si="1251"/>
        <v>285443</v>
      </c>
      <c r="BX86" s="44">
        <f t="shared" si="1251"/>
        <v>285443</v>
      </c>
      <c r="BY86" s="44">
        <f t="shared" si="1251"/>
        <v>285443</v>
      </c>
      <c r="BZ86" s="44">
        <f>ROUND(BY86*(1+取值表!$D$10)*取值表!$H$10,0)</f>
        <v>287193</v>
      </c>
      <c r="CA86" s="44">
        <f t="shared" ref="CA86:CD86" si="1252">BZ86</f>
        <v>287193</v>
      </c>
      <c r="CB86" s="44">
        <f t="shared" si="1252"/>
        <v>287193</v>
      </c>
      <c r="CC86" s="44">
        <f t="shared" si="1252"/>
        <v>287193</v>
      </c>
      <c r="CD86" s="44">
        <f t="shared" si="1252"/>
        <v>287193</v>
      </c>
      <c r="CE86" s="44">
        <f>ROUND(CD86*(1+取值表!$D$10)*取值表!$H$10,0)</f>
        <v>288953</v>
      </c>
      <c r="CF86" s="44">
        <f t="shared" ref="CF86:CI86" si="1253">CE86</f>
        <v>288953</v>
      </c>
      <c r="CG86" s="44">
        <f t="shared" si="1253"/>
        <v>288953</v>
      </c>
      <c r="CH86" s="44">
        <f t="shared" si="1253"/>
        <v>288953</v>
      </c>
      <c r="CI86" s="44">
        <f t="shared" si="1253"/>
        <v>288953</v>
      </c>
      <c r="CJ86" s="44">
        <f>ROUND(CI86*(1+取值表!$D$10)*取值表!$H$10,0)</f>
        <v>290724</v>
      </c>
      <c r="CK86" s="44">
        <f t="shared" ref="CK86:CN86" si="1254">CJ86</f>
        <v>290724</v>
      </c>
      <c r="CL86" s="44">
        <f t="shared" si="1254"/>
        <v>290724</v>
      </c>
      <c r="CM86" s="44">
        <f t="shared" si="1254"/>
        <v>290724</v>
      </c>
      <c r="CN86" s="44">
        <f t="shared" si="1254"/>
        <v>290724</v>
      </c>
      <c r="CO86" s="44">
        <f>ROUND(CN86*(1+取值表!$D$10)*取值表!$H$10,0)</f>
        <v>292506</v>
      </c>
      <c r="CP86" s="44">
        <f t="shared" ref="CP86" si="1255">CO86</f>
        <v>292506</v>
      </c>
      <c r="CQ86" s="44">
        <f t="shared" ref="CQ86" si="1256">CP86</f>
        <v>292506</v>
      </c>
      <c r="CR86" s="44">
        <f t="shared" ref="CR86" si="1257">CQ86</f>
        <v>292506</v>
      </c>
      <c r="CS86" s="44">
        <f>ROUND(CR86*(1+取值表!$D$10)*取值表!$H$10,0)</f>
        <v>294299</v>
      </c>
      <c r="CT86" s="44">
        <f t="shared" ref="CT86" si="1258">CS86</f>
        <v>294299</v>
      </c>
      <c r="CU86" s="44">
        <f t="shared" ref="CU86" si="1259">CT86</f>
        <v>294299</v>
      </c>
      <c r="CV86" s="44">
        <f t="shared" ref="CV86" si="1260">CU86</f>
        <v>294299</v>
      </c>
      <c r="CW86" s="44">
        <f>ROUND(CV86*(1+取值表!$D$10)*取值表!$H$10,0)</f>
        <v>296103</v>
      </c>
      <c r="CX86" s="44">
        <f t="shared" ref="CX86" si="1261">CW86</f>
        <v>296103</v>
      </c>
      <c r="CY86" s="44">
        <f t="shared" ref="CY86" si="1262">CX86</f>
        <v>296103</v>
      </c>
      <c r="CZ86" s="44">
        <f t="shared" ref="CZ86" si="1263">CY86</f>
        <v>296103</v>
      </c>
      <c r="DA86" s="44">
        <f>ROUND(CZ86*(1+取值表!$D$10)*取值表!$H$10,0)</f>
        <v>297918</v>
      </c>
      <c r="DB86" s="44">
        <f t="shared" ref="DB86" si="1264">DA86</f>
        <v>297918</v>
      </c>
      <c r="DC86" s="44">
        <f t="shared" ref="DC86" si="1265">DB86</f>
        <v>297918</v>
      </c>
      <c r="DD86" s="44">
        <f t="shared" ref="DD86" si="1266">DC86</f>
        <v>297918</v>
      </c>
      <c r="DE86" s="44">
        <f>ROUND(DD86*(1+取值表!$D$10)*取值表!$H$10,0)</f>
        <v>299744</v>
      </c>
      <c r="DF86" s="45">
        <f t="shared" si="969"/>
        <v>28037262</v>
      </c>
    </row>
    <row r="87" spans="1:228" s="40" customFormat="1" ht="12">
      <c r="A87" s="505"/>
      <c r="B87" s="535"/>
      <c r="C87" s="531"/>
      <c r="D87" s="533"/>
      <c r="E87" s="515"/>
      <c r="F87" s="525"/>
      <c r="G87" s="525"/>
      <c r="H87" s="527"/>
      <c r="I87" s="41"/>
      <c r="J87" s="42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/>
      <c r="DD87" s="44"/>
      <c r="DE87" s="44"/>
      <c r="DF87" s="45">
        <f t="shared" si="969"/>
        <v>0</v>
      </c>
    </row>
    <row r="88" spans="1:228" s="40" customFormat="1" ht="12" customHeight="1">
      <c r="A88" s="504">
        <v>44</v>
      </c>
      <c r="B88" s="534" t="s">
        <v>111</v>
      </c>
      <c r="C88" s="530" t="s">
        <v>112</v>
      </c>
      <c r="D88" s="532" t="s">
        <v>462</v>
      </c>
      <c r="E88" s="514" t="s">
        <v>459</v>
      </c>
      <c r="F88" s="524">
        <v>120.81</v>
      </c>
      <c r="G88" s="524">
        <f>AVERAGE(20,22)</f>
        <v>21</v>
      </c>
      <c r="H88" s="526">
        <f>F88*G88*365</f>
        <v>926008.65</v>
      </c>
      <c r="I88" s="41">
        <v>224116.14</v>
      </c>
      <c r="J88" s="42">
        <f>ROUND(20*365*F88/4,0)</f>
        <v>220478</v>
      </c>
      <c r="K88" s="44">
        <f>J88</f>
        <v>220478</v>
      </c>
      <c r="L88" s="44">
        <f>K88</f>
        <v>220478</v>
      </c>
      <c r="M88" s="44">
        <f>ROUND(22*365*F88/4,0)</f>
        <v>242526</v>
      </c>
      <c r="N88" s="44">
        <f>M88</f>
        <v>242526</v>
      </c>
      <c r="O88" s="44">
        <f>N88</f>
        <v>242526</v>
      </c>
      <c r="P88" s="43">
        <f>O88</f>
        <v>242526</v>
      </c>
      <c r="Q88" s="44">
        <f>P88</f>
        <v>242526</v>
      </c>
      <c r="R88" s="44">
        <f>ROUND(Q88*(1+取值表!$D$10)*取值表!$H$10,0)</f>
        <v>244012</v>
      </c>
      <c r="S88" s="44">
        <f>R88</f>
        <v>244012</v>
      </c>
      <c r="T88" s="44">
        <f>S88</f>
        <v>244012</v>
      </c>
      <c r="U88" s="44">
        <f>T88</f>
        <v>244012</v>
      </c>
      <c r="V88" s="44">
        <f t="shared" ref="V88" si="1267">U88</f>
        <v>244012</v>
      </c>
      <c r="W88" s="44">
        <f>ROUND(V88*(1+取值表!$D$10)*取值表!$H$10,0)</f>
        <v>245508</v>
      </c>
      <c r="X88" s="44">
        <f t="shared" ref="X88:AA88" si="1268">W88</f>
        <v>245508</v>
      </c>
      <c r="Y88" s="44">
        <f t="shared" si="1268"/>
        <v>245508</v>
      </c>
      <c r="Z88" s="44">
        <f t="shared" si="1268"/>
        <v>245508</v>
      </c>
      <c r="AA88" s="44">
        <f t="shared" si="1268"/>
        <v>245508</v>
      </c>
      <c r="AB88" s="44">
        <f>ROUND(AA88*(1+取值表!$D$10)*取值表!$H$10,0)</f>
        <v>247013</v>
      </c>
      <c r="AC88" s="44">
        <f t="shared" ref="AC88:AF88" si="1269">AB88</f>
        <v>247013</v>
      </c>
      <c r="AD88" s="44">
        <f t="shared" si="1269"/>
        <v>247013</v>
      </c>
      <c r="AE88" s="44">
        <f t="shared" si="1269"/>
        <v>247013</v>
      </c>
      <c r="AF88" s="44">
        <f t="shared" si="1269"/>
        <v>247013</v>
      </c>
      <c r="AG88" s="44">
        <f>ROUND(AF88*(1+取值表!$D$10)*取值表!$H$10,0)</f>
        <v>248527</v>
      </c>
      <c r="AH88" s="44">
        <f t="shared" ref="AH88:AK88" si="1270">AG88</f>
        <v>248527</v>
      </c>
      <c r="AI88" s="44">
        <f t="shared" si="1270"/>
        <v>248527</v>
      </c>
      <c r="AJ88" s="44">
        <f t="shared" si="1270"/>
        <v>248527</v>
      </c>
      <c r="AK88" s="44">
        <f t="shared" si="1270"/>
        <v>248527</v>
      </c>
      <c r="AL88" s="44">
        <f>ROUND(AK88*(1+取值表!$D$10)*取值表!$H$10,0)</f>
        <v>250050</v>
      </c>
      <c r="AM88" s="44">
        <f t="shared" ref="AM88:AP88" si="1271">AL88</f>
        <v>250050</v>
      </c>
      <c r="AN88" s="44">
        <f t="shared" si="1271"/>
        <v>250050</v>
      </c>
      <c r="AO88" s="44">
        <f t="shared" si="1271"/>
        <v>250050</v>
      </c>
      <c r="AP88" s="44">
        <f t="shared" si="1271"/>
        <v>250050</v>
      </c>
      <c r="AQ88" s="44">
        <f>ROUND(AP88*(1+取值表!$D$10)*取值表!$H$10,0)</f>
        <v>251583</v>
      </c>
      <c r="AR88" s="44">
        <f t="shared" ref="AR88:AU88" si="1272">AQ88</f>
        <v>251583</v>
      </c>
      <c r="AS88" s="44">
        <f t="shared" si="1272"/>
        <v>251583</v>
      </c>
      <c r="AT88" s="44">
        <f t="shared" si="1272"/>
        <v>251583</v>
      </c>
      <c r="AU88" s="44">
        <f t="shared" si="1272"/>
        <v>251583</v>
      </c>
      <c r="AV88" s="44">
        <f>ROUND(AU88*(1+取值表!$D$10)*取值表!$H$10,0)</f>
        <v>253125</v>
      </c>
      <c r="AW88" s="44">
        <f t="shared" ref="AW88:AZ88" si="1273">AV88</f>
        <v>253125</v>
      </c>
      <c r="AX88" s="44">
        <f t="shared" si="1273"/>
        <v>253125</v>
      </c>
      <c r="AY88" s="44">
        <f t="shared" si="1273"/>
        <v>253125</v>
      </c>
      <c r="AZ88" s="44">
        <f t="shared" si="1273"/>
        <v>253125</v>
      </c>
      <c r="BA88" s="44">
        <f>ROUND(AZ88*(1+取值表!$D$10)*取值表!$H$10,0)</f>
        <v>254676</v>
      </c>
      <c r="BB88" s="44">
        <f t="shared" ref="BB88:BE88" si="1274">BA88</f>
        <v>254676</v>
      </c>
      <c r="BC88" s="44">
        <f t="shared" si="1274"/>
        <v>254676</v>
      </c>
      <c r="BD88" s="44">
        <f t="shared" si="1274"/>
        <v>254676</v>
      </c>
      <c r="BE88" s="44">
        <f t="shared" si="1274"/>
        <v>254676</v>
      </c>
      <c r="BF88" s="44">
        <f>ROUND(BE88*(1+取值表!$D$10)*取值表!$H$10,0)</f>
        <v>256237</v>
      </c>
      <c r="BG88" s="44">
        <f t="shared" ref="BG88:BJ88" si="1275">BF88</f>
        <v>256237</v>
      </c>
      <c r="BH88" s="44">
        <f t="shared" si="1275"/>
        <v>256237</v>
      </c>
      <c r="BI88" s="44">
        <f t="shared" si="1275"/>
        <v>256237</v>
      </c>
      <c r="BJ88" s="44">
        <f t="shared" si="1275"/>
        <v>256237</v>
      </c>
      <c r="BK88" s="44">
        <f>ROUND(BJ88*(1+取值表!$D$10)*取值表!$H$10,0)</f>
        <v>257808</v>
      </c>
      <c r="BL88" s="44">
        <f t="shared" ref="BL88:BO88" si="1276">BK88</f>
        <v>257808</v>
      </c>
      <c r="BM88" s="44">
        <f t="shared" si="1276"/>
        <v>257808</v>
      </c>
      <c r="BN88" s="44">
        <f t="shared" si="1276"/>
        <v>257808</v>
      </c>
      <c r="BO88" s="44">
        <f t="shared" si="1276"/>
        <v>257808</v>
      </c>
      <c r="BP88" s="44">
        <f>ROUND(BO88*(1+取值表!$D$10)*取值表!$H$10,0)</f>
        <v>259388</v>
      </c>
      <c r="BQ88" s="44">
        <f t="shared" ref="BQ88:BT88" si="1277">BP88</f>
        <v>259388</v>
      </c>
      <c r="BR88" s="44">
        <f t="shared" si="1277"/>
        <v>259388</v>
      </c>
      <c r="BS88" s="44">
        <f t="shared" si="1277"/>
        <v>259388</v>
      </c>
      <c r="BT88" s="44">
        <f t="shared" si="1277"/>
        <v>259388</v>
      </c>
      <c r="BU88" s="44">
        <f>ROUND(BT88*(1+取值表!$D$10)*取值表!$H$10,0)</f>
        <v>260978</v>
      </c>
      <c r="BV88" s="44">
        <f t="shared" ref="BV88:BY88" si="1278">BU88</f>
        <v>260978</v>
      </c>
      <c r="BW88" s="44">
        <f t="shared" si="1278"/>
        <v>260978</v>
      </c>
      <c r="BX88" s="44">
        <f t="shared" si="1278"/>
        <v>260978</v>
      </c>
      <c r="BY88" s="44">
        <f t="shared" si="1278"/>
        <v>260978</v>
      </c>
      <c r="BZ88" s="44">
        <f>ROUND(BY88*(1+取值表!$D$10)*取值表!$H$10,0)</f>
        <v>262578</v>
      </c>
      <c r="CA88" s="44">
        <f t="shared" ref="CA88:CD88" si="1279">BZ88</f>
        <v>262578</v>
      </c>
      <c r="CB88" s="44">
        <f t="shared" si="1279"/>
        <v>262578</v>
      </c>
      <c r="CC88" s="44">
        <f t="shared" si="1279"/>
        <v>262578</v>
      </c>
      <c r="CD88" s="44">
        <f t="shared" si="1279"/>
        <v>262578</v>
      </c>
      <c r="CE88" s="44">
        <f>ROUND(CD88*(1+取值表!$D$10)*取值表!$H$10,0)</f>
        <v>264187</v>
      </c>
      <c r="CF88" s="44">
        <f t="shared" ref="CF88:CI88" si="1280">CE88</f>
        <v>264187</v>
      </c>
      <c r="CG88" s="44">
        <f t="shared" si="1280"/>
        <v>264187</v>
      </c>
      <c r="CH88" s="44">
        <f t="shared" si="1280"/>
        <v>264187</v>
      </c>
      <c r="CI88" s="44">
        <f t="shared" si="1280"/>
        <v>264187</v>
      </c>
      <c r="CJ88" s="44">
        <f>ROUND(CI88*(1+取值表!$D$10)*取值表!$H$10,0)</f>
        <v>265806</v>
      </c>
      <c r="CK88" s="44">
        <f t="shared" ref="CK88:CN88" si="1281">CJ88</f>
        <v>265806</v>
      </c>
      <c r="CL88" s="44">
        <f t="shared" si="1281"/>
        <v>265806</v>
      </c>
      <c r="CM88" s="44">
        <f t="shared" si="1281"/>
        <v>265806</v>
      </c>
      <c r="CN88" s="44">
        <f t="shared" si="1281"/>
        <v>265806</v>
      </c>
      <c r="CO88" s="44">
        <f>ROUND(CN88*(1+取值表!$D$10)*取值表!$H$10,0)</f>
        <v>267435</v>
      </c>
      <c r="CP88" s="44">
        <f t="shared" ref="CP88" si="1282">CO88</f>
        <v>267435</v>
      </c>
      <c r="CQ88" s="44">
        <f t="shared" ref="CQ88" si="1283">CP88</f>
        <v>267435</v>
      </c>
      <c r="CR88" s="44">
        <f t="shared" ref="CR88" si="1284">CQ88</f>
        <v>267435</v>
      </c>
      <c r="CS88" s="44">
        <f>ROUND(CR88*(1+取值表!$D$10)*取值表!$H$10,0)</f>
        <v>269074</v>
      </c>
      <c r="CT88" s="44">
        <f t="shared" ref="CT88" si="1285">CS88</f>
        <v>269074</v>
      </c>
      <c r="CU88" s="44">
        <f t="shared" ref="CU88" si="1286">CT88</f>
        <v>269074</v>
      </c>
      <c r="CV88" s="44">
        <f t="shared" ref="CV88" si="1287">CU88</f>
        <v>269074</v>
      </c>
      <c r="CW88" s="44">
        <f>ROUND(CV88*(1+取值表!$D$10)*取值表!$H$10,0)</f>
        <v>270723</v>
      </c>
      <c r="CX88" s="44">
        <f t="shared" ref="CX88" si="1288">CW88</f>
        <v>270723</v>
      </c>
      <c r="CY88" s="44">
        <f t="shared" ref="CY88" si="1289">CX88</f>
        <v>270723</v>
      </c>
      <c r="CZ88" s="44">
        <f t="shared" ref="CZ88" si="1290">CY88</f>
        <v>270723</v>
      </c>
      <c r="DA88" s="44">
        <f>ROUND(CZ88*(1+取值表!$D$10)*取值表!$H$10,0)</f>
        <v>272382</v>
      </c>
      <c r="DB88" s="44">
        <f t="shared" ref="DB88" si="1291">DA88</f>
        <v>272382</v>
      </c>
      <c r="DC88" s="44">
        <f t="shared" ref="DC88" si="1292">DB88</f>
        <v>272382</v>
      </c>
      <c r="DD88" s="44">
        <f t="shared" ref="DD88" si="1293">DC88</f>
        <v>272382</v>
      </c>
      <c r="DE88" s="44">
        <f>ROUND(DD88*(1+取值表!$D$10)*取值表!$H$10,0)</f>
        <v>274051</v>
      </c>
      <c r="DF88" s="45">
        <f t="shared" si="969"/>
        <v>25573951</v>
      </c>
    </row>
    <row r="89" spans="1:228" s="40" customFormat="1" ht="12">
      <c r="A89" s="505"/>
      <c r="B89" s="535"/>
      <c r="C89" s="531"/>
      <c r="D89" s="533"/>
      <c r="E89" s="515"/>
      <c r="F89" s="525"/>
      <c r="G89" s="525"/>
      <c r="H89" s="527"/>
      <c r="I89" s="41"/>
      <c r="J89" s="42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/>
      <c r="DA89" s="44"/>
      <c r="DB89" s="44"/>
      <c r="DC89" s="44"/>
      <c r="DD89" s="44"/>
      <c r="DE89" s="44"/>
      <c r="DF89" s="45">
        <f t="shared" si="969"/>
        <v>0</v>
      </c>
    </row>
    <row r="90" spans="1:228" s="40" customFormat="1" ht="12" customHeight="1">
      <c r="A90" s="504">
        <v>45</v>
      </c>
      <c r="B90" s="534" t="s">
        <v>113</v>
      </c>
      <c r="C90" s="530" t="s">
        <v>114</v>
      </c>
      <c r="D90" s="532" t="s">
        <v>463</v>
      </c>
      <c r="E90" s="514" t="s">
        <v>459</v>
      </c>
      <c r="F90" s="524">
        <v>135.66999999999999</v>
      </c>
      <c r="G90" s="524">
        <v>25.5</v>
      </c>
      <c r="H90" s="526">
        <f>F90*G90*365</f>
        <v>1262748.5249999999</v>
      </c>
      <c r="I90" s="41">
        <v>315687.13</v>
      </c>
      <c r="J90" s="42">
        <f>ROUND(G90*F90*365/4,0)</f>
        <v>315687</v>
      </c>
      <c r="K90" s="44">
        <f t="shared" ref="K90:Q90" si="1294">J90</f>
        <v>315687</v>
      </c>
      <c r="L90" s="44">
        <f t="shared" si="1294"/>
        <v>315687</v>
      </c>
      <c r="M90" s="44">
        <f t="shared" si="1294"/>
        <v>315687</v>
      </c>
      <c r="N90" s="43">
        <f t="shared" si="1294"/>
        <v>315687</v>
      </c>
      <c r="O90" s="44">
        <f t="shared" si="1294"/>
        <v>315687</v>
      </c>
      <c r="P90" s="44">
        <f t="shared" si="1294"/>
        <v>315687</v>
      </c>
      <c r="Q90" s="44">
        <f t="shared" si="1294"/>
        <v>315687</v>
      </c>
      <c r="R90" s="44">
        <f>ROUND(Q90*(1+取值表!$D$10)*取值表!$H$10,0)</f>
        <v>317622</v>
      </c>
      <c r="S90" s="44">
        <f>R90</f>
        <v>317622</v>
      </c>
      <c r="T90" s="44">
        <f>S90</f>
        <v>317622</v>
      </c>
      <c r="U90" s="44">
        <f>T90</f>
        <v>317622</v>
      </c>
      <c r="V90" s="44">
        <f>ROUND(U90*(1+取值表!$D$10)*取值表!$H$10,0)</f>
        <v>319569</v>
      </c>
      <c r="W90" s="44">
        <f t="shared" ref="W90:Y90" si="1295">V90</f>
        <v>319569</v>
      </c>
      <c r="X90" s="44">
        <f t="shared" si="1295"/>
        <v>319569</v>
      </c>
      <c r="Y90" s="44">
        <f t="shared" si="1295"/>
        <v>319569</v>
      </c>
      <c r="Z90" s="44">
        <f>ROUND(Y90*(1+取值表!$D$10)*取值表!$H$10,0)</f>
        <v>321528</v>
      </c>
      <c r="AA90" s="44">
        <f t="shared" ref="AA90:AC90" si="1296">Z90</f>
        <v>321528</v>
      </c>
      <c r="AB90" s="44">
        <f t="shared" si="1296"/>
        <v>321528</v>
      </c>
      <c r="AC90" s="44">
        <f t="shared" si="1296"/>
        <v>321528</v>
      </c>
      <c r="AD90" s="44">
        <f>ROUND(AC90*(1+取值表!$D$10)*取值表!$H$10,0)</f>
        <v>323499</v>
      </c>
      <c r="AE90" s="44">
        <f t="shared" ref="AE90:AG90" si="1297">AD90</f>
        <v>323499</v>
      </c>
      <c r="AF90" s="44">
        <f t="shared" si="1297"/>
        <v>323499</v>
      </c>
      <c r="AG90" s="44">
        <f t="shared" si="1297"/>
        <v>323499</v>
      </c>
      <c r="AH90" s="44">
        <f>ROUND(AG90*(1+取值表!$D$10)*取值表!$H$10,0)</f>
        <v>325482</v>
      </c>
      <c r="AI90" s="44">
        <f t="shared" ref="AI90:AK90" si="1298">AH90</f>
        <v>325482</v>
      </c>
      <c r="AJ90" s="44">
        <f t="shared" si="1298"/>
        <v>325482</v>
      </c>
      <c r="AK90" s="44">
        <f t="shared" si="1298"/>
        <v>325482</v>
      </c>
      <c r="AL90" s="44">
        <f>ROUND(AK90*(1+取值表!$D$10)*取值表!$H$10,0)</f>
        <v>327477</v>
      </c>
      <c r="AM90" s="44">
        <f t="shared" ref="AM90:AO90" si="1299">AL90</f>
        <v>327477</v>
      </c>
      <c r="AN90" s="44">
        <f t="shared" si="1299"/>
        <v>327477</v>
      </c>
      <c r="AO90" s="44">
        <f t="shared" si="1299"/>
        <v>327477</v>
      </c>
      <c r="AP90" s="44">
        <f>ROUND(AO90*(1+取值表!$D$10)*取值表!$H$10,0)</f>
        <v>329484</v>
      </c>
      <c r="AQ90" s="44">
        <f t="shared" ref="AQ90:AS90" si="1300">AP90</f>
        <v>329484</v>
      </c>
      <c r="AR90" s="44">
        <f t="shared" si="1300"/>
        <v>329484</v>
      </c>
      <c r="AS90" s="44">
        <f t="shared" si="1300"/>
        <v>329484</v>
      </c>
      <c r="AT90" s="44">
        <f>ROUND(AS90*(1+取值表!$D$10)*取值表!$H$10,0)</f>
        <v>331503</v>
      </c>
      <c r="AU90" s="44">
        <f t="shared" ref="AU90:AW90" si="1301">AT90</f>
        <v>331503</v>
      </c>
      <c r="AV90" s="44">
        <f t="shared" si="1301"/>
        <v>331503</v>
      </c>
      <c r="AW90" s="44">
        <f t="shared" si="1301"/>
        <v>331503</v>
      </c>
      <c r="AX90" s="44">
        <f>ROUND(AW90*(1+取值表!$D$10)*取值表!$H$10,0)</f>
        <v>333535</v>
      </c>
      <c r="AY90" s="44">
        <f t="shared" ref="AY90:BA90" si="1302">AX90</f>
        <v>333535</v>
      </c>
      <c r="AZ90" s="44">
        <f t="shared" si="1302"/>
        <v>333535</v>
      </c>
      <c r="BA90" s="44">
        <f t="shared" si="1302"/>
        <v>333535</v>
      </c>
      <c r="BB90" s="44">
        <f>ROUND(BA90*(1+取值表!$D$10)*取值表!$H$10,0)</f>
        <v>335579</v>
      </c>
      <c r="BC90" s="44">
        <f t="shared" ref="BC90:BE90" si="1303">BB90</f>
        <v>335579</v>
      </c>
      <c r="BD90" s="44">
        <f t="shared" si="1303"/>
        <v>335579</v>
      </c>
      <c r="BE90" s="44">
        <f t="shared" si="1303"/>
        <v>335579</v>
      </c>
      <c r="BF90" s="44">
        <f>ROUND(BE90*(1+取值表!$D$10)*取值表!$H$10,0)</f>
        <v>337636</v>
      </c>
      <c r="BG90" s="44">
        <f t="shared" ref="BG90:BI90" si="1304">BF90</f>
        <v>337636</v>
      </c>
      <c r="BH90" s="44">
        <f t="shared" si="1304"/>
        <v>337636</v>
      </c>
      <c r="BI90" s="44">
        <f t="shared" si="1304"/>
        <v>337636</v>
      </c>
      <c r="BJ90" s="44">
        <f>ROUND(BI90*(1+取值表!$D$10)*取值表!$H$10,0)</f>
        <v>339705</v>
      </c>
      <c r="BK90" s="44">
        <f t="shared" ref="BK90:BM90" si="1305">BJ90</f>
        <v>339705</v>
      </c>
      <c r="BL90" s="44">
        <f t="shared" si="1305"/>
        <v>339705</v>
      </c>
      <c r="BM90" s="44">
        <f t="shared" si="1305"/>
        <v>339705</v>
      </c>
      <c r="BN90" s="44">
        <f>ROUND(BM90*(1+取值表!$D$10)*取值表!$H$10,0)</f>
        <v>341787</v>
      </c>
      <c r="BO90" s="44">
        <f t="shared" ref="BO90:BQ90" si="1306">BN90</f>
        <v>341787</v>
      </c>
      <c r="BP90" s="44">
        <f t="shared" si="1306"/>
        <v>341787</v>
      </c>
      <c r="BQ90" s="44">
        <f t="shared" si="1306"/>
        <v>341787</v>
      </c>
      <c r="BR90" s="44">
        <f>ROUND(BQ90*(1+取值表!$D$10)*取值表!$H$10,0)</f>
        <v>343882</v>
      </c>
      <c r="BS90" s="44">
        <f t="shared" ref="BS90:BU90" si="1307">BR90</f>
        <v>343882</v>
      </c>
      <c r="BT90" s="44">
        <f t="shared" si="1307"/>
        <v>343882</v>
      </c>
      <c r="BU90" s="44">
        <f t="shared" si="1307"/>
        <v>343882</v>
      </c>
      <c r="BV90" s="44">
        <f>ROUND(BU90*(1+取值表!$D$10)*取值表!$H$10,0)</f>
        <v>345990</v>
      </c>
      <c r="BW90" s="44">
        <f t="shared" ref="BW90:BY90" si="1308">BV90</f>
        <v>345990</v>
      </c>
      <c r="BX90" s="44">
        <f t="shared" si="1308"/>
        <v>345990</v>
      </c>
      <c r="BY90" s="44">
        <f t="shared" si="1308"/>
        <v>345990</v>
      </c>
      <c r="BZ90" s="44">
        <f>ROUND(BY90*(1+取值表!$D$10)*取值表!$H$10,0)</f>
        <v>348111</v>
      </c>
      <c r="CA90" s="44">
        <f t="shared" ref="CA90:CC90" si="1309">BZ90</f>
        <v>348111</v>
      </c>
      <c r="CB90" s="44">
        <f t="shared" si="1309"/>
        <v>348111</v>
      </c>
      <c r="CC90" s="44">
        <f t="shared" si="1309"/>
        <v>348111</v>
      </c>
      <c r="CD90" s="44">
        <f>ROUND(CC90*(1+取值表!$D$10)*取值表!$H$10,0)</f>
        <v>350245</v>
      </c>
      <c r="CE90" s="44">
        <f t="shared" ref="CE90:CG90" si="1310">CD90</f>
        <v>350245</v>
      </c>
      <c r="CF90" s="44">
        <f t="shared" si="1310"/>
        <v>350245</v>
      </c>
      <c r="CG90" s="44">
        <f t="shared" si="1310"/>
        <v>350245</v>
      </c>
      <c r="CH90" s="44">
        <f>ROUND(CG90*(1+取值表!$D$10)*取值表!$H$10,0)</f>
        <v>352392</v>
      </c>
      <c r="CI90" s="44">
        <f t="shared" ref="CI90:CK90" si="1311">CH90</f>
        <v>352392</v>
      </c>
      <c r="CJ90" s="44">
        <f t="shared" si="1311"/>
        <v>352392</v>
      </c>
      <c r="CK90" s="44">
        <f t="shared" si="1311"/>
        <v>352392</v>
      </c>
      <c r="CL90" s="44">
        <f>ROUND(CK90*(1+取值表!$D$10)*取值表!$H$10,0)</f>
        <v>354552</v>
      </c>
      <c r="CM90" s="44">
        <f t="shared" ref="CM90:CO90" si="1312">CL90</f>
        <v>354552</v>
      </c>
      <c r="CN90" s="44">
        <f t="shared" si="1312"/>
        <v>354552</v>
      </c>
      <c r="CO90" s="44">
        <f t="shared" si="1312"/>
        <v>354552</v>
      </c>
      <c r="CP90" s="44">
        <f>ROUND(CO90*(1+取值表!$D$10)*取值表!$H$10,0)</f>
        <v>356725</v>
      </c>
      <c r="CQ90" s="44">
        <f t="shared" ref="CQ90" si="1313">CP90</f>
        <v>356725</v>
      </c>
      <c r="CR90" s="44">
        <f t="shared" ref="CR90" si="1314">CQ90</f>
        <v>356725</v>
      </c>
      <c r="CS90" s="44">
        <f t="shared" ref="CS90" si="1315">CR90</f>
        <v>356725</v>
      </c>
      <c r="CT90" s="44">
        <f>ROUND(CS90*(1+取值表!$D$10)*取值表!$H$10,0)</f>
        <v>358911</v>
      </c>
      <c r="CU90" s="44">
        <f t="shared" ref="CU90" si="1316">CT90</f>
        <v>358911</v>
      </c>
      <c r="CV90" s="44">
        <f t="shared" ref="CV90" si="1317">CU90</f>
        <v>358911</v>
      </c>
      <c r="CW90" s="44">
        <f t="shared" ref="CW90" si="1318">CV90</f>
        <v>358911</v>
      </c>
      <c r="CX90" s="44">
        <f>ROUND(CW90*(1+取值表!$D$10)*取值表!$H$10,0)</f>
        <v>361111</v>
      </c>
      <c r="CY90" s="44">
        <f t="shared" ref="CY90" si="1319">CX90</f>
        <v>361111</v>
      </c>
      <c r="CZ90" s="44">
        <f t="shared" ref="CZ90" si="1320">CY90</f>
        <v>361111</v>
      </c>
      <c r="DA90" s="44">
        <f t="shared" ref="DA90" si="1321">CZ90</f>
        <v>361111</v>
      </c>
      <c r="DB90" s="44">
        <f>ROUND(DA90*(1+取值表!$D$10)*取值表!$H$10,0)</f>
        <v>363324</v>
      </c>
      <c r="DC90" s="44">
        <f t="shared" ref="DC90" si="1322">DB90</f>
        <v>363324</v>
      </c>
      <c r="DD90" s="44">
        <f t="shared" ref="DD90" si="1323">DC90</f>
        <v>363324</v>
      </c>
      <c r="DE90" s="44">
        <f t="shared" ref="DE90" si="1324">DD90</f>
        <v>363324</v>
      </c>
      <c r="DF90" s="45">
        <f t="shared" si="969"/>
        <v>33804092</v>
      </c>
    </row>
    <row r="91" spans="1:228" s="40" customFormat="1" ht="12">
      <c r="A91" s="505"/>
      <c r="B91" s="535"/>
      <c r="C91" s="531"/>
      <c r="D91" s="533"/>
      <c r="E91" s="515"/>
      <c r="F91" s="525"/>
      <c r="G91" s="525"/>
      <c r="H91" s="527"/>
      <c r="I91" s="41"/>
      <c r="J91" s="42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5">
        <f t="shared" si="969"/>
        <v>0</v>
      </c>
    </row>
    <row r="92" spans="1:228" s="40" customFormat="1" ht="12" customHeight="1">
      <c r="A92" s="504">
        <v>46</v>
      </c>
      <c r="B92" s="518" t="s">
        <v>115</v>
      </c>
      <c r="C92" s="450" t="s">
        <v>731</v>
      </c>
      <c r="D92" s="451" t="s">
        <v>464</v>
      </c>
      <c r="E92" s="452" t="s">
        <v>459</v>
      </c>
      <c r="F92" s="446">
        <v>131.33000000000001</v>
      </c>
      <c r="G92" s="446">
        <v>26</v>
      </c>
      <c r="H92" s="447">
        <f>F92*G92*365</f>
        <v>1246321.7000000002</v>
      </c>
      <c r="I92" s="41">
        <v>287612.7</v>
      </c>
      <c r="J92" s="43">
        <f>ROUND(G92*F92*365/4,0)</f>
        <v>311580</v>
      </c>
      <c r="K92" s="44">
        <f>J92</f>
        <v>311580</v>
      </c>
      <c r="L92" s="44">
        <f>K92</f>
        <v>311580</v>
      </c>
      <c r="M92" s="44">
        <f>L92</f>
        <v>311580</v>
      </c>
      <c r="N92" s="44">
        <f>ROUND(M92*(1+取值表!$D$10)*取值表!$H$10,0)</f>
        <v>313490</v>
      </c>
      <c r="O92" s="44">
        <f>N92</f>
        <v>313490</v>
      </c>
      <c r="P92" s="44">
        <f>O92</f>
        <v>313490</v>
      </c>
      <c r="Q92" s="44">
        <f>P92</f>
        <v>313490</v>
      </c>
      <c r="R92" s="44">
        <f>ROUND(Q92*(1+取值表!$D$10)*取值表!$H$10,0)</f>
        <v>315411</v>
      </c>
      <c r="S92" s="44">
        <f t="shared" ref="S92:U92" si="1325">R92</f>
        <v>315411</v>
      </c>
      <c r="T92" s="44">
        <f t="shared" si="1325"/>
        <v>315411</v>
      </c>
      <c r="U92" s="44">
        <f t="shared" si="1325"/>
        <v>315411</v>
      </c>
      <c r="V92" s="44">
        <f>ROUND(U92*(1+取值表!$D$10)*取值表!$H$10,0)</f>
        <v>317344</v>
      </c>
      <c r="W92" s="44">
        <f t="shared" ref="W92:Y92" si="1326">V92</f>
        <v>317344</v>
      </c>
      <c r="X92" s="44">
        <f t="shared" si="1326"/>
        <v>317344</v>
      </c>
      <c r="Y92" s="44">
        <f t="shared" si="1326"/>
        <v>317344</v>
      </c>
      <c r="Z92" s="44">
        <f>ROUND(Y92*(1+取值表!$D$10)*取值表!$H$10,0)</f>
        <v>319289</v>
      </c>
      <c r="AA92" s="44">
        <f t="shared" ref="AA92:AC92" si="1327">Z92</f>
        <v>319289</v>
      </c>
      <c r="AB92" s="44">
        <f t="shared" si="1327"/>
        <v>319289</v>
      </c>
      <c r="AC92" s="44">
        <f t="shared" si="1327"/>
        <v>319289</v>
      </c>
      <c r="AD92" s="44">
        <f>ROUND(AC92*(1+取值表!$D$10)*取值表!$H$10,0)</f>
        <v>321246</v>
      </c>
      <c r="AE92" s="44">
        <f t="shared" ref="AE92:AG92" si="1328">AD92</f>
        <v>321246</v>
      </c>
      <c r="AF92" s="44">
        <f t="shared" si="1328"/>
        <v>321246</v>
      </c>
      <c r="AG92" s="44">
        <f t="shared" si="1328"/>
        <v>321246</v>
      </c>
      <c r="AH92" s="44">
        <f>ROUND(AG92*(1+取值表!$D$10)*取值表!$H$10,0)</f>
        <v>323215</v>
      </c>
      <c r="AI92" s="44">
        <f t="shared" ref="AI92:AK92" si="1329">AH92</f>
        <v>323215</v>
      </c>
      <c r="AJ92" s="44">
        <f t="shared" si="1329"/>
        <v>323215</v>
      </c>
      <c r="AK92" s="44">
        <f t="shared" si="1329"/>
        <v>323215</v>
      </c>
      <c r="AL92" s="44">
        <f>ROUND(AK92*(1+取值表!$D$10)*取值表!$H$10,0)</f>
        <v>325196</v>
      </c>
      <c r="AM92" s="44">
        <f t="shared" ref="AM92:AO92" si="1330">AL92</f>
        <v>325196</v>
      </c>
      <c r="AN92" s="44">
        <f t="shared" si="1330"/>
        <v>325196</v>
      </c>
      <c r="AO92" s="44">
        <f t="shared" si="1330"/>
        <v>325196</v>
      </c>
      <c r="AP92" s="44">
        <f>ROUND(AO92*(1+取值表!$D$10)*取值表!$H$10,0)</f>
        <v>327189</v>
      </c>
      <c r="AQ92" s="44">
        <f t="shared" ref="AQ92:AS92" si="1331">AP92</f>
        <v>327189</v>
      </c>
      <c r="AR92" s="44">
        <f t="shared" si="1331"/>
        <v>327189</v>
      </c>
      <c r="AS92" s="44">
        <f t="shared" si="1331"/>
        <v>327189</v>
      </c>
      <c r="AT92" s="44">
        <f>ROUND(AS92*(1+取值表!$D$10)*取值表!$H$10,0)</f>
        <v>329194</v>
      </c>
      <c r="AU92" s="44">
        <f t="shared" ref="AU92:AW92" si="1332">AT92</f>
        <v>329194</v>
      </c>
      <c r="AV92" s="44">
        <f t="shared" si="1332"/>
        <v>329194</v>
      </c>
      <c r="AW92" s="44">
        <f t="shared" si="1332"/>
        <v>329194</v>
      </c>
      <c r="AX92" s="44">
        <f>ROUND(AW92*(1+取值表!$D$10)*取值表!$H$10,0)</f>
        <v>331212</v>
      </c>
      <c r="AY92" s="44">
        <f t="shared" ref="AY92:BA92" si="1333">AX92</f>
        <v>331212</v>
      </c>
      <c r="AZ92" s="44">
        <f t="shared" si="1333"/>
        <v>331212</v>
      </c>
      <c r="BA92" s="44">
        <f t="shared" si="1333"/>
        <v>331212</v>
      </c>
      <c r="BB92" s="44">
        <f>ROUND(BA92*(1+取值表!$D$10)*取值表!$H$10,0)</f>
        <v>333242</v>
      </c>
      <c r="BC92" s="44">
        <f t="shared" ref="BC92:BE92" si="1334">BB92</f>
        <v>333242</v>
      </c>
      <c r="BD92" s="44">
        <f t="shared" si="1334"/>
        <v>333242</v>
      </c>
      <c r="BE92" s="44">
        <f t="shared" si="1334"/>
        <v>333242</v>
      </c>
      <c r="BF92" s="44">
        <f>ROUND(BE92*(1+取值表!$D$10)*取值表!$H$10,0)</f>
        <v>335284</v>
      </c>
      <c r="BG92" s="44">
        <f t="shared" ref="BG92:BI92" si="1335">BF92</f>
        <v>335284</v>
      </c>
      <c r="BH92" s="44">
        <f t="shared" si="1335"/>
        <v>335284</v>
      </c>
      <c r="BI92" s="44">
        <f t="shared" si="1335"/>
        <v>335284</v>
      </c>
      <c r="BJ92" s="44">
        <f>ROUND(BI92*(1+取值表!$D$10)*取值表!$H$10,0)</f>
        <v>337339</v>
      </c>
      <c r="BK92" s="44">
        <f t="shared" ref="BK92:BM92" si="1336">BJ92</f>
        <v>337339</v>
      </c>
      <c r="BL92" s="44">
        <f t="shared" si="1336"/>
        <v>337339</v>
      </c>
      <c r="BM92" s="44">
        <f t="shared" si="1336"/>
        <v>337339</v>
      </c>
      <c r="BN92" s="44">
        <f>ROUND(BM92*(1+取值表!$D$10)*取值表!$H$10,0)</f>
        <v>339407</v>
      </c>
      <c r="BO92" s="44">
        <f t="shared" ref="BO92:BQ92" si="1337">BN92</f>
        <v>339407</v>
      </c>
      <c r="BP92" s="44">
        <f t="shared" si="1337"/>
        <v>339407</v>
      </c>
      <c r="BQ92" s="44">
        <f t="shared" si="1337"/>
        <v>339407</v>
      </c>
      <c r="BR92" s="44">
        <f>ROUND(BQ92*(1+取值表!$D$10)*取值表!$H$10,0)</f>
        <v>341487</v>
      </c>
      <c r="BS92" s="44">
        <f t="shared" ref="BS92:BU92" si="1338">BR92</f>
        <v>341487</v>
      </c>
      <c r="BT92" s="44">
        <f t="shared" si="1338"/>
        <v>341487</v>
      </c>
      <c r="BU92" s="44">
        <f t="shared" si="1338"/>
        <v>341487</v>
      </c>
      <c r="BV92" s="44">
        <f>ROUND(BU92*(1+取值表!$D$10)*取值表!$H$10,0)</f>
        <v>343580</v>
      </c>
      <c r="BW92" s="44">
        <f t="shared" ref="BW92:BY92" si="1339">BV92</f>
        <v>343580</v>
      </c>
      <c r="BX92" s="44">
        <f t="shared" si="1339"/>
        <v>343580</v>
      </c>
      <c r="BY92" s="44">
        <f t="shared" si="1339"/>
        <v>343580</v>
      </c>
      <c r="BZ92" s="44">
        <f>ROUND(BY92*(1+取值表!$D$10)*取值表!$H$10,0)</f>
        <v>345686</v>
      </c>
      <c r="CA92" s="44">
        <f t="shared" ref="CA92:CC92" si="1340">BZ92</f>
        <v>345686</v>
      </c>
      <c r="CB92" s="44">
        <f t="shared" si="1340"/>
        <v>345686</v>
      </c>
      <c r="CC92" s="44">
        <f t="shared" si="1340"/>
        <v>345686</v>
      </c>
      <c r="CD92" s="44">
        <f>ROUND(CC92*(1+取值表!$D$10)*取值表!$H$10,0)</f>
        <v>347805</v>
      </c>
      <c r="CE92" s="44">
        <f t="shared" ref="CE92:CG92" si="1341">CD92</f>
        <v>347805</v>
      </c>
      <c r="CF92" s="44">
        <f t="shared" si="1341"/>
        <v>347805</v>
      </c>
      <c r="CG92" s="44">
        <f t="shared" si="1341"/>
        <v>347805</v>
      </c>
      <c r="CH92" s="44">
        <f>ROUND(CG92*(1+取值表!$D$10)*取值表!$H$10,0)</f>
        <v>349937</v>
      </c>
      <c r="CI92" s="44">
        <f t="shared" ref="CI92:CK92" si="1342">CH92</f>
        <v>349937</v>
      </c>
      <c r="CJ92" s="44">
        <f t="shared" si="1342"/>
        <v>349937</v>
      </c>
      <c r="CK92" s="44">
        <f t="shared" si="1342"/>
        <v>349937</v>
      </c>
      <c r="CL92" s="44">
        <f>ROUND(CK92*(1+取值表!$D$10)*取值表!$H$10,0)</f>
        <v>352082</v>
      </c>
      <c r="CM92" s="44">
        <f t="shared" ref="CM92:CO92" si="1343">CL92</f>
        <v>352082</v>
      </c>
      <c r="CN92" s="44">
        <f t="shared" si="1343"/>
        <v>352082</v>
      </c>
      <c r="CO92" s="44">
        <f t="shared" si="1343"/>
        <v>352082</v>
      </c>
      <c r="CP92" s="44">
        <f>ROUND(CO92*(1+取值表!$D$10)*取值表!$H$10,0)</f>
        <v>354240</v>
      </c>
      <c r="CQ92" s="44">
        <f t="shared" ref="CQ92" si="1344">CP92</f>
        <v>354240</v>
      </c>
      <c r="CR92" s="44">
        <f t="shared" ref="CR92" si="1345">CQ92</f>
        <v>354240</v>
      </c>
      <c r="CS92" s="44">
        <f t="shared" ref="CS92" si="1346">CR92</f>
        <v>354240</v>
      </c>
      <c r="CT92" s="44">
        <f>ROUND(CS92*(1+取值表!$D$10)*取值表!$H$10,0)</f>
        <v>356411</v>
      </c>
      <c r="CU92" s="44">
        <f t="shared" ref="CU92" si="1347">CT92</f>
        <v>356411</v>
      </c>
      <c r="CV92" s="44">
        <f t="shared" ref="CV92" si="1348">CU92</f>
        <v>356411</v>
      </c>
      <c r="CW92" s="44">
        <f t="shared" ref="CW92" si="1349">CV92</f>
        <v>356411</v>
      </c>
      <c r="CX92" s="44">
        <f>ROUND(CW92*(1+取值表!$D$10)*取值表!$H$10,0)</f>
        <v>358595</v>
      </c>
      <c r="CY92" s="44">
        <f t="shared" ref="CY92" si="1350">CX92</f>
        <v>358595</v>
      </c>
      <c r="CZ92" s="44">
        <f t="shared" ref="CZ92" si="1351">CY92</f>
        <v>358595</v>
      </c>
      <c r="DA92" s="44">
        <f t="shared" ref="DA92" si="1352">CZ92</f>
        <v>358595</v>
      </c>
      <c r="DB92" s="44">
        <f>ROUND(DA92*(1+取值表!$D$10)*取值表!$H$10,0)</f>
        <v>360793</v>
      </c>
      <c r="DC92" s="44">
        <f t="shared" ref="DC92" si="1353">DB92</f>
        <v>360793</v>
      </c>
      <c r="DD92" s="44">
        <f t="shared" ref="DD92" si="1354">DC92</f>
        <v>360793</v>
      </c>
      <c r="DE92" s="44">
        <f t="shared" ref="DE92" si="1355">DD92</f>
        <v>360793</v>
      </c>
      <c r="DF92" s="45">
        <f t="shared" si="969"/>
        <v>33561016</v>
      </c>
    </row>
    <row r="93" spans="1:228" s="40" customFormat="1" ht="12" customHeight="1">
      <c r="A93" s="505"/>
      <c r="B93" s="518"/>
      <c r="C93" s="450"/>
      <c r="D93" s="451"/>
      <c r="E93" s="452"/>
      <c r="F93" s="446"/>
      <c r="G93" s="446"/>
      <c r="H93" s="447"/>
      <c r="I93" s="41"/>
      <c r="J93" s="42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  <c r="CY93" s="44"/>
      <c r="CZ93" s="44"/>
      <c r="DA93" s="44"/>
      <c r="DB93" s="44"/>
      <c r="DC93" s="44"/>
      <c r="DD93" s="44"/>
      <c r="DE93" s="44"/>
      <c r="DF93" s="45">
        <f t="shared" si="969"/>
        <v>0</v>
      </c>
    </row>
    <row r="94" spans="1:228" s="40" customFormat="1" ht="12" customHeight="1">
      <c r="A94" s="504">
        <v>47</v>
      </c>
      <c r="B94" s="518" t="s">
        <v>116</v>
      </c>
      <c r="C94" s="450" t="s">
        <v>112</v>
      </c>
      <c r="D94" s="451" t="s">
        <v>117</v>
      </c>
      <c r="E94" s="452" t="s">
        <v>459</v>
      </c>
      <c r="F94" s="446">
        <v>156.13999999999999</v>
      </c>
      <c r="G94" s="446">
        <v>20</v>
      </c>
      <c r="H94" s="447">
        <f>F94*G94*365</f>
        <v>1139822</v>
      </c>
      <c r="I94" s="41">
        <v>284955.5</v>
      </c>
      <c r="J94" s="42">
        <f>ROUND(G94*F94*365/4,0)</f>
        <v>284956</v>
      </c>
      <c r="K94" s="43">
        <f>J94</f>
        <v>284956</v>
      </c>
      <c r="L94" s="44">
        <f>K94</f>
        <v>284956</v>
      </c>
      <c r="M94" s="44">
        <f>L94</f>
        <v>284956</v>
      </c>
      <c r="N94" s="44">
        <f>ROUND(M94*(1+取值表!$D$10)*取值表!$H$10,0)</f>
        <v>286703</v>
      </c>
      <c r="O94" s="44">
        <f>N94</f>
        <v>286703</v>
      </c>
      <c r="P94" s="44">
        <f>O94</f>
        <v>286703</v>
      </c>
      <c r="Q94" s="44">
        <f>P94</f>
        <v>286703</v>
      </c>
      <c r="R94" s="44">
        <f>ROUND(Q94*(1+取值表!$D$10)*取值表!$H$10,0)</f>
        <v>288460</v>
      </c>
      <c r="S94" s="44">
        <f t="shared" ref="S94:U94" si="1356">R94</f>
        <v>288460</v>
      </c>
      <c r="T94" s="44">
        <f t="shared" si="1356"/>
        <v>288460</v>
      </c>
      <c r="U94" s="44">
        <f t="shared" si="1356"/>
        <v>288460</v>
      </c>
      <c r="V94" s="44">
        <f>ROUND(U94*(1+取值表!$D$10)*取值表!$H$10,0)</f>
        <v>290228</v>
      </c>
      <c r="W94" s="44">
        <f t="shared" ref="W94:Y94" si="1357">V94</f>
        <v>290228</v>
      </c>
      <c r="X94" s="44">
        <f t="shared" si="1357"/>
        <v>290228</v>
      </c>
      <c r="Y94" s="44">
        <f t="shared" si="1357"/>
        <v>290228</v>
      </c>
      <c r="Z94" s="44">
        <f>ROUND(Y94*(1+取值表!$D$10)*取值表!$H$10,0)</f>
        <v>292007</v>
      </c>
      <c r="AA94" s="44">
        <f t="shared" ref="AA94:AC94" si="1358">Z94</f>
        <v>292007</v>
      </c>
      <c r="AB94" s="44">
        <f t="shared" si="1358"/>
        <v>292007</v>
      </c>
      <c r="AC94" s="44">
        <f t="shared" si="1358"/>
        <v>292007</v>
      </c>
      <c r="AD94" s="44">
        <f>ROUND(AC94*(1+取值表!$D$10)*取值表!$H$10,0)</f>
        <v>293797</v>
      </c>
      <c r="AE94" s="44">
        <f t="shared" ref="AE94:AG94" si="1359">AD94</f>
        <v>293797</v>
      </c>
      <c r="AF94" s="44">
        <f t="shared" si="1359"/>
        <v>293797</v>
      </c>
      <c r="AG94" s="44">
        <f t="shared" si="1359"/>
        <v>293797</v>
      </c>
      <c r="AH94" s="44">
        <f>ROUND(AG94*(1+取值表!$D$10)*取值表!$H$10,0)</f>
        <v>295598</v>
      </c>
      <c r="AI94" s="44">
        <f t="shared" ref="AI94:AK94" si="1360">AH94</f>
        <v>295598</v>
      </c>
      <c r="AJ94" s="44">
        <f t="shared" si="1360"/>
        <v>295598</v>
      </c>
      <c r="AK94" s="44">
        <f t="shared" si="1360"/>
        <v>295598</v>
      </c>
      <c r="AL94" s="44">
        <f>ROUND(AK94*(1+取值表!$D$10)*取值表!$H$10,0)</f>
        <v>297410</v>
      </c>
      <c r="AM94" s="44">
        <f t="shared" ref="AM94:AO94" si="1361">AL94</f>
        <v>297410</v>
      </c>
      <c r="AN94" s="44">
        <f t="shared" si="1361"/>
        <v>297410</v>
      </c>
      <c r="AO94" s="44">
        <f t="shared" si="1361"/>
        <v>297410</v>
      </c>
      <c r="AP94" s="44">
        <f>ROUND(AO94*(1+取值表!$D$10)*取值表!$H$10,0)</f>
        <v>299233</v>
      </c>
      <c r="AQ94" s="44">
        <f t="shared" ref="AQ94:AS94" si="1362">AP94</f>
        <v>299233</v>
      </c>
      <c r="AR94" s="44">
        <f t="shared" si="1362"/>
        <v>299233</v>
      </c>
      <c r="AS94" s="44">
        <f t="shared" si="1362"/>
        <v>299233</v>
      </c>
      <c r="AT94" s="44">
        <f>ROUND(AS94*(1+取值表!$D$10)*取值表!$H$10,0)</f>
        <v>301067</v>
      </c>
      <c r="AU94" s="44">
        <f t="shared" ref="AU94:AW94" si="1363">AT94</f>
        <v>301067</v>
      </c>
      <c r="AV94" s="44">
        <f t="shared" si="1363"/>
        <v>301067</v>
      </c>
      <c r="AW94" s="44">
        <f t="shared" si="1363"/>
        <v>301067</v>
      </c>
      <c r="AX94" s="44">
        <f>ROUND(AW94*(1+取值表!$D$10)*取值表!$H$10,0)</f>
        <v>302912</v>
      </c>
      <c r="AY94" s="44">
        <f t="shared" ref="AY94:BA94" si="1364">AX94</f>
        <v>302912</v>
      </c>
      <c r="AZ94" s="44">
        <f t="shared" si="1364"/>
        <v>302912</v>
      </c>
      <c r="BA94" s="44">
        <f t="shared" si="1364"/>
        <v>302912</v>
      </c>
      <c r="BB94" s="44">
        <f>ROUND(BA94*(1+取值表!$D$10)*取值表!$H$10,0)</f>
        <v>304769</v>
      </c>
      <c r="BC94" s="44">
        <f t="shared" ref="BC94:BE94" si="1365">BB94</f>
        <v>304769</v>
      </c>
      <c r="BD94" s="44">
        <f t="shared" si="1365"/>
        <v>304769</v>
      </c>
      <c r="BE94" s="44">
        <f t="shared" si="1365"/>
        <v>304769</v>
      </c>
      <c r="BF94" s="44">
        <f>ROUND(BE94*(1+取值表!$D$10)*取值表!$H$10,0)</f>
        <v>306637</v>
      </c>
      <c r="BG94" s="44">
        <f t="shared" ref="BG94:BI94" si="1366">BF94</f>
        <v>306637</v>
      </c>
      <c r="BH94" s="44">
        <f t="shared" si="1366"/>
        <v>306637</v>
      </c>
      <c r="BI94" s="44">
        <f t="shared" si="1366"/>
        <v>306637</v>
      </c>
      <c r="BJ94" s="44">
        <f>ROUND(BI94*(1+取值表!$D$10)*取值表!$H$10,0)</f>
        <v>308516</v>
      </c>
      <c r="BK94" s="44">
        <f t="shared" ref="BK94:BM94" si="1367">BJ94</f>
        <v>308516</v>
      </c>
      <c r="BL94" s="44">
        <f t="shared" si="1367"/>
        <v>308516</v>
      </c>
      <c r="BM94" s="44">
        <f t="shared" si="1367"/>
        <v>308516</v>
      </c>
      <c r="BN94" s="44">
        <f>ROUND(BM94*(1+取值表!$D$10)*取值表!$H$10,0)</f>
        <v>310407</v>
      </c>
      <c r="BO94" s="44">
        <f t="shared" ref="BO94:BQ94" si="1368">BN94</f>
        <v>310407</v>
      </c>
      <c r="BP94" s="44">
        <f t="shared" si="1368"/>
        <v>310407</v>
      </c>
      <c r="BQ94" s="44">
        <f t="shared" si="1368"/>
        <v>310407</v>
      </c>
      <c r="BR94" s="44">
        <f>ROUND(BQ94*(1+取值表!$D$10)*取值表!$H$10,0)</f>
        <v>312310</v>
      </c>
      <c r="BS94" s="44">
        <f t="shared" ref="BS94:BU94" si="1369">BR94</f>
        <v>312310</v>
      </c>
      <c r="BT94" s="44">
        <f t="shared" si="1369"/>
        <v>312310</v>
      </c>
      <c r="BU94" s="44">
        <f t="shared" si="1369"/>
        <v>312310</v>
      </c>
      <c r="BV94" s="44">
        <f>ROUND(BU94*(1+取值表!$D$10)*取值表!$H$10,0)</f>
        <v>314224</v>
      </c>
      <c r="BW94" s="44">
        <f t="shared" ref="BW94:BY94" si="1370">BV94</f>
        <v>314224</v>
      </c>
      <c r="BX94" s="44">
        <f t="shared" si="1370"/>
        <v>314224</v>
      </c>
      <c r="BY94" s="44">
        <f t="shared" si="1370"/>
        <v>314224</v>
      </c>
      <c r="BZ94" s="44">
        <f>ROUND(BY94*(1+取值表!$D$10)*取值表!$H$10,0)</f>
        <v>316150</v>
      </c>
      <c r="CA94" s="44">
        <f t="shared" ref="CA94:CC94" si="1371">BZ94</f>
        <v>316150</v>
      </c>
      <c r="CB94" s="44">
        <f t="shared" si="1371"/>
        <v>316150</v>
      </c>
      <c r="CC94" s="44">
        <f t="shared" si="1371"/>
        <v>316150</v>
      </c>
      <c r="CD94" s="44">
        <f>ROUND(CC94*(1+取值表!$D$10)*取值表!$H$10,0)</f>
        <v>318088</v>
      </c>
      <c r="CE94" s="44">
        <f t="shared" ref="CE94:CG94" si="1372">CD94</f>
        <v>318088</v>
      </c>
      <c r="CF94" s="44">
        <f t="shared" si="1372"/>
        <v>318088</v>
      </c>
      <c r="CG94" s="44">
        <f t="shared" si="1372"/>
        <v>318088</v>
      </c>
      <c r="CH94" s="44">
        <f>ROUND(CG94*(1+取值表!$D$10)*取值表!$H$10,0)</f>
        <v>320038</v>
      </c>
      <c r="CI94" s="44">
        <f t="shared" ref="CI94:CK94" si="1373">CH94</f>
        <v>320038</v>
      </c>
      <c r="CJ94" s="44">
        <f t="shared" si="1373"/>
        <v>320038</v>
      </c>
      <c r="CK94" s="44">
        <f t="shared" si="1373"/>
        <v>320038</v>
      </c>
      <c r="CL94" s="44">
        <f>ROUND(CK94*(1+取值表!$D$10)*取值表!$H$10,0)</f>
        <v>322000</v>
      </c>
      <c r="CM94" s="44">
        <f t="shared" ref="CM94:CO94" si="1374">CL94</f>
        <v>322000</v>
      </c>
      <c r="CN94" s="44">
        <f t="shared" si="1374"/>
        <v>322000</v>
      </c>
      <c r="CO94" s="44">
        <f t="shared" si="1374"/>
        <v>322000</v>
      </c>
      <c r="CP94" s="44">
        <f>ROUND(CO94*(1+取值表!$D$10)*取值表!$H$10,0)</f>
        <v>323974</v>
      </c>
      <c r="CQ94" s="44">
        <f t="shared" ref="CQ94" si="1375">CP94</f>
        <v>323974</v>
      </c>
      <c r="CR94" s="44">
        <f t="shared" ref="CR94" si="1376">CQ94</f>
        <v>323974</v>
      </c>
      <c r="CS94" s="44">
        <f t="shared" ref="CS94" si="1377">CR94</f>
        <v>323974</v>
      </c>
      <c r="CT94" s="44">
        <f>ROUND(CS94*(1+取值表!$D$10)*取值表!$H$10,0)</f>
        <v>325960</v>
      </c>
      <c r="CU94" s="44">
        <f t="shared" ref="CU94" si="1378">CT94</f>
        <v>325960</v>
      </c>
      <c r="CV94" s="44">
        <f t="shared" ref="CV94" si="1379">CU94</f>
        <v>325960</v>
      </c>
      <c r="CW94" s="44">
        <f t="shared" ref="CW94" si="1380">CV94</f>
        <v>325960</v>
      </c>
      <c r="CX94" s="44">
        <f>ROUND(CW94*(1+取值表!$D$10)*取值表!$H$10,0)</f>
        <v>327958</v>
      </c>
      <c r="CY94" s="44">
        <f t="shared" ref="CY94" si="1381">CX94</f>
        <v>327958</v>
      </c>
      <c r="CZ94" s="44">
        <f t="shared" ref="CZ94" si="1382">CY94</f>
        <v>327958</v>
      </c>
      <c r="DA94" s="44">
        <f t="shared" ref="DA94" si="1383">CZ94</f>
        <v>327958</v>
      </c>
      <c r="DB94" s="44">
        <f>ROUND(DA94*(1+取值表!$D$10)*取值表!$H$10,0)</f>
        <v>329968</v>
      </c>
      <c r="DC94" s="44">
        <f t="shared" ref="DC94" si="1384">DB94</f>
        <v>329968</v>
      </c>
      <c r="DD94" s="44">
        <f t="shared" ref="DD94" si="1385">DC94</f>
        <v>329968</v>
      </c>
      <c r="DE94" s="44">
        <f t="shared" ref="DE94" si="1386">DD94</f>
        <v>329968</v>
      </c>
      <c r="DF94" s="45">
        <f t="shared" si="969"/>
        <v>30693480</v>
      </c>
    </row>
    <row r="95" spans="1:228" s="40" customFormat="1" ht="12" customHeight="1">
      <c r="A95" s="505"/>
      <c r="B95" s="518"/>
      <c r="C95" s="450"/>
      <c r="D95" s="451"/>
      <c r="E95" s="452"/>
      <c r="F95" s="446"/>
      <c r="G95" s="446"/>
      <c r="H95" s="447"/>
      <c r="I95" s="41"/>
      <c r="J95" s="42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  <c r="CZ95" s="44"/>
      <c r="DA95" s="44"/>
      <c r="DB95" s="44"/>
      <c r="DC95" s="44"/>
      <c r="DD95" s="44"/>
      <c r="DE95" s="44"/>
      <c r="DF95" s="45">
        <f t="shared" si="969"/>
        <v>0</v>
      </c>
    </row>
    <row r="96" spans="1:228" s="40" customFormat="1" ht="12" customHeight="1">
      <c r="A96" s="504">
        <v>48</v>
      </c>
      <c r="B96" s="518" t="s">
        <v>118</v>
      </c>
      <c r="C96" s="450" t="s">
        <v>112</v>
      </c>
      <c r="D96" s="451" t="s">
        <v>119</v>
      </c>
      <c r="E96" s="452" t="s">
        <v>459</v>
      </c>
      <c r="F96" s="446">
        <v>91.25</v>
      </c>
      <c r="G96" s="446">
        <v>17</v>
      </c>
      <c r="H96" s="447">
        <f>F96*G96*365</f>
        <v>566206.25</v>
      </c>
      <c r="I96" s="41">
        <v>141551.56</v>
      </c>
      <c r="J96" s="43">
        <f>ROUND(G96*F96*365/4,0)</f>
        <v>141552</v>
      </c>
      <c r="K96" s="44">
        <f>J96</f>
        <v>141552</v>
      </c>
      <c r="L96" s="44">
        <f>K96</f>
        <v>141552</v>
      </c>
      <c r="M96" s="44">
        <f>L96</f>
        <v>141552</v>
      </c>
      <c r="N96" s="44">
        <f>ROUND(M96*(1+取值表!$D$10)*取值表!$H$10,0)</f>
        <v>142420</v>
      </c>
      <c r="O96" s="44">
        <f>N96</f>
        <v>142420</v>
      </c>
      <c r="P96" s="44">
        <f>O96</f>
        <v>142420</v>
      </c>
      <c r="Q96" s="44">
        <f>P96</f>
        <v>142420</v>
      </c>
      <c r="R96" s="44">
        <f>ROUND(Q96*(1+取值表!$D$10)*取值表!$H$10,0)</f>
        <v>143293</v>
      </c>
      <c r="S96" s="44">
        <f t="shared" ref="S96:U96" si="1387">R96</f>
        <v>143293</v>
      </c>
      <c r="T96" s="44">
        <f t="shared" si="1387"/>
        <v>143293</v>
      </c>
      <c r="U96" s="44">
        <f t="shared" si="1387"/>
        <v>143293</v>
      </c>
      <c r="V96" s="44">
        <f>ROUND(U96*(1+取值表!$D$10)*取值表!$H$10,0)</f>
        <v>144171</v>
      </c>
      <c r="W96" s="44">
        <f t="shared" ref="W96:Y96" si="1388">V96</f>
        <v>144171</v>
      </c>
      <c r="X96" s="44">
        <f t="shared" si="1388"/>
        <v>144171</v>
      </c>
      <c r="Y96" s="44">
        <f t="shared" si="1388"/>
        <v>144171</v>
      </c>
      <c r="Z96" s="44">
        <f>ROUND(Y96*(1+取值表!$D$10)*取值表!$H$10,0)</f>
        <v>145055</v>
      </c>
      <c r="AA96" s="44">
        <f t="shared" ref="AA96:AC96" si="1389">Z96</f>
        <v>145055</v>
      </c>
      <c r="AB96" s="44">
        <f t="shared" si="1389"/>
        <v>145055</v>
      </c>
      <c r="AC96" s="44">
        <f t="shared" si="1389"/>
        <v>145055</v>
      </c>
      <c r="AD96" s="44">
        <f>ROUND(AC96*(1+取值表!$D$10)*取值表!$H$10,0)</f>
        <v>145944</v>
      </c>
      <c r="AE96" s="44">
        <f t="shared" ref="AE96:AG96" si="1390">AD96</f>
        <v>145944</v>
      </c>
      <c r="AF96" s="44">
        <f t="shared" si="1390"/>
        <v>145944</v>
      </c>
      <c r="AG96" s="44">
        <f t="shared" si="1390"/>
        <v>145944</v>
      </c>
      <c r="AH96" s="44">
        <f>ROUND(AG96*(1+取值表!$D$10)*取值表!$H$10,0)</f>
        <v>146839</v>
      </c>
      <c r="AI96" s="44">
        <f t="shared" ref="AI96:AK96" si="1391">AH96</f>
        <v>146839</v>
      </c>
      <c r="AJ96" s="44">
        <f t="shared" si="1391"/>
        <v>146839</v>
      </c>
      <c r="AK96" s="44">
        <f t="shared" si="1391"/>
        <v>146839</v>
      </c>
      <c r="AL96" s="44">
        <f>ROUND(AK96*(1+取值表!$D$10)*取值表!$H$10,0)</f>
        <v>147739</v>
      </c>
      <c r="AM96" s="44">
        <f t="shared" ref="AM96:AO96" si="1392">AL96</f>
        <v>147739</v>
      </c>
      <c r="AN96" s="44">
        <f t="shared" si="1392"/>
        <v>147739</v>
      </c>
      <c r="AO96" s="44">
        <f t="shared" si="1392"/>
        <v>147739</v>
      </c>
      <c r="AP96" s="44">
        <f>ROUND(AO96*(1+取值表!$D$10)*取值表!$H$10,0)</f>
        <v>148645</v>
      </c>
      <c r="AQ96" s="44">
        <f t="shared" ref="AQ96:AS96" si="1393">AP96</f>
        <v>148645</v>
      </c>
      <c r="AR96" s="44">
        <f t="shared" si="1393"/>
        <v>148645</v>
      </c>
      <c r="AS96" s="44">
        <f t="shared" si="1393"/>
        <v>148645</v>
      </c>
      <c r="AT96" s="44">
        <f>ROUND(AS96*(1+取值表!$D$10)*取值表!$H$10,0)</f>
        <v>149556</v>
      </c>
      <c r="AU96" s="44">
        <f t="shared" ref="AU96:AW96" si="1394">AT96</f>
        <v>149556</v>
      </c>
      <c r="AV96" s="44">
        <f t="shared" si="1394"/>
        <v>149556</v>
      </c>
      <c r="AW96" s="44">
        <f t="shared" si="1394"/>
        <v>149556</v>
      </c>
      <c r="AX96" s="44">
        <f>ROUND(AW96*(1+取值表!$D$10)*取值表!$H$10,0)</f>
        <v>150473</v>
      </c>
      <c r="AY96" s="44">
        <f t="shared" ref="AY96:BA96" si="1395">AX96</f>
        <v>150473</v>
      </c>
      <c r="AZ96" s="44">
        <f t="shared" si="1395"/>
        <v>150473</v>
      </c>
      <c r="BA96" s="44">
        <f t="shared" si="1395"/>
        <v>150473</v>
      </c>
      <c r="BB96" s="44">
        <f>ROUND(BA96*(1+取值表!$D$10)*取值表!$H$10,0)</f>
        <v>151395</v>
      </c>
      <c r="BC96" s="44">
        <f t="shared" ref="BC96:BE96" si="1396">BB96</f>
        <v>151395</v>
      </c>
      <c r="BD96" s="44">
        <f t="shared" si="1396"/>
        <v>151395</v>
      </c>
      <c r="BE96" s="44">
        <f t="shared" si="1396"/>
        <v>151395</v>
      </c>
      <c r="BF96" s="44">
        <f>ROUND(BE96*(1+取值表!$D$10)*取值表!$H$10,0)</f>
        <v>152323</v>
      </c>
      <c r="BG96" s="44">
        <f t="shared" ref="BG96:BI96" si="1397">BF96</f>
        <v>152323</v>
      </c>
      <c r="BH96" s="44">
        <f t="shared" si="1397"/>
        <v>152323</v>
      </c>
      <c r="BI96" s="44">
        <f t="shared" si="1397"/>
        <v>152323</v>
      </c>
      <c r="BJ96" s="44">
        <f>ROUND(BI96*(1+取值表!$D$10)*取值表!$H$10,0)</f>
        <v>153257</v>
      </c>
      <c r="BK96" s="44">
        <f t="shared" ref="BK96:BM96" si="1398">BJ96</f>
        <v>153257</v>
      </c>
      <c r="BL96" s="44">
        <f t="shared" si="1398"/>
        <v>153257</v>
      </c>
      <c r="BM96" s="44">
        <f t="shared" si="1398"/>
        <v>153257</v>
      </c>
      <c r="BN96" s="44">
        <f>ROUND(BM96*(1+取值表!$D$10)*取值表!$H$10,0)</f>
        <v>154196</v>
      </c>
      <c r="BO96" s="44">
        <f t="shared" ref="BO96:BQ96" si="1399">BN96</f>
        <v>154196</v>
      </c>
      <c r="BP96" s="44">
        <f t="shared" si="1399"/>
        <v>154196</v>
      </c>
      <c r="BQ96" s="44">
        <f t="shared" si="1399"/>
        <v>154196</v>
      </c>
      <c r="BR96" s="44">
        <f>ROUND(BQ96*(1+取值表!$D$10)*取值表!$H$10,0)</f>
        <v>155141</v>
      </c>
      <c r="BS96" s="44">
        <f t="shared" ref="BS96:BU96" si="1400">BR96</f>
        <v>155141</v>
      </c>
      <c r="BT96" s="44">
        <f t="shared" si="1400"/>
        <v>155141</v>
      </c>
      <c r="BU96" s="44">
        <f t="shared" si="1400"/>
        <v>155141</v>
      </c>
      <c r="BV96" s="44">
        <f>ROUND(BU96*(1+取值表!$D$10)*取值表!$H$10,0)</f>
        <v>156092</v>
      </c>
      <c r="BW96" s="44">
        <f t="shared" ref="BW96:BY96" si="1401">BV96</f>
        <v>156092</v>
      </c>
      <c r="BX96" s="44">
        <f t="shared" si="1401"/>
        <v>156092</v>
      </c>
      <c r="BY96" s="44">
        <f t="shared" si="1401"/>
        <v>156092</v>
      </c>
      <c r="BZ96" s="44">
        <f>ROUND(BY96*(1+取值表!$D$10)*取值表!$H$10,0)</f>
        <v>157049</v>
      </c>
      <c r="CA96" s="44">
        <f t="shared" ref="CA96:CC96" si="1402">BZ96</f>
        <v>157049</v>
      </c>
      <c r="CB96" s="44">
        <f t="shared" si="1402"/>
        <v>157049</v>
      </c>
      <c r="CC96" s="44">
        <f t="shared" si="1402"/>
        <v>157049</v>
      </c>
      <c r="CD96" s="44">
        <f>ROUND(CC96*(1+取值表!$D$10)*取值表!$H$10,0)</f>
        <v>158012</v>
      </c>
      <c r="CE96" s="44">
        <f t="shared" ref="CE96:CG96" si="1403">CD96</f>
        <v>158012</v>
      </c>
      <c r="CF96" s="44">
        <f t="shared" si="1403"/>
        <v>158012</v>
      </c>
      <c r="CG96" s="44">
        <f t="shared" si="1403"/>
        <v>158012</v>
      </c>
      <c r="CH96" s="44">
        <f>ROUND(CG96*(1+取值表!$D$10)*取值表!$H$10,0)</f>
        <v>158980</v>
      </c>
      <c r="CI96" s="44">
        <f t="shared" ref="CI96:CK96" si="1404">CH96</f>
        <v>158980</v>
      </c>
      <c r="CJ96" s="44">
        <f t="shared" si="1404"/>
        <v>158980</v>
      </c>
      <c r="CK96" s="44">
        <f t="shared" si="1404"/>
        <v>158980</v>
      </c>
      <c r="CL96" s="44">
        <f>ROUND(CK96*(1+取值表!$D$10)*取值表!$H$10,0)</f>
        <v>159954</v>
      </c>
      <c r="CM96" s="44">
        <f t="shared" ref="CM96:CO96" si="1405">CL96</f>
        <v>159954</v>
      </c>
      <c r="CN96" s="44">
        <f t="shared" si="1405"/>
        <v>159954</v>
      </c>
      <c r="CO96" s="44">
        <f t="shared" si="1405"/>
        <v>159954</v>
      </c>
      <c r="CP96" s="44">
        <f>ROUND(CO96*(1+取值表!$D$10)*取值表!$H$10,0)</f>
        <v>160934</v>
      </c>
      <c r="CQ96" s="44">
        <f t="shared" ref="CQ96" si="1406">CP96</f>
        <v>160934</v>
      </c>
      <c r="CR96" s="44">
        <f t="shared" ref="CR96" si="1407">CQ96</f>
        <v>160934</v>
      </c>
      <c r="CS96" s="44">
        <f t="shared" ref="CS96" si="1408">CR96</f>
        <v>160934</v>
      </c>
      <c r="CT96" s="44">
        <f>ROUND(CS96*(1+取值表!$D$10)*取值表!$H$10,0)</f>
        <v>161920</v>
      </c>
      <c r="CU96" s="44">
        <f t="shared" ref="CU96" si="1409">CT96</f>
        <v>161920</v>
      </c>
      <c r="CV96" s="44">
        <f t="shared" ref="CV96" si="1410">CU96</f>
        <v>161920</v>
      </c>
      <c r="CW96" s="44">
        <f t="shared" ref="CW96" si="1411">CV96</f>
        <v>161920</v>
      </c>
      <c r="CX96" s="44">
        <f>ROUND(CW96*(1+取值表!$D$10)*取值表!$H$10,0)</f>
        <v>162912</v>
      </c>
      <c r="CY96" s="44">
        <f t="shared" ref="CY96" si="1412">CX96</f>
        <v>162912</v>
      </c>
      <c r="CZ96" s="44">
        <f t="shared" ref="CZ96" si="1413">CY96</f>
        <v>162912</v>
      </c>
      <c r="DA96" s="44">
        <f t="shared" ref="DA96" si="1414">CZ96</f>
        <v>162912</v>
      </c>
      <c r="DB96" s="44">
        <f>ROUND(DA96*(1+取值表!$D$10)*取值表!$H$10,0)</f>
        <v>163911</v>
      </c>
      <c r="DC96" s="44">
        <f t="shared" ref="DC96" si="1415">DB96</f>
        <v>163911</v>
      </c>
      <c r="DD96" s="44">
        <f t="shared" ref="DD96" si="1416">DC96</f>
        <v>163911</v>
      </c>
      <c r="DE96" s="44">
        <f t="shared" ref="DE96" si="1417">DD96</f>
        <v>163911</v>
      </c>
      <c r="DF96" s="45">
        <f t="shared" si="969"/>
        <v>15247052</v>
      </c>
    </row>
    <row r="97" spans="1:110" s="40" customFormat="1" ht="12" customHeight="1">
      <c r="A97" s="505"/>
      <c r="B97" s="518"/>
      <c r="C97" s="450"/>
      <c r="D97" s="451"/>
      <c r="E97" s="452"/>
      <c r="F97" s="446"/>
      <c r="G97" s="446"/>
      <c r="H97" s="447"/>
      <c r="I97" s="41"/>
      <c r="J97" s="42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  <c r="CZ97" s="44"/>
      <c r="DA97" s="44"/>
      <c r="DB97" s="44"/>
      <c r="DC97" s="44"/>
      <c r="DD97" s="44"/>
      <c r="DE97" s="44"/>
      <c r="DF97" s="45">
        <f t="shared" si="969"/>
        <v>0</v>
      </c>
    </row>
    <row r="98" spans="1:110" s="40" customFormat="1" ht="12">
      <c r="A98" s="504">
        <v>49</v>
      </c>
      <c r="B98" s="518" t="s">
        <v>120</v>
      </c>
      <c r="C98" s="450" t="s">
        <v>701</v>
      </c>
      <c r="D98" s="451" t="s">
        <v>465</v>
      </c>
      <c r="E98" s="452" t="s">
        <v>459</v>
      </c>
      <c r="F98" s="446">
        <v>8.65</v>
      </c>
      <c r="G98" s="446">
        <v>35</v>
      </c>
      <c r="H98" s="447">
        <f>F98*G98*365</f>
        <v>110503.75</v>
      </c>
      <c r="I98" s="41">
        <f>18943.5+3157.25</f>
        <v>22100.75</v>
      </c>
      <c r="J98" s="42">
        <f>ROUND(F98*G98*365/4,0)</f>
        <v>27626</v>
      </c>
      <c r="K98" s="44">
        <f>J98</f>
        <v>27626</v>
      </c>
      <c r="L98" s="43">
        <f>K98</f>
        <v>27626</v>
      </c>
      <c r="M98" s="44">
        <f>L98</f>
        <v>27626</v>
      </c>
      <c r="N98" s="44">
        <f>ROUND(M98*(1+取值表!$D$10)*取值表!$H$10,0)</f>
        <v>27795</v>
      </c>
      <c r="O98" s="44">
        <f>N98</f>
        <v>27795</v>
      </c>
      <c r="P98" s="44">
        <f>O98</f>
        <v>27795</v>
      </c>
      <c r="Q98" s="44">
        <f>P98</f>
        <v>27795</v>
      </c>
      <c r="R98" s="44">
        <f>ROUND(Q98*(1+取值表!$D$10)*取值表!$H$10,0)</f>
        <v>27965</v>
      </c>
      <c r="S98" s="44">
        <f t="shared" ref="S98:U98" si="1418">R98</f>
        <v>27965</v>
      </c>
      <c r="T98" s="44">
        <f t="shared" si="1418"/>
        <v>27965</v>
      </c>
      <c r="U98" s="44">
        <f t="shared" si="1418"/>
        <v>27965</v>
      </c>
      <c r="V98" s="44">
        <f>ROUND(U98*(1+取值表!$D$10)*取值表!$H$10,0)</f>
        <v>28136</v>
      </c>
      <c r="W98" s="44">
        <f t="shared" ref="W98:Y98" si="1419">V98</f>
        <v>28136</v>
      </c>
      <c r="X98" s="44">
        <f t="shared" si="1419"/>
        <v>28136</v>
      </c>
      <c r="Y98" s="44">
        <f t="shared" si="1419"/>
        <v>28136</v>
      </c>
      <c r="Z98" s="44">
        <f>ROUND(Y98*(1+取值表!$D$10)*取值表!$H$10,0)</f>
        <v>28308</v>
      </c>
      <c r="AA98" s="44">
        <f t="shared" ref="AA98:AC98" si="1420">Z98</f>
        <v>28308</v>
      </c>
      <c r="AB98" s="44">
        <f t="shared" si="1420"/>
        <v>28308</v>
      </c>
      <c r="AC98" s="44">
        <f t="shared" si="1420"/>
        <v>28308</v>
      </c>
      <c r="AD98" s="44">
        <f>ROUND(AC98*(1+取值表!$D$10)*取值表!$H$10,0)</f>
        <v>28482</v>
      </c>
      <c r="AE98" s="44">
        <f t="shared" ref="AE98:AG98" si="1421">AD98</f>
        <v>28482</v>
      </c>
      <c r="AF98" s="44">
        <f t="shared" si="1421"/>
        <v>28482</v>
      </c>
      <c r="AG98" s="44">
        <f t="shared" si="1421"/>
        <v>28482</v>
      </c>
      <c r="AH98" s="44">
        <f>ROUND(AG98*(1+取值表!$D$10)*取值表!$H$10,0)</f>
        <v>28657</v>
      </c>
      <c r="AI98" s="44">
        <f t="shared" ref="AI98:AK98" si="1422">AH98</f>
        <v>28657</v>
      </c>
      <c r="AJ98" s="44">
        <f t="shared" si="1422"/>
        <v>28657</v>
      </c>
      <c r="AK98" s="44">
        <f t="shared" si="1422"/>
        <v>28657</v>
      </c>
      <c r="AL98" s="44">
        <f>ROUND(AK98*(1+取值表!$D$10)*取值表!$H$10,0)</f>
        <v>28833</v>
      </c>
      <c r="AM98" s="44">
        <f t="shared" ref="AM98:AO98" si="1423">AL98</f>
        <v>28833</v>
      </c>
      <c r="AN98" s="44">
        <f t="shared" si="1423"/>
        <v>28833</v>
      </c>
      <c r="AO98" s="44">
        <f t="shared" si="1423"/>
        <v>28833</v>
      </c>
      <c r="AP98" s="44">
        <f>ROUND(AO98*(1+取值表!$D$10)*取值表!$H$10,0)</f>
        <v>29010</v>
      </c>
      <c r="AQ98" s="44">
        <f t="shared" ref="AQ98:AS98" si="1424">AP98</f>
        <v>29010</v>
      </c>
      <c r="AR98" s="44">
        <f t="shared" si="1424"/>
        <v>29010</v>
      </c>
      <c r="AS98" s="44">
        <f t="shared" si="1424"/>
        <v>29010</v>
      </c>
      <c r="AT98" s="44">
        <f>ROUND(AS98*(1+取值表!$D$10)*取值表!$H$10,0)</f>
        <v>29188</v>
      </c>
      <c r="AU98" s="44">
        <f t="shared" ref="AU98:AW98" si="1425">AT98</f>
        <v>29188</v>
      </c>
      <c r="AV98" s="44">
        <f t="shared" si="1425"/>
        <v>29188</v>
      </c>
      <c r="AW98" s="44">
        <f t="shared" si="1425"/>
        <v>29188</v>
      </c>
      <c r="AX98" s="44">
        <f>ROUND(AW98*(1+取值表!$D$10)*取值表!$H$10,0)</f>
        <v>29367</v>
      </c>
      <c r="AY98" s="44">
        <f t="shared" ref="AY98:BA98" si="1426">AX98</f>
        <v>29367</v>
      </c>
      <c r="AZ98" s="44">
        <f t="shared" si="1426"/>
        <v>29367</v>
      </c>
      <c r="BA98" s="44">
        <f t="shared" si="1426"/>
        <v>29367</v>
      </c>
      <c r="BB98" s="44">
        <f>ROUND(BA98*(1+取值表!$D$10)*取值表!$H$10,0)</f>
        <v>29547</v>
      </c>
      <c r="BC98" s="44">
        <f t="shared" ref="BC98:BE98" si="1427">BB98</f>
        <v>29547</v>
      </c>
      <c r="BD98" s="44">
        <f t="shared" si="1427"/>
        <v>29547</v>
      </c>
      <c r="BE98" s="44">
        <f t="shared" si="1427"/>
        <v>29547</v>
      </c>
      <c r="BF98" s="44">
        <f>ROUND(BE98*(1+取值表!$D$10)*取值表!$H$10,0)</f>
        <v>29728</v>
      </c>
      <c r="BG98" s="44">
        <f t="shared" ref="BG98:BI98" si="1428">BF98</f>
        <v>29728</v>
      </c>
      <c r="BH98" s="44">
        <f t="shared" si="1428"/>
        <v>29728</v>
      </c>
      <c r="BI98" s="44">
        <f t="shared" si="1428"/>
        <v>29728</v>
      </c>
      <c r="BJ98" s="44">
        <f>ROUND(BI98*(1+取值表!$D$10)*取值表!$H$10,0)</f>
        <v>29910</v>
      </c>
      <c r="BK98" s="44">
        <f t="shared" ref="BK98:BM98" si="1429">BJ98</f>
        <v>29910</v>
      </c>
      <c r="BL98" s="44">
        <f t="shared" si="1429"/>
        <v>29910</v>
      </c>
      <c r="BM98" s="44">
        <f t="shared" si="1429"/>
        <v>29910</v>
      </c>
      <c r="BN98" s="44">
        <f>ROUND(BM98*(1+取值表!$D$10)*取值表!$H$10,0)</f>
        <v>30093</v>
      </c>
      <c r="BO98" s="44">
        <f t="shared" ref="BO98:BQ98" si="1430">BN98</f>
        <v>30093</v>
      </c>
      <c r="BP98" s="44">
        <f t="shared" si="1430"/>
        <v>30093</v>
      </c>
      <c r="BQ98" s="44">
        <f t="shared" si="1430"/>
        <v>30093</v>
      </c>
      <c r="BR98" s="44">
        <f>ROUND(BQ98*(1+取值表!$D$10)*取值表!$H$10,0)</f>
        <v>30277</v>
      </c>
      <c r="BS98" s="44">
        <f t="shared" ref="BS98:BU98" si="1431">BR98</f>
        <v>30277</v>
      </c>
      <c r="BT98" s="44">
        <f t="shared" si="1431"/>
        <v>30277</v>
      </c>
      <c r="BU98" s="44">
        <f t="shared" si="1431"/>
        <v>30277</v>
      </c>
      <c r="BV98" s="44">
        <f>ROUND(BU98*(1+取值表!$D$10)*取值表!$H$10,0)</f>
        <v>30463</v>
      </c>
      <c r="BW98" s="44">
        <f t="shared" ref="BW98:BY98" si="1432">BV98</f>
        <v>30463</v>
      </c>
      <c r="BX98" s="44">
        <f t="shared" si="1432"/>
        <v>30463</v>
      </c>
      <c r="BY98" s="44">
        <f t="shared" si="1432"/>
        <v>30463</v>
      </c>
      <c r="BZ98" s="44">
        <f>ROUND(BY98*(1+取值表!$D$10)*取值表!$H$10,0)</f>
        <v>30650</v>
      </c>
      <c r="CA98" s="44">
        <f t="shared" ref="CA98:CC98" si="1433">BZ98</f>
        <v>30650</v>
      </c>
      <c r="CB98" s="44">
        <f t="shared" si="1433"/>
        <v>30650</v>
      </c>
      <c r="CC98" s="44">
        <f t="shared" si="1433"/>
        <v>30650</v>
      </c>
      <c r="CD98" s="44">
        <f>ROUND(CC98*(1+取值表!$D$10)*取值表!$H$10,0)</f>
        <v>30838</v>
      </c>
      <c r="CE98" s="44">
        <f t="shared" ref="CE98:CG98" si="1434">CD98</f>
        <v>30838</v>
      </c>
      <c r="CF98" s="44">
        <f t="shared" si="1434"/>
        <v>30838</v>
      </c>
      <c r="CG98" s="44">
        <f t="shared" si="1434"/>
        <v>30838</v>
      </c>
      <c r="CH98" s="44">
        <f>ROUND(CG98*(1+取值表!$D$10)*取值表!$H$10,0)</f>
        <v>31027</v>
      </c>
      <c r="CI98" s="44">
        <f t="shared" ref="CI98:CK98" si="1435">CH98</f>
        <v>31027</v>
      </c>
      <c r="CJ98" s="44">
        <f t="shared" si="1435"/>
        <v>31027</v>
      </c>
      <c r="CK98" s="44">
        <f t="shared" si="1435"/>
        <v>31027</v>
      </c>
      <c r="CL98" s="44">
        <f>ROUND(CK98*(1+取值表!$D$10)*取值表!$H$10,0)</f>
        <v>31217</v>
      </c>
      <c r="CM98" s="44">
        <f t="shared" ref="CM98:CO98" si="1436">CL98</f>
        <v>31217</v>
      </c>
      <c r="CN98" s="44">
        <f t="shared" si="1436"/>
        <v>31217</v>
      </c>
      <c r="CO98" s="44">
        <f t="shared" si="1436"/>
        <v>31217</v>
      </c>
      <c r="CP98" s="44">
        <f>ROUND(CO98*(1+取值表!$D$10)*取值表!$H$10,0)</f>
        <v>31408</v>
      </c>
      <c r="CQ98" s="44">
        <f t="shared" ref="CQ98" si="1437">CP98</f>
        <v>31408</v>
      </c>
      <c r="CR98" s="44">
        <f t="shared" ref="CR98" si="1438">CQ98</f>
        <v>31408</v>
      </c>
      <c r="CS98" s="44">
        <f t="shared" ref="CS98" si="1439">CR98</f>
        <v>31408</v>
      </c>
      <c r="CT98" s="44">
        <f>ROUND(CS98*(1+取值表!$D$10)*取值表!$H$10,0)</f>
        <v>31601</v>
      </c>
      <c r="CU98" s="44">
        <f t="shared" ref="CU98" si="1440">CT98</f>
        <v>31601</v>
      </c>
      <c r="CV98" s="44">
        <f t="shared" ref="CV98" si="1441">CU98</f>
        <v>31601</v>
      </c>
      <c r="CW98" s="44">
        <f t="shared" ref="CW98" si="1442">CV98</f>
        <v>31601</v>
      </c>
      <c r="CX98" s="44">
        <f>ROUND(CW98*(1+取值表!$D$10)*取值表!$H$10,0)</f>
        <v>31795</v>
      </c>
      <c r="CY98" s="44">
        <f t="shared" ref="CY98" si="1443">CX98</f>
        <v>31795</v>
      </c>
      <c r="CZ98" s="44">
        <f t="shared" ref="CZ98" si="1444">CY98</f>
        <v>31795</v>
      </c>
      <c r="DA98" s="44">
        <f t="shared" ref="DA98" si="1445">CZ98</f>
        <v>31795</v>
      </c>
      <c r="DB98" s="44">
        <f>ROUND(DA98*(1+取值表!$D$10)*取值表!$H$10,0)</f>
        <v>31990</v>
      </c>
      <c r="DC98" s="44">
        <f t="shared" ref="DC98" si="1446">DB98</f>
        <v>31990</v>
      </c>
      <c r="DD98" s="44">
        <f t="shared" ref="DD98" si="1447">DC98</f>
        <v>31990</v>
      </c>
      <c r="DE98" s="44">
        <f t="shared" ref="DE98" si="1448">DD98</f>
        <v>31990</v>
      </c>
      <c r="DF98" s="45">
        <f t="shared" si="969"/>
        <v>2975644</v>
      </c>
    </row>
    <row r="99" spans="1:110" s="40" customFormat="1" ht="12">
      <c r="A99" s="505"/>
      <c r="B99" s="518"/>
      <c r="C99" s="450"/>
      <c r="D99" s="451"/>
      <c r="E99" s="452"/>
      <c r="F99" s="446"/>
      <c r="G99" s="446"/>
      <c r="H99" s="447"/>
      <c r="I99" s="41"/>
      <c r="J99" s="42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44"/>
      <c r="DD99" s="44"/>
      <c r="DE99" s="44"/>
      <c r="DF99" s="45">
        <f t="shared" si="969"/>
        <v>0</v>
      </c>
    </row>
    <row r="100" spans="1:110" s="52" customFormat="1" ht="12.75" customHeight="1">
      <c r="A100" s="504">
        <v>50</v>
      </c>
      <c r="B100" s="456" t="s">
        <v>121</v>
      </c>
      <c r="C100" s="457" t="s">
        <v>122</v>
      </c>
      <c r="D100" s="458" t="s">
        <v>123</v>
      </c>
      <c r="E100" s="459" t="s">
        <v>459</v>
      </c>
      <c r="F100" s="453">
        <v>6.7</v>
      </c>
      <c r="G100" s="453">
        <v>35</v>
      </c>
      <c r="H100" s="454">
        <f>F100*G100*365</f>
        <v>85592.5</v>
      </c>
      <c r="I100" s="219">
        <v>21398.12</v>
      </c>
      <c r="J100" s="42">
        <f>ROUND(F100*G100*365/4,0)</f>
        <v>21398</v>
      </c>
      <c r="K100" s="43">
        <f>J100</f>
        <v>21398</v>
      </c>
      <c r="L100" s="42">
        <f>K100</f>
        <v>21398</v>
      </c>
      <c r="M100" s="42">
        <f>L100</f>
        <v>21398</v>
      </c>
      <c r="N100" s="44">
        <f>ROUND(M100*(1+取值表!$D$10)*取值表!$H$10,0)</f>
        <v>21529</v>
      </c>
      <c r="O100" s="42">
        <f>N100</f>
        <v>21529</v>
      </c>
      <c r="P100" s="42">
        <f>O100</f>
        <v>21529</v>
      </c>
      <c r="Q100" s="42">
        <f>P100</f>
        <v>21529</v>
      </c>
      <c r="R100" s="44">
        <f>ROUND(Q100*(1+取值表!$D$10)*取值表!$H$10,0)</f>
        <v>21661</v>
      </c>
      <c r="S100" s="42">
        <f t="shared" ref="S100:U100" si="1449">R100</f>
        <v>21661</v>
      </c>
      <c r="T100" s="42">
        <f t="shared" si="1449"/>
        <v>21661</v>
      </c>
      <c r="U100" s="42">
        <f t="shared" si="1449"/>
        <v>21661</v>
      </c>
      <c r="V100" s="44">
        <f>ROUND(U100*(1+取值表!$D$10)*取值表!$H$10,0)</f>
        <v>21794</v>
      </c>
      <c r="W100" s="42">
        <f t="shared" ref="W100:Y100" si="1450">V100</f>
        <v>21794</v>
      </c>
      <c r="X100" s="42">
        <f t="shared" si="1450"/>
        <v>21794</v>
      </c>
      <c r="Y100" s="42">
        <f t="shared" si="1450"/>
        <v>21794</v>
      </c>
      <c r="Z100" s="44">
        <f>ROUND(Y100*(1+取值表!$D$10)*取值表!$H$10,0)</f>
        <v>21928</v>
      </c>
      <c r="AA100" s="42">
        <f t="shared" ref="AA100:AC100" si="1451">Z100</f>
        <v>21928</v>
      </c>
      <c r="AB100" s="42">
        <f t="shared" si="1451"/>
        <v>21928</v>
      </c>
      <c r="AC100" s="42">
        <f t="shared" si="1451"/>
        <v>21928</v>
      </c>
      <c r="AD100" s="44">
        <f>ROUND(AC100*(1+取值表!$D$10)*取值表!$H$10,0)</f>
        <v>22062</v>
      </c>
      <c r="AE100" s="42">
        <f t="shared" ref="AE100:AG100" si="1452">AD100</f>
        <v>22062</v>
      </c>
      <c r="AF100" s="42">
        <f t="shared" si="1452"/>
        <v>22062</v>
      </c>
      <c r="AG100" s="42">
        <f t="shared" si="1452"/>
        <v>22062</v>
      </c>
      <c r="AH100" s="44">
        <f>ROUND(AG100*(1+取值表!$D$10)*取值表!$H$10,0)</f>
        <v>22197</v>
      </c>
      <c r="AI100" s="42">
        <f t="shared" ref="AI100:AK100" si="1453">AH100</f>
        <v>22197</v>
      </c>
      <c r="AJ100" s="42">
        <f t="shared" si="1453"/>
        <v>22197</v>
      </c>
      <c r="AK100" s="42">
        <f t="shared" si="1453"/>
        <v>22197</v>
      </c>
      <c r="AL100" s="44">
        <f>ROUND(AK100*(1+取值表!$D$10)*取值表!$H$10,0)</f>
        <v>22333</v>
      </c>
      <c r="AM100" s="42">
        <f t="shared" ref="AM100:AO100" si="1454">AL100</f>
        <v>22333</v>
      </c>
      <c r="AN100" s="42">
        <f t="shared" si="1454"/>
        <v>22333</v>
      </c>
      <c r="AO100" s="42">
        <f t="shared" si="1454"/>
        <v>22333</v>
      </c>
      <c r="AP100" s="44">
        <f>ROUND(AO100*(1+取值表!$D$10)*取值表!$H$10,0)</f>
        <v>22470</v>
      </c>
      <c r="AQ100" s="42">
        <f t="shared" ref="AQ100:AS100" si="1455">AP100</f>
        <v>22470</v>
      </c>
      <c r="AR100" s="42">
        <f t="shared" si="1455"/>
        <v>22470</v>
      </c>
      <c r="AS100" s="42">
        <f t="shared" si="1455"/>
        <v>22470</v>
      </c>
      <c r="AT100" s="44">
        <f>ROUND(AS100*(1+取值表!$D$10)*取值表!$H$10,0)</f>
        <v>22608</v>
      </c>
      <c r="AU100" s="42">
        <f t="shared" ref="AU100:AW100" si="1456">AT100</f>
        <v>22608</v>
      </c>
      <c r="AV100" s="42">
        <f t="shared" si="1456"/>
        <v>22608</v>
      </c>
      <c r="AW100" s="42">
        <f t="shared" si="1456"/>
        <v>22608</v>
      </c>
      <c r="AX100" s="44">
        <f>ROUND(AW100*(1+取值表!$D$10)*取值表!$H$10,0)</f>
        <v>22747</v>
      </c>
      <c r="AY100" s="42">
        <f t="shared" ref="AY100:BA100" si="1457">AX100</f>
        <v>22747</v>
      </c>
      <c r="AZ100" s="42">
        <f t="shared" si="1457"/>
        <v>22747</v>
      </c>
      <c r="BA100" s="42">
        <f t="shared" si="1457"/>
        <v>22747</v>
      </c>
      <c r="BB100" s="44">
        <f>ROUND(BA100*(1+取值表!$D$10)*取值表!$H$10,0)</f>
        <v>22886</v>
      </c>
      <c r="BC100" s="42">
        <f t="shared" ref="BC100:BE100" si="1458">BB100</f>
        <v>22886</v>
      </c>
      <c r="BD100" s="42">
        <f t="shared" si="1458"/>
        <v>22886</v>
      </c>
      <c r="BE100" s="42">
        <f t="shared" si="1458"/>
        <v>22886</v>
      </c>
      <c r="BF100" s="44">
        <f>ROUND(BE100*(1+取值表!$D$10)*取值表!$H$10,0)</f>
        <v>23026</v>
      </c>
      <c r="BG100" s="42">
        <f t="shared" ref="BG100:BI100" si="1459">BF100</f>
        <v>23026</v>
      </c>
      <c r="BH100" s="42">
        <f t="shared" si="1459"/>
        <v>23026</v>
      </c>
      <c r="BI100" s="42">
        <f t="shared" si="1459"/>
        <v>23026</v>
      </c>
      <c r="BJ100" s="44">
        <f>ROUND(BI100*(1+取值表!$D$10)*取值表!$H$10,0)</f>
        <v>23167</v>
      </c>
      <c r="BK100" s="42">
        <f t="shared" ref="BK100:BM100" si="1460">BJ100</f>
        <v>23167</v>
      </c>
      <c r="BL100" s="42">
        <f t="shared" si="1460"/>
        <v>23167</v>
      </c>
      <c r="BM100" s="42">
        <f t="shared" si="1460"/>
        <v>23167</v>
      </c>
      <c r="BN100" s="44">
        <f>ROUND(BM100*(1+取值表!$D$10)*取值表!$H$10,0)</f>
        <v>23309</v>
      </c>
      <c r="BO100" s="42">
        <f t="shared" ref="BO100:BQ100" si="1461">BN100</f>
        <v>23309</v>
      </c>
      <c r="BP100" s="42">
        <f t="shared" si="1461"/>
        <v>23309</v>
      </c>
      <c r="BQ100" s="42">
        <f t="shared" si="1461"/>
        <v>23309</v>
      </c>
      <c r="BR100" s="44">
        <f>ROUND(BQ100*(1+取值表!$D$10)*取值表!$H$10,0)</f>
        <v>23452</v>
      </c>
      <c r="BS100" s="42">
        <f t="shared" ref="BS100:BU100" si="1462">BR100</f>
        <v>23452</v>
      </c>
      <c r="BT100" s="42">
        <f t="shared" si="1462"/>
        <v>23452</v>
      </c>
      <c r="BU100" s="42">
        <f t="shared" si="1462"/>
        <v>23452</v>
      </c>
      <c r="BV100" s="44">
        <f>ROUND(BU100*(1+取值表!$D$10)*取值表!$H$10,0)</f>
        <v>23596</v>
      </c>
      <c r="BW100" s="42">
        <f t="shared" ref="BW100:BY100" si="1463">BV100</f>
        <v>23596</v>
      </c>
      <c r="BX100" s="42">
        <f t="shared" si="1463"/>
        <v>23596</v>
      </c>
      <c r="BY100" s="42">
        <f t="shared" si="1463"/>
        <v>23596</v>
      </c>
      <c r="BZ100" s="44">
        <f>ROUND(BY100*(1+取值表!$D$10)*取值表!$H$10,0)</f>
        <v>23741</v>
      </c>
      <c r="CA100" s="42">
        <f t="shared" ref="CA100:CC100" si="1464">BZ100</f>
        <v>23741</v>
      </c>
      <c r="CB100" s="42">
        <f t="shared" si="1464"/>
        <v>23741</v>
      </c>
      <c r="CC100" s="42">
        <f t="shared" si="1464"/>
        <v>23741</v>
      </c>
      <c r="CD100" s="44">
        <f>ROUND(CC100*(1+取值表!$D$10)*取值表!$H$10,0)</f>
        <v>23887</v>
      </c>
      <c r="CE100" s="42">
        <f t="shared" ref="CE100:CG100" si="1465">CD100</f>
        <v>23887</v>
      </c>
      <c r="CF100" s="42">
        <f t="shared" si="1465"/>
        <v>23887</v>
      </c>
      <c r="CG100" s="42">
        <f t="shared" si="1465"/>
        <v>23887</v>
      </c>
      <c r="CH100" s="44">
        <f>ROUND(CG100*(1+取值表!$D$10)*取值表!$H$10,0)</f>
        <v>24033</v>
      </c>
      <c r="CI100" s="42">
        <f t="shared" ref="CI100:CK100" si="1466">CH100</f>
        <v>24033</v>
      </c>
      <c r="CJ100" s="42">
        <f t="shared" si="1466"/>
        <v>24033</v>
      </c>
      <c r="CK100" s="42">
        <f t="shared" si="1466"/>
        <v>24033</v>
      </c>
      <c r="CL100" s="44">
        <f>ROUND(CK100*(1+取值表!$D$10)*取值表!$H$10,0)</f>
        <v>24180</v>
      </c>
      <c r="CM100" s="42">
        <f t="shared" ref="CM100:CO100" si="1467">CL100</f>
        <v>24180</v>
      </c>
      <c r="CN100" s="42">
        <f t="shared" si="1467"/>
        <v>24180</v>
      </c>
      <c r="CO100" s="42">
        <f t="shared" si="1467"/>
        <v>24180</v>
      </c>
      <c r="CP100" s="44">
        <f>ROUND(CO100*(1+取值表!$D$10)*取值表!$H$10,0)</f>
        <v>24328</v>
      </c>
      <c r="CQ100" s="42">
        <f t="shared" ref="CQ100" si="1468">CP100</f>
        <v>24328</v>
      </c>
      <c r="CR100" s="42">
        <f t="shared" ref="CR100" si="1469">CQ100</f>
        <v>24328</v>
      </c>
      <c r="CS100" s="42">
        <f t="shared" ref="CS100" si="1470">CR100</f>
        <v>24328</v>
      </c>
      <c r="CT100" s="44">
        <f>ROUND(CS100*(1+取值表!$D$10)*取值表!$H$10,0)</f>
        <v>24477</v>
      </c>
      <c r="CU100" s="42">
        <f t="shared" ref="CU100" si="1471">CT100</f>
        <v>24477</v>
      </c>
      <c r="CV100" s="42">
        <f t="shared" ref="CV100" si="1472">CU100</f>
        <v>24477</v>
      </c>
      <c r="CW100" s="42">
        <f t="shared" ref="CW100" si="1473">CV100</f>
        <v>24477</v>
      </c>
      <c r="CX100" s="44">
        <f>ROUND(CW100*(1+取值表!$D$10)*取值表!$H$10,0)</f>
        <v>24627</v>
      </c>
      <c r="CY100" s="42">
        <f t="shared" ref="CY100" si="1474">CX100</f>
        <v>24627</v>
      </c>
      <c r="CZ100" s="42">
        <f t="shared" ref="CZ100" si="1475">CY100</f>
        <v>24627</v>
      </c>
      <c r="DA100" s="42">
        <f t="shared" ref="DA100" si="1476">CZ100</f>
        <v>24627</v>
      </c>
      <c r="DB100" s="44">
        <f>ROUND(DA100*(1+取值表!$D$10)*取值表!$H$10,0)</f>
        <v>24778</v>
      </c>
      <c r="DC100" s="42">
        <f t="shared" ref="DC100" si="1477">DB100</f>
        <v>24778</v>
      </c>
      <c r="DD100" s="42">
        <f t="shared" ref="DD100" si="1478">DC100</f>
        <v>24778</v>
      </c>
      <c r="DE100" s="42">
        <f t="shared" ref="DE100" si="1479">DD100</f>
        <v>24778</v>
      </c>
      <c r="DF100" s="45">
        <f t="shared" si="969"/>
        <v>2304856</v>
      </c>
    </row>
    <row r="101" spans="1:110" s="52" customFormat="1" ht="12">
      <c r="A101" s="505"/>
      <c r="B101" s="456"/>
      <c r="C101" s="457"/>
      <c r="D101" s="458"/>
      <c r="E101" s="459"/>
      <c r="F101" s="453"/>
      <c r="G101" s="453"/>
      <c r="H101" s="454"/>
      <c r="I101" s="219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  <c r="DB101" s="42"/>
      <c r="DC101" s="42"/>
      <c r="DD101" s="42"/>
      <c r="DE101" s="42"/>
      <c r="DF101" s="45">
        <f t="shared" si="969"/>
        <v>0</v>
      </c>
    </row>
    <row r="102" spans="1:110" s="40" customFormat="1" ht="12" customHeight="1">
      <c r="A102" s="504">
        <v>51</v>
      </c>
      <c r="B102" s="518" t="s">
        <v>124</v>
      </c>
      <c r="C102" s="450" t="s">
        <v>125</v>
      </c>
      <c r="D102" s="451" t="s">
        <v>466</v>
      </c>
      <c r="E102" s="452" t="s">
        <v>459</v>
      </c>
      <c r="F102" s="446">
        <v>298.89</v>
      </c>
      <c r="G102" s="446">
        <v>20</v>
      </c>
      <c r="H102" s="447">
        <f>F102*G102*365</f>
        <v>2181896.9999999995</v>
      </c>
      <c r="I102" s="41">
        <v>531837.39</v>
      </c>
      <c r="J102" s="42">
        <f>ROUND(F102*G102*365/4,0)</f>
        <v>545474</v>
      </c>
      <c r="K102" s="44">
        <f>J102</f>
        <v>545474</v>
      </c>
      <c r="L102" s="43">
        <f>K102</f>
        <v>545474</v>
      </c>
      <c r="M102" s="44">
        <f>L102</f>
        <v>545474</v>
      </c>
      <c r="N102" s="44">
        <f>ROUND(M102*(1+取值表!$D$10)*取值表!$H$10,0)</f>
        <v>548817</v>
      </c>
      <c r="O102" s="44">
        <f>N102</f>
        <v>548817</v>
      </c>
      <c r="P102" s="44">
        <f>O102</f>
        <v>548817</v>
      </c>
      <c r="Q102" s="44">
        <f>P102</f>
        <v>548817</v>
      </c>
      <c r="R102" s="44">
        <f>ROUND(Q102*(1+取值表!$D$10)*取值表!$H$10,0)</f>
        <v>552181</v>
      </c>
      <c r="S102" s="44">
        <f t="shared" ref="S102:U102" si="1480">R102</f>
        <v>552181</v>
      </c>
      <c r="T102" s="44">
        <f t="shared" si="1480"/>
        <v>552181</v>
      </c>
      <c r="U102" s="44">
        <f t="shared" si="1480"/>
        <v>552181</v>
      </c>
      <c r="V102" s="44">
        <f>ROUND(U102*(1+取值表!$D$10)*取值表!$H$10,0)</f>
        <v>555565</v>
      </c>
      <c r="W102" s="44">
        <f t="shared" ref="W102:Y102" si="1481">V102</f>
        <v>555565</v>
      </c>
      <c r="X102" s="44">
        <f t="shared" si="1481"/>
        <v>555565</v>
      </c>
      <c r="Y102" s="44">
        <f t="shared" si="1481"/>
        <v>555565</v>
      </c>
      <c r="Z102" s="44">
        <f>ROUND(Y102*(1+取值表!$D$10)*取值表!$H$10,0)</f>
        <v>558970</v>
      </c>
      <c r="AA102" s="44">
        <f t="shared" ref="AA102:AC102" si="1482">Z102</f>
        <v>558970</v>
      </c>
      <c r="AB102" s="44">
        <f t="shared" si="1482"/>
        <v>558970</v>
      </c>
      <c r="AC102" s="44">
        <f t="shared" si="1482"/>
        <v>558970</v>
      </c>
      <c r="AD102" s="44">
        <f>ROUND(AC102*(1+取值表!$D$10)*取值表!$H$10,0)</f>
        <v>562396</v>
      </c>
      <c r="AE102" s="44">
        <f t="shared" ref="AE102:AG102" si="1483">AD102</f>
        <v>562396</v>
      </c>
      <c r="AF102" s="44">
        <f t="shared" si="1483"/>
        <v>562396</v>
      </c>
      <c r="AG102" s="44">
        <f t="shared" si="1483"/>
        <v>562396</v>
      </c>
      <c r="AH102" s="44">
        <f>ROUND(AG102*(1+取值表!$D$10)*取值表!$H$10,0)</f>
        <v>565843</v>
      </c>
      <c r="AI102" s="44">
        <f t="shared" ref="AI102:AK102" si="1484">AH102</f>
        <v>565843</v>
      </c>
      <c r="AJ102" s="44">
        <f t="shared" si="1484"/>
        <v>565843</v>
      </c>
      <c r="AK102" s="44">
        <f t="shared" si="1484"/>
        <v>565843</v>
      </c>
      <c r="AL102" s="44">
        <f>ROUND(AK102*(1+取值表!$D$10)*取值表!$H$10,0)</f>
        <v>569311</v>
      </c>
      <c r="AM102" s="44">
        <f t="shared" ref="AM102:AO102" si="1485">AL102</f>
        <v>569311</v>
      </c>
      <c r="AN102" s="44">
        <f t="shared" si="1485"/>
        <v>569311</v>
      </c>
      <c r="AO102" s="44">
        <f t="shared" si="1485"/>
        <v>569311</v>
      </c>
      <c r="AP102" s="44">
        <f>ROUND(AO102*(1+取值表!$D$10)*取值表!$H$10,0)</f>
        <v>572800</v>
      </c>
      <c r="AQ102" s="44">
        <f t="shared" ref="AQ102:AS102" si="1486">AP102</f>
        <v>572800</v>
      </c>
      <c r="AR102" s="44">
        <f t="shared" si="1486"/>
        <v>572800</v>
      </c>
      <c r="AS102" s="44">
        <f t="shared" si="1486"/>
        <v>572800</v>
      </c>
      <c r="AT102" s="44">
        <f>ROUND(AS102*(1+取值表!$D$10)*取值表!$H$10,0)</f>
        <v>576311</v>
      </c>
      <c r="AU102" s="44">
        <f t="shared" ref="AU102:AW102" si="1487">AT102</f>
        <v>576311</v>
      </c>
      <c r="AV102" s="44">
        <f t="shared" si="1487"/>
        <v>576311</v>
      </c>
      <c r="AW102" s="44">
        <f t="shared" si="1487"/>
        <v>576311</v>
      </c>
      <c r="AX102" s="44">
        <f>ROUND(AW102*(1+取值表!$D$10)*取值表!$H$10,0)</f>
        <v>579843</v>
      </c>
      <c r="AY102" s="44">
        <f t="shared" ref="AY102:BA102" si="1488">AX102</f>
        <v>579843</v>
      </c>
      <c r="AZ102" s="44">
        <f t="shared" si="1488"/>
        <v>579843</v>
      </c>
      <c r="BA102" s="44">
        <f t="shared" si="1488"/>
        <v>579843</v>
      </c>
      <c r="BB102" s="44">
        <f>ROUND(BA102*(1+取值表!$D$10)*取值表!$H$10,0)</f>
        <v>583397</v>
      </c>
      <c r="BC102" s="44">
        <f t="shared" ref="BC102:BE102" si="1489">BB102</f>
        <v>583397</v>
      </c>
      <c r="BD102" s="44">
        <f t="shared" si="1489"/>
        <v>583397</v>
      </c>
      <c r="BE102" s="44">
        <f t="shared" si="1489"/>
        <v>583397</v>
      </c>
      <c r="BF102" s="44">
        <f>ROUND(BE102*(1+取值表!$D$10)*取值表!$H$10,0)</f>
        <v>586973</v>
      </c>
      <c r="BG102" s="44">
        <f t="shared" ref="BG102:BI102" si="1490">BF102</f>
        <v>586973</v>
      </c>
      <c r="BH102" s="44">
        <f t="shared" si="1490"/>
        <v>586973</v>
      </c>
      <c r="BI102" s="44">
        <f t="shared" si="1490"/>
        <v>586973</v>
      </c>
      <c r="BJ102" s="44">
        <f>ROUND(BI102*(1+取值表!$D$10)*取值表!$H$10,0)</f>
        <v>590571</v>
      </c>
      <c r="BK102" s="44">
        <f t="shared" ref="BK102:BM102" si="1491">BJ102</f>
        <v>590571</v>
      </c>
      <c r="BL102" s="44">
        <f t="shared" si="1491"/>
        <v>590571</v>
      </c>
      <c r="BM102" s="44">
        <f t="shared" si="1491"/>
        <v>590571</v>
      </c>
      <c r="BN102" s="44">
        <f>ROUND(BM102*(1+取值表!$D$10)*取值表!$H$10,0)</f>
        <v>594191</v>
      </c>
      <c r="BO102" s="44">
        <f t="shared" ref="BO102:BQ102" si="1492">BN102</f>
        <v>594191</v>
      </c>
      <c r="BP102" s="44">
        <f t="shared" si="1492"/>
        <v>594191</v>
      </c>
      <c r="BQ102" s="44">
        <f t="shared" si="1492"/>
        <v>594191</v>
      </c>
      <c r="BR102" s="44">
        <f>ROUND(BQ102*(1+取值表!$D$10)*取值表!$H$10,0)</f>
        <v>597833</v>
      </c>
      <c r="BS102" s="44">
        <f t="shared" ref="BS102:BU102" si="1493">BR102</f>
        <v>597833</v>
      </c>
      <c r="BT102" s="44">
        <f t="shared" si="1493"/>
        <v>597833</v>
      </c>
      <c r="BU102" s="44">
        <f t="shared" si="1493"/>
        <v>597833</v>
      </c>
      <c r="BV102" s="44">
        <f>ROUND(BU102*(1+取值表!$D$10)*取值表!$H$10,0)</f>
        <v>601497</v>
      </c>
      <c r="BW102" s="44">
        <f t="shared" ref="BW102:BY102" si="1494">BV102</f>
        <v>601497</v>
      </c>
      <c r="BX102" s="44">
        <f t="shared" si="1494"/>
        <v>601497</v>
      </c>
      <c r="BY102" s="44">
        <f t="shared" si="1494"/>
        <v>601497</v>
      </c>
      <c r="BZ102" s="44">
        <f>ROUND(BY102*(1+取值表!$D$10)*取值表!$H$10,0)</f>
        <v>605184</v>
      </c>
      <c r="CA102" s="44">
        <f t="shared" ref="CA102:CC102" si="1495">BZ102</f>
        <v>605184</v>
      </c>
      <c r="CB102" s="44">
        <f t="shared" si="1495"/>
        <v>605184</v>
      </c>
      <c r="CC102" s="44">
        <f t="shared" si="1495"/>
        <v>605184</v>
      </c>
      <c r="CD102" s="44">
        <f>ROUND(CC102*(1+取值表!$D$10)*取值表!$H$10,0)</f>
        <v>608893</v>
      </c>
      <c r="CE102" s="44">
        <f t="shared" ref="CE102:CG102" si="1496">CD102</f>
        <v>608893</v>
      </c>
      <c r="CF102" s="44">
        <f t="shared" si="1496"/>
        <v>608893</v>
      </c>
      <c r="CG102" s="44">
        <f t="shared" si="1496"/>
        <v>608893</v>
      </c>
      <c r="CH102" s="44">
        <f>ROUND(CG102*(1+取值表!$D$10)*取值表!$H$10,0)</f>
        <v>612625</v>
      </c>
      <c r="CI102" s="44">
        <f t="shared" ref="CI102:CK102" si="1497">CH102</f>
        <v>612625</v>
      </c>
      <c r="CJ102" s="44">
        <f t="shared" si="1497"/>
        <v>612625</v>
      </c>
      <c r="CK102" s="44">
        <f t="shared" si="1497"/>
        <v>612625</v>
      </c>
      <c r="CL102" s="44">
        <f>ROUND(CK102*(1+取值表!$D$10)*取值表!$H$10,0)</f>
        <v>616380</v>
      </c>
      <c r="CM102" s="44">
        <f t="shared" ref="CM102:CO102" si="1498">CL102</f>
        <v>616380</v>
      </c>
      <c r="CN102" s="44">
        <f t="shared" si="1498"/>
        <v>616380</v>
      </c>
      <c r="CO102" s="44">
        <f t="shared" si="1498"/>
        <v>616380</v>
      </c>
      <c r="CP102" s="44">
        <f>ROUND(CO102*(1+取值表!$D$10)*取值表!$H$10,0)</f>
        <v>620158</v>
      </c>
      <c r="CQ102" s="44">
        <f t="shared" ref="CQ102" si="1499">CP102</f>
        <v>620158</v>
      </c>
      <c r="CR102" s="44">
        <f t="shared" ref="CR102" si="1500">CQ102</f>
        <v>620158</v>
      </c>
      <c r="CS102" s="44">
        <f t="shared" ref="CS102" si="1501">CR102</f>
        <v>620158</v>
      </c>
      <c r="CT102" s="44">
        <f>ROUND(CS102*(1+取值表!$D$10)*取值表!$H$10,0)</f>
        <v>623959</v>
      </c>
      <c r="CU102" s="44">
        <f t="shared" ref="CU102" si="1502">CT102</f>
        <v>623959</v>
      </c>
      <c r="CV102" s="44">
        <f t="shared" ref="CV102" si="1503">CU102</f>
        <v>623959</v>
      </c>
      <c r="CW102" s="44">
        <f t="shared" ref="CW102" si="1504">CV102</f>
        <v>623959</v>
      </c>
      <c r="CX102" s="44">
        <f>ROUND(CW102*(1+取值表!$D$10)*取值表!$H$10,0)</f>
        <v>627783</v>
      </c>
      <c r="CY102" s="44">
        <f t="shared" ref="CY102" si="1505">CX102</f>
        <v>627783</v>
      </c>
      <c r="CZ102" s="44">
        <f t="shared" ref="CZ102" si="1506">CY102</f>
        <v>627783</v>
      </c>
      <c r="DA102" s="44">
        <f t="shared" ref="DA102" si="1507">CZ102</f>
        <v>627783</v>
      </c>
      <c r="DB102" s="44">
        <f>ROUND(DA102*(1+取值表!$D$10)*取值表!$H$10,0)</f>
        <v>631631</v>
      </c>
      <c r="DC102" s="44">
        <f t="shared" ref="DC102" si="1508">DB102</f>
        <v>631631</v>
      </c>
      <c r="DD102" s="44">
        <f t="shared" ref="DD102" si="1509">DC102</f>
        <v>631631</v>
      </c>
      <c r="DE102" s="44">
        <f t="shared" ref="DE102" si="1510">DD102</f>
        <v>631631</v>
      </c>
      <c r="DF102" s="45">
        <f t="shared" si="969"/>
        <v>58754344</v>
      </c>
    </row>
    <row r="103" spans="1:110" s="40" customFormat="1" ht="12">
      <c r="A103" s="505"/>
      <c r="B103" s="518"/>
      <c r="C103" s="450"/>
      <c r="D103" s="451"/>
      <c r="E103" s="452"/>
      <c r="F103" s="446"/>
      <c r="G103" s="446"/>
      <c r="H103" s="447"/>
      <c r="I103" s="41"/>
      <c r="J103" s="42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/>
      <c r="DD103" s="44"/>
      <c r="DE103" s="44"/>
      <c r="DF103" s="45">
        <f t="shared" si="969"/>
        <v>0</v>
      </c>
    </row>
    <row r="104" spans="1:110" s="40" customFormat="1" ht="12" customHeight="1">
      <c r="A104" s="504">
        <v>52</v>
      </c>
      <c r="B104" s="518" t="s">
        <v>124</v>
      </c>
      <c r="C104" s="450" t="s">
        <v>15</v>
      </c>
      <c r="D104" s="451" t="s">
        <v>126</v>
      </c>
      <c r="E104" s="452" t="s">
        <v>459</v>
      </c>
      <c r="F104" s="446">
        <v>298.89</v>
      </c>
      <c r="G104" s="446">
        <v>17</v>
      </c>
      <c r="H104" s="447">
        <f>F104*G104*365</f>
        <v>1854612.45</v>
      </c>
      <c r="I104" s="41">
        <v>463653.11</v>
      </c>
      <c r="J104" s="42">
        <f>ROUND(F104*G104*365/4,0)</f>
        <v>463653</v>
      </c>
      <c r="K104" s="43">
        <f>J104</f>
        <v>463653</v>
      </c>
      <c r="L104" s="44">
        <f>K104</f>
        <v>463653</v>
      </c>
      <c r="M104" s="44">
        <f>L104</f>
        <v>463653</v>
      </c>
      <c r="N104" s="44">
        <f>ROUND(M104*(1+取值表!$D$10)*取值表!$H$10,0)</f>
        <v>466495</v>
      </c>
      <c r="O104" s="44">
        <f>N104</f>
        <v>466495</v>
      </c>
      <c r="P104" s="44">
        <f>O104</f>
        <v>466495</v>
      </c>
      <c r="Q104" s="44">
        <f>P104</f>
        <v>466495</v>
      </c>
      <c r="R104" s="44">
        <f>ROUND(Q104*(1+取值表!$D$10)*取值表!$H$10,0)</f>
        <v>469354</v>
      </c>
      <c r="S104" s="44">
        <f t="shared" ref="S104:U104" si="1511">R104</f>
        <v>469354</v>
      </c>
      <c r="T104" s="44">
        <f t="shared" si="1511"/>
        <v>469354</v>
      </c>
      <c r="U104" s="44">
        <f t="shared" si="1511"/>
        <v>469354</v>
      </c>
      <c r="V104" s="44">
        <f>ROUND(U104*(1+取值表!$D$10)*取值表!$H$10,0)</f>
        <v>472231</v>
      </c>
      <c r="W104" s="44">
        <f t="shared" ref="W104:Y104" si="1512">V104</f>
        <v>472231</v>
      </c>
      <c r="X104" s="44">
        <f t="shared" si="1512"/>
        <v>472231</v>
      </c>
      <c r="Y104" s="44">
        <f t="shared" si="1512"/>
        <v>472231</v>
      </c>
      <c r="Z104" s="44">
        <f>ROUND(Y104*(1+取值表!$D$10)*取值表!$H$10,0)</f>
        <v>475125</v>
      </c>
      <c r="AA104" s="44">
        <f t="shared" ref="AA104:AC104" si="1513">Z104</f>
        <v>475125</v>
      </c>
      <c r="AB104" s="44">
        <f t="shared" si="1513"/>
        <v>475125</v>
      </c>
      <c r="AC104" s="44">
        <f t="shared" si="1513"/>
        <v>475125</v>
      </c>
      <c r="AD104" s="44">
        <f>ROUND(AC104*(1+取值表!$D$10)*取值表!$H$10,0)</f>
        <v>478037</v>
      </c>
      <c r="AE104" s="44">
        <f t="shared" ref="AE104:AG104" si="1514">AD104</f>
        <v>478037</v>
      </c>
      <c r="AF104" s="44">
        <f t="shared" si="1514"/>
        <v>478037</v>
      </c>
      <c r="AG104" s="44">
        <f t="shared" si="1514"/>
        <v>478037</v>
      </c>
      <c r="AH104" s="44">
        <f>ROUND(AG104*(1+取值表!$D$10)*取值表!$H$10,0)</f>
        <v>480967</v>
      </c>
      <c r="AI104" s="44">
        <f t="shared" ref="AI104:AK104" si="1515">AH104</f>
        <v>480967</v>
      </c>
      <c r="AJ104" s="44">
        <f t="shared" si="1515"/>
        <v>480967</v>
      </c>
      <c r="AK104" s="44">
        <f t="shared" si="1515"/>
        <v>480967</v>
      </c>
      <c r="AL104" s="44">
        <f>ROUND(AK104*(1+取值表!$D$10)*取值表!$H$10,0)</f>
        <v>483915</v>
      </c>
      <c r="AM104" s="44">
        <f t="shared" ref="AM104:AO104" si="1516">AL104</f>
        <v>483915</v>
      </c>
      <c r="AN104" s="44">
        <f t="shared" si="1516"/>
        <v>483915</v>
      </c>
      <c r="AO104" s="44">
        <f t="shared" si="1516"/>
        <v>483915</v>
      </c>
      <c r="AP104" s="44">
        <f>ROUND(AO104*(1+取值表!$D$10)*取值表!$H$10,0)</f>
        <v>486881</v>
      </c>
      <c r="AQ104" s="44">
        <f t="shared" ref="AQ104:AS104" si="1517">AP104</f>
        <v>486881</v>
      </c>
      <c r="AR104" s="44">
        <f t="shared" si="1517"/>
        <v>486881</v>
      </c>
      <c r="AS104" s="44">
        <f t="shared" si="1517"/>
        <v>486881</v>
      </c>
      <c r="AT104" s="44">
        <f>ROUND(AS104*(1+取值表!$D$10)*取值表!$H$10,0)</f>
        <v>489865</v>
      </c>
      <c r="AU104" s="44">
        <f t="shared" ref="AU104:AW104" si="1518">AT104</f>
        <v>489865</v>
      </c>
      <c r="AV104" s="44">
        <f t="shared" si="1518"/>
        <v>489865</v>
      </c>
      <c r="AW104" s="44">
        <f t="shared" si="1518"/>
        <v>489865</v>
      </c>
      <c r="AX104" s="44">
        <f>ROUND(AW104*(1+取值表!$D$10)*取值表!$H$10,0)</f>
        <v>492867</v>
      </c>
      <c r="AY104" s="44">
        <f t="shared" ref="AY104:BA104" si="1519">AX104</f>
        <v>492867</v>
      </c>
      <c r="AZ104" s="44">
        <f t="shared" si="1519"/>
        <v>492867</v>
      </c>
      <c r="BA104" s="44">
        <f t="shared" si="1519"/>
        <v>492867</v>
      </c>
      <c r="BB104" s="44">
        <f>ROUND(BA104*(1+取值表!$D$10)*取值表!$H$10,0)</f>
        <v>495888</v>
      </c>
      <c r="BC104" s="44">
        <f t="shared" ref="BC104:BE104" si="1520">BB104</f>
        <v>495888</v>
      </c>
      <c r="BD104" s="44">
        <f t="shared" si="1520"/>
        <v>495888</v>
      </c>
      <c r="BE104" s="44">
        <f t="shared" si="1520"/>
        <v>495888</v>
      </c>
      <c r="BF104" s="44">
        <f>ROUND(BE104*(1+取值表!$D$10)*取值表!$H$10,0)</f>
        <v>498927</v>
      </c>
      <c r="BG104" s="44">
        <f t="shared" ref="BG104:BI104" si="1521">BF104</f>
        <v>498927</v>
      </c>
      <c r="BH104" s="44">
        <f t="shared" si="1521"/>
        <v>498927</v>
      </c>
      <c r="BI104" s="44">
        <f t="shared" si="1521"/>
        <v>498927</v>
      </c>
      <c r="BJ104" s="44">
        <f>ROUND(BI104*(1+取值表!$D$10)*取值表!$H$10,0)</f>
        <v>501985</v>
      </c>
      <c r="BK104" s="44">
        <f t="shared" ref="BK104:BM104" si="1522">BJ104</f>
        <v>501985</v>
      </c>
      <c r="BL104" s="44">
        <f t="shared" si="1522"/>
        <v>501985</v>
      </c>
      <c r="BM104" s="44">
        <f t="shared" si="1522"/>
        <v>501985</v>
      </c>
      <c r="BN104" s="44">
        <f>ROUND(BM104*(1+取值表!$D$10)*取值表!$H$10,0)</f>
        <v>505062</v>
      </c>
      <c r="BO104" s="44">
        <f t="shared" ref="BO104:BQ104" si="1523">BN104</f>
        <v>505062</v>
      </c>
      <c r="BP104" s="44">
        <f t="shared" si="1523"/>
        <v>505062</v>
      </c>
      <c r="BQ104" s="44">
        <f t="shared" si="1523"/>
        <v>505062</v>
      </c>
      <c r="BR104" s="44">
        <f>ROUND(BQ104*(1+取值表!$D$10)*取值表!$H$10,0)</f>
        <v>508158</v>
      </c>
      <c r="BS104" s="44">
        <f t="shared" ref="BS104:BU104" si="1524">BR104</f>
        <v>508158</v>
      </c>
      <c r="BT104" s="44">
        <f t="shared" si="1524"/>
        <v>508158</v>
      </c>
      <c r="BU104" s="44">
        <f t="shared" si="1524"/>
        <v>508158</v>
      </c>
      <c r="BV104" s="44">
        <f>ROUND(BU104*(1+取值表!$D$10)*取值表!$H$10,0)</f>
        <v>511273</v>
      </c>
      <c r="BW104" s="44">
        <f t="shared" ref="BW104:BY104" si="1525">BV104</f>
        <v>511273</v>
      </c>
      <c r="BX104" s="44">
        <f t="shared" si="1525"/>
        <v>511273</v>
      </c>
      <c r="BY104" s="44">
        <f t="shared" si="1525"/>
        <v>511273</v>
      </c>
      <c r="BZ104" s="44">
        <f>ROUND(BY104*(1+取值表!$D$10)*取值表!$H$10,0)</f>
        <v>514407</v>
      </c>
      <c r="CA104" s="44">
        <f t="shared" ref="CA104:CC104" si="1526">BZ104</f>
        <v>514407</v>
      </c>
      <c r="CB104" s="44">
        <f t="shared" si="1526"/>
        <v>514407</v>
      </c>
      <c r="CC104" s="44">
        <f t="shared" si="1526"/>
        <v>514407</v>
      </c>
      <c r="CD104" s="44">
        <f>ROUND(CC104*(1+取值表!$D$10)*取值表!$H$10,0)</f>
        <v>517560</v>
      </c>
      <c r="CE104" s="44">
        <f t="shared" ref="CE104:CG104" si="1527">CD104</f>
        <v>517560</v>
      </c>
      <c r="CF104" s="44">
        <f t="shared" si="1527"/>
        <v>517560</v>
      </c>
      <c r="CG104" s="44">
        <f t="shared" si="1527"/>
        <v>517560</v>
      </c>
      <c r="CH104" s="44">
        <f>ROUND(CG104*(1+取值表!$D$10)*取值表!$H$10,0)</f>
        <v>520732</v>
      </c>
      <c r="CI104" s="44">
        <f t="shared" ref="CI104:CK104" si="1528">CH104</f>
        <v>520732</v>
      </c>
      <c r="CJ104" s="44">
        <f t="shared" si="1528"/>
        <v>520732</v>
      </c>
      <c r="CK104" s="44">
        <f t="shared" si="1528"/>
        <v>520732</v>
      </c>
      <c r="CL104" s="44">
        <f>ROUND(CK104*(1+取值表!$D$10)*取值表!$H$10,0)</f>
        <v>523924</v>
      </c>
      <c r="CM104" s="44">
        <f t="shared" ref="CM104:CO104" si="1529">CL104</f>
        <v>523924</v>
      </c>
      <c r="CN104" s="44">
        <f t="shared" si="1529"/>
        <v>523924</v>
      </c>
      <c r="CO104" s="44">
        <f t="shared" si="1529"/>
        <v>523924</v>
      </c>
      <c r="CP104" s="44">
        <f>ROUND(CO104*(1+取值表!$D$10)*取值表!$H$10,0)</f>
        <v>527135</v>
      </c>
      <c r="CQ104" s="44">
        <f t="shared" ref="CQ104" si="1530">CP104</f>
        <v>527135</v>
      </c>
      <c r="CR104" s="44">
        <f t="shared" ref="CR104" si="1531">CQ104</f>
        <v>527135</v>
      </c>
      <c r="CS104" s="44">
        <f t="shared" ref="CS104" si="1532">CR104</f>
        <v>527135</v>
      </c>
      <c r="CT104" s="44">
        <f>ROUND(CS104*(1+取值表!$D$10)*取值表!$H$10,0)</f>
        <v>530366</v>
      </c>
      <c r="CU104" s="44">
        <f t="shared" ref="CU104" si="1533">CT104</f>
        <v>530366</v>
      </c>
      <c r="CV104" s="44">
        <f t="shared" ref="CV104" si="1534">CU104</f>
        <v>530366</v>
      </c>
      <c r="CW104" s="44">
        <f t="shared" ref="CW104" si="1535">CV104</f>
        <v>530366</v>
      </c>
      <c r="CX104" s="44">
        <f>ROUND(CW104*(1+取值表!$D$10)*取值表!$H$10,0)</f>
        <v>533617</v>
      </c>
      <c r="CY104" s="44">
        <f t="shared" ref="CY104" si="1536">CX104</f>
        <v>533617</v>
      </c>
      <c r="CZ104" s="44">
        <f t="shared" ref="CZ104" si="1537">CY104</f>
        <v>533617</v>
      </c>
      <c r="DA104" s="44">
        <f t="shared" ref="DA104" si="1538">CZ104</f>
        <v>533617</v>
      </c>
      <c r="DB104" s="44">
        <f>ROUND(DA104*(1+取值表!$D$10)*取值表!$H$10,0)</f>
        <v>536888</v>
      </c>
      <c r="DC104" s="44">
        <f t="shared" ref="DC104" si="1539">DB104</f>
        <v>536888</v>
      </c>
      <c r="DD104" s="44">
        <f t="shared" ref="DD104" si="1540">DC104</f>
        <v>536888</v>
      </c>
      <c r="DE104" s="44">
        <f t="shared" ref="DE104" si="1541">DD104</f>
        <v>536888</v>
      </c>
      <c r="DF104" s="45">
        <f t="shared" si="969"/>
        <v>49941248</v>
      </c>
    </row>
    <row r="105" spans="1:110" s="40" customFormat="1" ht="12">
      <c r="A105" s="505"/>
      <c r="B105" s="518"/>
      <c r="C105" s="450"/>
      <c r="D105" s="451"/>
      <c r="E105" s="452"/>
      <c r="F105" s="446"/>
      <c r="G105" s="446"/>
      <c r="H105" s="447"/>
      <c r="I105" s="41"/>
      <c r="J105" s="42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4"/>
      <c r="DE105" s="44"/>
      <c r="DF105" s="45">
        <f t="shared" si="969"/>
        <v>0</v>
      </c>
    </row>
    <row r="106" spans="1:110" s="40" customFormat="1" ht="12" customHeight="1">
      <c r="A106" s="504">
        <v>53</v>
      </c>
      <c r="B106" s="518" t="s">
        <v>127</v>
      </c>
      <c r="C106" s="450" t="s">
        <v>128</v>
      </c>
      <c r="D106" s="451" t="s">
        <v>467</v>
      </c>
      <c r="E106" s="452" t="s">
        <v>459</v>
      </c>
      <c r="F106" s="446">
        <v>77.83</v>
      </c>
      <c r="G106" s="446">
        <v>25</v>
      </c>
      <c r="H106" s="447">
        <f>F106*G106*365</f>
        <v>710198.75</v>
      </c>
      <c r="I106" s="41">
        <v>181100.68</v>
      </c>
      <c r="J106" s="42">
        <f>ROUND(F106*G106*365/4,0)</f>
        <v>177550</v>
      </c>
      <c r="K106" s="43">
        <f>J106</f>
        <v>177550</v>
      </c>
      <c r="L106" s="44">
        <f>K106</f>
        <v>177550</v>
      </c>
      <c r="M106" s="44">
        <f>L106</f>
        <v>177550</v>
      </c>
      <c r="N106" s="44">
        <f>ROUND(M106*(1+取值表!$D$10)*取值表!$H$10,0)</f>
        <v>178638</v>
      </c>
      <c r="O106" s="44">
        <f>N106</f>
        <v>178638</v>
      </c>
      <c r="P106" s="44">
        <f>O106</f>
        <v>178638</v>
      </c>
      <c r="Q106" s="44">
        <f>P106</f>
        <v>178638</v>
      </c>
      <c r="R106" s="44">
        <f>ROUND(Q106*(1+取值表!$D$10)*取值表!$H$10,0)</f>
        <v>179733</v>
      </c>
      <c r="S106" s="44">
        <f t="shared" ref="S106:U106" si="1542">R106</f>
        <v>179733</v>
      </c>
      <c r="T106" s="44">
        <f t="shared" si="1542"/>
        <v>179733</v>
      </c>
      <c r="U106" s="44">
        <f t="shared" si="1542"/>
        <v>179733</v>
      </c>
      <c r="V106" s="44">
        <f>ROUND(U106*(1+取值表!$D$10)*取值表!$H$10,0)</f>
        <v>180835</v>
      </c>
      <c r="W106" s="44">
        <f t="shared" ref="W106:Y106" si="1543">V106</f>
        <v>180835</v>
      </c>
      <c r="X106" s="44">
        <f t="shared" si="1543"/>
        <v>180835</v>
      </c>
      <c r="Y106" s="44">
        <f t="shared" si="1543"/>
        <v>180835</v>
      </c>
      <c r="Z106" s="44">
        <f>ROUND(Y106*(1+取值表!$D$10)*取值表!$H$10,0)</f>
        <v>181943</v>
      </c>
      <c r="AA106" s="44">
        <f t="shared" ref="AA106:AC106" si="1544">Z106</f>
        <v>181943</v>
      </c>
      <c r="AB106" s="44">
        <f t="shared" si="1544"/>
        <v>181943</v>
      </c>
      <c r="AC106" s="44">
        <f t="shared" si="1544"/>
        <v>181943</v>
      </c>
      <c r="AD106" s="44">
        <f>ROUND(AC106*(1+取值表!$D$10)*取值表!$H$10,0)</f>
        <v>183058</v>
      </c>
      <c r="AE106" s="44">
        <f t="shared" ref="AE106:AG106" si="1545">AD106</f>
        <v>183058</v>
      </c>
      <c r="AF106" s="44">
        <f t="shared" si="1545"/>
        <v>183058</v>
      </c>
      <c r="AG106" s="44">
        <f t="shared" si="1545"/>
        <v>183058</v>
      </c>
      <c r="AH106" s="44">
        <f>ROUND(AG106*(1+取值表!$D$10)*取值表!$H$10,0)</f>
        <v>184180</v>
      </c>
      <c r="AI106" s="44">
        <f t="shared" ref="AI106:AK106" si="1546">AH106</f>
        <v>184180</v>
      </c>
      <c r="AJ106" s="44">
        <f t="shared" si="1546"/>
        <v>184180</v>
      </c>
      <c r="AK106" s="44">
        <f t="shared" si="1546"/>
        <v>184180</v>
      </c>
      <c r="AL106" s="44">
        <f>ROUND(AK106*(1+取值表!$D$10)*取值表!$H$10,0)</f>
        <v>185309</v>
      </c>
      <c r="AM106" s="44">
        <f t="shared" ref="AM106:AO106" si="1547">AL106</f>
        <v>185309</v>
      </c>
      <c r="AN106" s="44">
        <f t="shared" si="1547"/>
        <v>185309</v>
      </c>
      <c r="AO106" s="44">
        <f t="shared" si="1547"/>
        <v>185309</v>
      </c>
      <c r="AP106" s="44">
        <f>ROUND(AO106*(1+取值表!$D$10)*取值表!$H$10,0)</f>
        <v>186445</v>
      </c>
      <c r="AQ106" s="44">
        <f t="shared" ref="AQ106:AS106" si="1548">AP106</f>
        <v>186445</v>
      </c>
      <c r="AR106" s="44">
        <f t="shared" si="1548"/>
        <v>186445</v>
      </c>
      <c r="AS106" s="44">
        <f t="shared" si="1548"/>
        <v>186445</v>
      </c>
      <c r="AT106" s="44">
        <f>ROUND(AS106*(1+取值表!$D$10)*取值表!$H$10,0)</f>
        <v>187588</v>
      </c>
      <c r="AU106" s="44">
        <f t="shared" ref="AU106:AW106" si="1549">AT106</f>
        <v>187588</v>
      </c>
      <c r="AV106" s="44">
        <f t="shared" si="1549"/>
        <v>187588</v>
      </c>
      <c r="AW106" s="44">
        <f t="shared" si="1549"/>
        <v>187588</v>
      </c>
      <c r="AX106" s="44">
        <f>ROUND(AW106*(1+取值表!$D$10)*取值表!$H$10,0)</f>
        <v>188738</v>
      </c>
      <c r="AY106" s="44">
        <f t="shared" ref="AY106:BA106" si="1550">AX106</f>
        <v>188738</v>
      </c>
      <c r="AZ106" s="44">
        <f t="shared" si="1550"/>
        <v>188738</v>
      </c>
      <c r="BA106" s="44">
        <f t="shared" si="1550"/>
        <v>188738</v>
      </c>
      <c r="BB106" s="44">
        <f>ROUND(BA106*(1+取值表!$D$10)*取值表!$H$10,0)</f>
        <v>189895</v>
      </c>
      <c r="BC106" s="44">
        <f t="shared" ref="BC106:BE106" si="1551">BB106</f>
        <v>189895</v>
      </c>
      <c r="BD106" s="44">
        <f t="shared" si="1551"/>
        <v>189895</v>
      </c>
      <c r="BE106" s="44">
        <f t="shared" si="1551"/>
        <v>189895</v>
      </c>
      <c r="BF106" s="44">
        <f>ROUND(BE106*(1+取值表!$D$10)*取值表!$H$10,0)</f>
        <v>191059</v>
      </c>
      <c r="BG106" s="44">
        <f t="shared" ref="BG106:BI106" si="1552">BF106</f>
        <v>191059</v>
      </c>
      <c r="BH106" s="44">
        <f t="shared" si="1552"/>
        <v>191059</v>
      </c>
      <c r="BI106" s="44">
        <f t="shared" si="1552"/>
        <v>191059</v>
      </c>
      <c r="BJ106" s="44">
        <f>ROUND(BI106*(1+取值表!$D$10)*取值表!$H$10,0)</f>
        <v>192230</v>
      </c>
      <c r="BK106" s="44">
        <f t="shared" ref="BK106:BM106" si="1553">BJ106</f>
        <v>192230</v>
      </c>
      <c r="BL106" s="44">
        <f t="shared" si="1553"/>
        <v>192230</v>
      </c>
      <c r="BM106" s="44">
        <f t="shared" si="1553"/>
        <v>192230</v>
      </c>
      <c r="BN106" s="44">
        <f>ROUND(BM106*(1+取值表!$D$10)*取值表!$H$10,0)</f>
        <v>193408</v>
      </c>
      <c r="BO106" s="44">
        <f t="shared" ref="BO106:BQ106" si="1554">BN106</f>
        <v>193408</v>
      </c>
      <c r="BP106" s="44">
        <f t="shared" si="1554"/>
        <v>193408</v>
      </c>
      <c r="BQ106" s="44">
        <f t="shared" si="1554"/>
        <v>193408</v>
      </c>
      <c r="BR106" s="44">
        <f>ROUND(BQ106*(1+取值表!$D$10)*取值表!$H$10,0)</f>
        <v>194593</v>
      </c>
      <c r="BS106" s="44">
        <f t="shared" ref="BS106:BU106" si="1555">BR106</f>
        <v>194593</v>
      </c>
      <c r="BT106" s="44">
        <f t="shared" si="1555"/>
        <v>194593</v>
      </c>
      <c r="BU106" s="44">
        <f t="shared" si="1555"/>
        <v>194593</v>
      </c>
      <c r="BV106" s="44">
        <f>ROUND(BU106*(1+取值表!$D$10)*取值表!$H$10,0)</f>
        <v>195786</v>
      </c>
      <c r="BW106" s="44">
        <f t="shared" ref="BW106:BY106" si="1556">BV106</f>
        <v>195786</v>
      </c>
      <c r="BX106" s="44">
        <f t="shared" si="1556"/>
        <v>195786</v>
      </c>
      <c r="BY106" s="44">
        <f t="shared" si="1556"/>
        <v>195786</v>
      </c>
      <c r="BZ106" s="44">
        <f>ROUND(BY106*(1+取值表!$D$10)*取值表!$H$10,0)</f>
        <v>196986</v>
      </c>
      <c r="CA106" s="44">
        <f t="shared" ref="CA106:CC106" si="1557">BZ106</f>
        <v>196986</v>
      </c>
      <c r="CB106" s="44">
        <f t="shared" si="1557"/>
        <v>196986</v>
      </c>
      <c r="CC106" s="44">
        <f t="shared" si="1557"/>
        <v>196986</v>
      </c>
      <c r="CD106" s="44">
        <f>ROUND(CC106*(1+取值表!$D$10)*取值表!$H$10,0)</f>
        <v>198193</v>
      </c>
      <c r="CE106" s="44">
        <f t="shared" ref="CE106:CG106" si="1558">CD106</f>
        <v>198193</v>
      </c>
      <c r="CF106" s="44">
        <f t="shared" si="1558"/>
        <v>198193</v>
      </c>
      <c r="CG106" s="44">
        <f t="shared" si="1558"/>
        <v>198193</v>
      </c>
      <c r="CH106" s="44">
        <f>ROUND(CG106*(1+取值表!$D$10)*取值表!$H$10,0)</f>
        <v>199408</v>
      </c>
      <c r="CI106" s="44">
        <f t="shared" ref="CI106:CK106" si="1559">CH106</f>
        <v>199408</v>
      </c>
      <c r="CJ106" s="44">
        <f t="shared" si="1559"/>
        <v>199408</v>
      </c>
      <c r="CK106" s="44">
        <f t="shared" si="1559"/>
        <v>199408</v>
      </c>
      <c r="CL106" s="44">
        <f>ROUND(CK106*(1+取值表!$D$10)*取值表!$H$10,0)</f>
        <v>200630</v>
      </c>
      <c r="CM106" s="44">
        <f t="shared" ref="CM106:CO106" si="1560">CL106</f>
        <v>200630</v>
      </c>
      <c r="CN106" s="44">
        <f t="shared" si="1560"/>
        <v>200630</v>
      </c>
      <c r="CO106" s="44">
        <f t="shared" si="1560"/>
        <v>200630</v>
      </c>
      <c r="CP106" s="44">
        <f>ROUND(CO106*(1+取值表!$D$10)*取值表!$H$10,0)</f>
        <v>201860</v>
      </c>
      <c r="CQ106" s="44">
        <f t="shared" ref="CQ106" si="1561">CP106</f>
        <v>201860</v>
      </c>
      <c r="CR106" s="44">
        <f t="shared" ref="CR106" si="1562">CQ106</f>
        <v>201860</v>
      </c>
      <c r="CS106" s="44">
        <f t="shared" ref="CS106" si="1563">CR106</f>
        <v>201860</v>
      </c>
      <c r="CT106" s="44">
        <f>ROUND(CS106*(1+取值表!$D$10)*取值表!$H$10,0)</f>
        <v>203097</v>
      </c>
      <c r="CU106" s="44">
        <f t="shared" ref="CU106" si="1564">CT106</f>
        <v>203097</v>
      </c>
      <c r="CV106" s="44">
        <f t="shared" ref="CV106" si="1565">CU106</f>
        <v>203097</v>
      </c>
      <c r="CW106" s="44">
        <f t="shared" ref="CW106" si="1566">CV106</f>
        <v>203097</v>
      </c>
      <c r="CX106" s="44">
        <f>ROUND(CW106*(1+取值表!$D$10)*取值表!$H$10,0)</f>
        <v>204342</v>
      </c>
      <c r="CY106" s="44">
        <f t="shared" ref="CY106" si="1567">CX106</f>
        <v>204342</v>
      </c>
      <c r="CZ106" s="44">
        <f t="shared" ref="CZ106" si="1568">CY106</f>
        <v>204342</v>
      </c>
      <c r="DA106" s="44">
        <f t="shared" ref="DA106" si="1569">CZ106</f>
        <v>204342</v>
      </c>
      <c r="DB106" s="44">
        <f>ROUND(DA106*(1+取值表!$D$10)*取值表!$H$10,0)</f>
        <v>205594</v>
      </c>
      <c r="DC106" s="44">
        <f t="shared" ref="DC106" si="1570">DB106</f>
        <v>205594</v>
      </c>
      <c r="DD106" s="44">
        <f t="shared" ref="DD106" si="1571">DC106</f>
        <v>205594</v>
      </c>
      <c r="DE106" s="44">
        <f t="shared" ref="DE106" si="1572">DD106</f>
        <v>205594</v>
      </c>
      <c r="DF106" s="45">
        <f t="shared" si="969"/>
        <v>19124392</v>
      </c>
    </row>
    <row r="107" spans="1:110" s="40" customFormat="1" ht="12">
      <c r="A107" s="505"/>
      <c r="B107" s="518"/>
      <c r="C107" s="450"/>
      <c r="D107" s="451"/>
      <c r="E107" s="452"/>
      <c r="F107" s="446"/>
      <c r="G107" s="446"/>
      <c r="H107" s="447"/>
      <c r="I107" s="41"/>
      <c r="J107" s="42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/>
      <c r="DD107" s="44"/>
      <c r="DE107" s="44"/>
      <c r="DF107" s="45">
        <f t="shared" si="969"/>
        <v>0</v>
      </c>
    </row>
    <row r="108" spans="1:110" s="40" customFormat="1" ht="12" customHeight="1">
      <c r="A108" s="504">
        <v>54</v>
      </c>
      <c r="B108" s="518" t="s">
        <v>129</v>
      </c>
      <c r="C108" s="450" t="s">
        <v>732</v>
      </c>
      <c r="D108" s="451" t="s">
        <v>467</v>
      </c>
      <c r="E108" s="452" t="s">
        <v>459</v>
      </c>
      <c r="F108" s="446">
        <v>111.73</v>
      </c>
      <c r="G108" s="446">
        <v>27</v>
      </c>
      <c r="H108" s="447">
        <f>F108*G108*365</f>
        <v>1101099.1499999999</v>
      </c>
      <c r="I108" s="41">
        <v>275274.78999999998</v>
      </c>
      <c r="J108" s="42">
        <f>ROUND(F108*G108*365/4,0)</f>
        <v>275275</v>
      </c>
      <c r="K108" s="43">
        <f>J108</f>
        <v>275275</v>
      </c>
      <c r="L108" s="44">
        <f>K108</f>
        <v>275275</v>
      </c>
      <c r="M108" s="44">
        <f>L108</f>
        <v>275275</v>
      </c>
      <c r="N108" s="44">
        <f>ROUND(M108*(1+取值表!$D$10)*取值表!$H$10,0)</f>
        <v>276962</v>
      </c>
      <c r="O108" s="44">
        <f>N108</f>
        <v>276962</v>
      </c>
      <c r="P108" s="44">
        <f>O108</f>
        <v>276962</v>
      </c>
      <c r="Q108" s="44">
        <f>P108</f>
        <v>276962</v>
      </c>
      <c r="R108" s="44">
        <f>ROUND(Q108*(1+取值表!$D$10)*取值表!$H$10,0)</f>
        <v>278660</v>
      </c>
      <c r="S108" s="44">
        <f t="shared" ref="S108:U108" si="1573">R108</f>
        <v>278660</v>
      </c>
      <c r="T108" s="44">
        <f t="shared" si="1573"/>
        <v>278660</v>
      </c>
      <c r="U108" s="44">
        <f t="shared" si="1573"/>
        <v>278660</v>
      </c>
      <c r="V108" s="44">
        <f>ROUND(U108*(1+取值表!$D$10)*取值表!$H$10,0)</f>
        <v>280368</v>
      </c>
      <c r="W108" s="44">
        <f t="shared" ref="W108:Y108" si="1574">V108</f>
        <v>280368</v>
      </c>
      <c r="X108" s="44">
        <f t="shared" si="1574"/>
        <v>280368</v>
      </c>
      <c r="Y108" s="44">
        <f t="shared" si="1574"/>
        <v>280368</v>
      </c>
      <c r="Z108" s="44">
        <f>ROUND(Y108*(1+取值表!$D$10)*取值表!$H$10,0)</f>
        <v>282086</v>
      </c>
      <c r="AA108" s="44">
        <f t="shared" ref="AA108:AC108" si="1575">Z108</f>
        <v>282086</v>
      </c>
      <c r="AB108" s="44">
        <f t="shared" si="1575"/>
        <v>282086</v>
      </c>
      <c r="AC108" s="44">
        <f t="shared" si="1575"/>
        <v>282086</v>
      </c>
      <c r="AD108" s="44">
        <f>ROUND(AC108*(1+取值表!$D$10)*取值表!$H$10,0)</f>
        <v>283815</v>
      </c>
      <c r="AE108" s="44">
        <f t="shared" ref="AE108:AG108" si="1576">AD108</f>
        <v>283815</v>
      </c>
      <c r="AF108" s="44">
        <f t="shared" si="1576"/>
        <v>283815</v>
      </c>
      <c r="AG108" s="44">
        <f t="shared" si="1576"/>
        <v>283815</v>
      </c>
      <c r="AH108" s="44">
        <f>ROUND(AG108*(1+取值表!$D$10)*取值表!$H$10,0)</f>
        <v>285555</v>
      </c>
      <c r="AI108" s="44">
        <f t="shared" ref="AI108:AK108" si="1577">AH108</f>
        <v>285555</v>
      </c>
      <c r="AJ108" s="44">
        <f t="shared" si="1577"/>
        <v>285555</v>
      </c>
      <c r="AK108" s="44">
        <f t="shared" si="1577"/>
        <v>285555</v>
      </c>
      <c r="AL108" s="44">
        <f>ROUND(AK108*(1+取值表!$D$10)*取值表!$H$10,0)</f>
        <v>287305</v>
      </c>
      <c r="AM108" s="44">
        <f t="shared" ref="AM108:AO108" si="1578">AL108</f>
        <v>287305</v>
      </c>
      <c r="AN108" s="44">
        <f t="shared" si="1578"/>
        <v>287305</v>
      </c>
      <c r="AO108" s="44">
        <f t="shared" si="1578"/>
        <v>287305</v>
      </c>
      <c r="AP108" s="44">
        <f>ROUND(AO108*(1+取值表!$D$10)*取值表!$H$10,0)</f>
        <v>289066</v>
      </c>
      <c r="AQ108" s="44">
        <f t="shared" ref="AQ108:AS108" si="1579">AP108</f>
        <v>289066</v>
      </c>
      <c r="AR108" s="44">
        <f t="shared" si="1579"/>
        <v>289066</v>
      </c>
      <c r="AS108" s="44">
        <f t="shared" si="1579"/>
        <v>289066</v>
      </c>
      <c r="AT108" s="44">
        <f>ROUND(AS108*(1+取值表!$D$10)*取值表!$H$10,0)</f>
        <v>290838</v>
      </c>
      <c r="AU108" s="44">
        <f t="shared" ref="AU108:AW108" si="1580">AT108</f>
        <v>290838</v>
      </c>
      <c r="AV108" s="44">
        <f t="shared" si="1580"/>
        <v>290838</v>
      </c>
      <c r="AW108" s="44">
        <f t="shared" si="1580"/>
        <v>290838</v>
      </c>
      <c r="AX108" s="44">
        <f>ROUND(AW108*(1+取值表!$D$10)*取值表!$H$10,0)</f>
        <v>292621</v>
      </c>
      <c r="AY108" s="44">
        <f t="shared" ref="AY108:BA108" si="1581">AX108</f>
        <v>292621</v>
      </c>
      <c r="AZ108" s="44">
        <f t="shared" si="1581"/>
        <v>292621</v>
      </c>
      <c r="BA108" s="44">
        <f t="shared" si="1581"/>
        <v>292621</v>
      </c>
      <c r="BB108" s="44">
        <f>ROUND(BA108*(1+取值表!$D$10)*取值表!$H$10,0)</f>
        <v>294415</v>
      </c>
      <c r="BC108" s="44">
        <f t="shared" ref="BC108:BE108" si="1582">BB108</f>
        <v>294415</v>
      </c>
      <c r="BD108" s="44">
        <f t="shared" si="1582"/>
        <v>294415</v>
      </c>
      <c r="BE108" s="44">
        <f t="shared" si="1582"/>
        <v>294415</v>
      </c>
      <c r="BF108" s="44">
        <f>ROUND(BE108*(1+取值表!$D$10)*取值表!$H$10,0)</f>
        <v>296220</v>
      </c>
      <c r="BG108" s="44">
        <f t="shared" ref="BG108:BI108" si="1583">BF108</f>
        <v>296220</v>
      </c>
      <c r="BH108" s="44">
        <f t="shared" si="1583"/>
        <v>296220</v>
      </c>
      <c r="BI108" s="44">
        <f t="shared" si="1583"/>
        <v>296220</v>
      </c>
      <c r="BJ108" s="44">
        <f>ROUND(BI108*(1+取值表!$D$10)*取值表!$H$10,0)</f>
        <v>298036</v>
      </c>
      <c r="BK108" s="44">
        <f t="shared" ref="BK108:BM108" si="1584">BJ108</f>
        <v>298036</v>
      </c>
      <c r="BL108" s="44">
        <f t="shared" si="1584"/>
        <v>298036</v>
      </c>
      <c r="BM108" s="44">
        <f t="shared" si="1584"/>
        <v>298036</v>
      </c>
      <c r="BN108" s="44">
        <f>ROUND(BM108*(1+取值表!$D$10)*取值表!$H$10,0)</f>
        <v>299863</v>
      </c>
      <c r="BO108" s="44">
        <f t="shared" ref="BO108:BQ108" si="1585">BN108</f>
        <v>299863</v>
      </c>
      <c r="BP108" s="44">
        <f t="shared" si="1585"/>
        <v>299863</v>
      </c>
      <c r="BQ108" s="44">
        <f t="shared" si="1585"/>
        <v>299863</v>
      </c>
      <c r="BR108" s="44">
        <f>ROUND(BQ108*(1+取值表!$D$10)*取值表!$H$10,0)</f>
        <v>301701</v>
      </c>
      <c r="BS108" s="44">
        <f t="shared" ref="BS108:BU108" si="1586">BR108</f>
        <v>301701</v>
      </c>
      <c r="BT108" s="44">
        <f t="shared" si="1586"/>
        <v>301701</v>
      </c>
      <c r="BU108" s="44">
        <f t="shared" si="1586"/>
        <v>301701</v>
      </c>
      <c r="BV108" s="44">
        <f>ROUND(BU108*(1+取值表!$D$10)*取值表!$H$10,0)</f>
        <v>303550</v>
      </c>
      <c r="BW108" s="44">
        <f t="shared" ref="BW108:BY108" si="1587">BV108</f>
        <v>303550</v>
      </c>
      <c r="BX108" s="44">
        <f t="shared" si="1587"/>
        <v>303550</v>
      </c>
      <c r="BY108" s="44">
        <f t="shared" si="1587"/>
        <v>303550</v>
      </c>
      <c r="BZ108" s="44">
        <f>ROUND(BY108*(1+取值表!$D$10)*取值表!$H$10,0)</f>
        <v>305411</v>
      </c>
      <c r="CA108" s="44">
        <f t="shared" ref="CA108:CC108" si="1588">BZ108</f>
        <v>305411</v>
      </c>
      <c r="CB108" s="44">
        <f t="shared" si="1588"/>
        <v>305411</v>
      </c>
      <c r="CC108" s="44">
        <f t="shared" si="1588"/>
        <v>305411</v>
      </c>
      <c r="CD108" s="44">
        <f>ROUND(CC108*(1+取值表!$D$10)*取值表!$H$10,0)</f>
        <v>307283</v>
      </c>
      <c r="CE108" s="44">
        <f t="shared" ref="CE108:CG108" si="1589">CD108</f>
        <v>307283</v>
      </c>
      <c r="CF108" s="44">
        <f t="shared" si="1589"/>
        <v>307283</v>
      </c>
      <c r="CG108" s="44">
        <f t="shared" si="1589"/>
        <v>307283</v>
      </c>
      <c r="CH108" s="44">
        <f>ROUND(CG108*(1+取值表!$D$10)*取值表!$H$10,0)</f>
        <v>309166</v>
      </c>
      <c r="CI108" s="44">
        <f t="shared" ref="CI108:CK108" si="1590">CH108</f>
        <v>309166</v>
      </c>
      <c r="CJ108" s="44">
        <f t="shared" si="1590"/>
        <v>309166</v>
      </c>
      <c r="CK108" s="44">
        <f t="shared" si="1590"/>
        <v>309166</v>
      </c>
      <c r="CL108" s="44">
        <f>ROUND(CK108*(1+取值表!$D$10)*取值表!$H$10,0)</f>
        <v>311061</v>
      </c>
      <c r="CM108" s="44">
        <f t="shared" ref="CM108:CO108" si="1591">CL108</f>
        <v>311061</v>
      </c>
      <c r="CN108" s="44">
        <f t="shared" si="1591"/>
        <v>311061</v>
      </c>
      <c r="CO108" s="44">
        <f t="shared" si="1591"/>
        <v>311061</v>
      </c>
      <c r="CP108" s="44">
        <f>ROUND(CO108*(1+取值表!$D$10)*取值表!$H$10,0)</f>
        <v>312968</v>
      </c>
      <c r="CQ108" s="44">
        <f t="shared" ref="CQ108" si="1592">CP108</f>
        <v>312968</v>
      </c>
      <c r="CR108" s="44">
        <f t="shared" ref="CR108" si="1593">CQ108</f>
        <v>312968</v>
      </c>
      <c r="CS108" s="44">
        <f t="shared" ref="CS108" si="1594">CR108</f>
        <v>312968</v>
      </c>
      <c r="CT108" s="44">
        <f>ROUND(CS108*(1+取值表!$D$10)*取值表!$H$10,0)</f>
        <v>314886</v>
      </c>
      <c r="CU108" s="44">
        <f t="shared" ref="CU108" si="1595">CT108</f>
        <v>314886</v>
      </c>
      <c r="CV108" s="44">
        <f t="shared" ref="CV108" si="1596">CU108</f>
        <v>314886</v>
      </c>
      <c r="CW108" s="44">
        <f t="shared" ref="CW108" si="1597">CV108</f>
        <v>314886</v>
      </c>
      <c r="CX108" s="44">
        <f>ROUND(CW108*(1+取值表!$D$10)*取值表!$H$10,0)</f>
        <v>316816</v>
      </c>
      <c r="CY108" s="44">
        <f t="shared" ref="CY108" si="1598">CX108</f>
        <v>316816</v>
      </c>
      <c r="CZ108" s="44">
        <f t="shared" ref="CZ108" si="1599">CY108</f>
        <v>316816</v>
      </c>
      <c r="DA108" s="44">
        <f t="shared" ref="DA108" si="1600">CZ108</f>
        <v>316816</v>
      </c>
      <c r="DB108" s="44">
        <f>ROUND(DA108*(1+取值表!$D$10)*取值表!$H$10,0)</f>
        <v>318758</v>
      </c>
      <c r="DC108" s="44">
        <f t="shared" ref="DC108" si="1601">DB108</f>
        <v>318758</v>
      </c>
      <c r="DD108" s="44">
        <f t="shared" ref="DD108" si="1602">DC108</f>
        <v>318758</v>
      </c>
      <c r="DE108" s="44">
        <f t="shared" ref="DE108" si="1603">DD108</f>
        <v>318758</v>
      </c>
      <c r="DF108" s="45">
        <f t="shared" si="969"/>
        <v>29650740</v>
      </c>
    </row>
    <row r="109" spans="1:110" s="40" customFormat="1" ht="12">
      <c r="A109" s="505"/>
      <c r="B109" s="518"/>
      <c r="C109" s="450"/>
      <c r="D109" s="451"/>
      <c r="E109" s="452"/>
      <c r="F109" s="446"/>
      <c r="G109" s="446"/>
      <c r="H109" s="447"/>
      <c r="I109" s="41"/>
      <c r="J109" s="42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4"/>
      <c r="DE109" s="44"/>
      <c r="DF109" s="45">
        <f t="shared" si="969"/>
        <v>0</v>
      </c>
    </row>
    <row r="110" spans="1:110" s="40" customFormat="1" ht="12" customHeight="1">
      <c r="A110" s="504">
        <v>55</v>
      </c>
      <c r="B110" s="518" t="s">
        <v>130</v>
      </c>
      <c r="C110" s="450" t="s">
        <v>131</v>
      </c>
      <c r="D110" s="451" t="s">
        <v>132</v>
      </c>
      <c r="E110" s="452" t="s">
        <v>459</v>
      </c>
      <c r="F110" s="446">
        <v>135.93</v>
      </c>
      <c r="G110" s="446">
        <v>27</v>
      </c>
      <c r="H110" s="447">
        <f>F110*G110*365</f>
        <v>1339590.1500000001</v>
      </c>
      <c r="I110" s="41">
        <v>334897.53999999998</v>
      </c>
      <c r="J110" s="42">
        <f>ROUND(F110*G110*365/4,0)</f>
        <v>334898</v>
      </c>
      <c r="K110" s="43">
        <f>J110</f>
        <v>334898</v>
      </c>
      <c r="L110" s="44">
        <f>K110</f>
        <v>334898</v>
      </c>
      <c r="M110" s="44">
        <f>L110</f>
        <v>334898</v>
      </c>
      <c r="N110" s="44">
        <f>ROUND(M110*(1+取值表!$D$10)*取值表!$H$10,0)</f>
        <v>336951</v>
      </c>
      <c r="O110" s="44">
        <f>N110</f>
        <v>336951</v>
      </c>
      <c r="P110" s="44">
        <f>O110</f>
        <v>336951</v>
      </c>
      <c r="Q110" s="44">
        <f>P110</f>
        <v>336951</v>
      </c>
      <c r="R110" s="44">
        <f>ROUND(Q110*(1+取值表!$D$10)*取值表!$H$10,0)</f>
        <v>339016</v>
      </c>
      <c r="S110" s="44">
        <f t="shared" ref="S110:U110" si="1604">R110</f>
        <v>339016</v>
      </c>
      <c r="T110" s="44">
        <f t="shared" si="1604"/>
        <v>339016</v>
      </c>
      <c r="U110" s="44">
        <f t="shared" si="1604"/>
        <v>339016</v>
      </c>
      <c r="V110" s="44">
        <f>ROUND(U110*(1+取值表!$D$10)*取值表!$H$10,0)</f>
        <v>341094</v>
      </c>
      <c r="W110" s="44">
        <f t="shared" ref="W110:Y110" si="1605">V110</f>
        <v>341094</v>
      </c>
      <c r="X110" s="44">
        <f t="shared" si="1605"/>
        <v>341094</v>
      </c>
      <c r="Y110" s="44">
        <f t="shared" si="1605"/>
        <v>341094</v>
      </c>
      <c r="Z110" s="44">
        <f>ROUND(Y110*(1+取值表!$D$10)*取值表!$H$10,0)</f>
        <v>343185</v>
      </c>
      <c r="AA110" s="44">
        <f t="shared" ref="AA110:AC110" si="1606">Z110</f>
        <v>343185</v>
      </c>
      <c r="AB110" s="44">
        <f t="shared" si="1606"/>
        <v>343185</v>
      </c>
      <c r="AC110" s="44">
        <f t="shared" si="1606"/>
        <v>343185</v>
      </c>
      <c r="AD110" s="44">
        <f>ROUND(AC110*(1+取值表!$D$10)*取值表!$H$10,0)</f>
        <v>345288</v>
      </c>
      <c r="AE110" s="44">
        <f t="shared" ref="AE110:AG110" si="1607">AD110</f>
        <v>345288</v>
      </c>
      <c r="AF110" s="44">
        <f t="shared" si="1607"/>
        <v>345288</v>
      </c>
      <c r="AG110" s="44">
        <f t="shared" si="1607"/>
        <v>345288</v>
      </c>
      <c r="AH110" s="44">
        <f>ROUND(AG110*(1+取值表!$D$10)*取值表!$H$10,0)</f>
        <v>347404</v>
      </c>
      <c r="AI110" s="44">
        <f t="shared" ref="AI110:AK110" si="1608">AH110</f>
        <v>347404</v>
      </c>
      <c r="AJ110" s="44">
        <f t="shared" si="1608"/>
        <v>347404</v>
      </c>
      <c r="AK110" s="44">
        <f t="shared" si="1608"/>
        <v>347404</v>
      </c>
      <c r="AL110" s="44">
        <f>ROUND(AK110*(1+取值表!$D$10)*取值表!$H$10,0)</f>
        <v>349533</v>
      </c>
      <c r="AM110" s="44">
        <f t="shared" ref="AM110:AO110" si="1609">AL110</f>
        <v>349533</v>
      </c>
      <c r="AN110" s="44">
        <f t="shared" si="1609"/>
        <v>349533</v>
      </c>
      <c r="AO110" s="44">
        <f t="shared" si="1609"/>
        <v>349533</v>
      </c>
      <c r="AP110" s="44">
        <f>ROUND(AO110*(1+取值表!$D$10)*取值表!$H$10,0)</f>
        <v>351675</v>
      </c>
      <c r="AQ110" s="44">
        <f t="shared" ref="AQ110:AS110" si="1610">AP110</f>
        <v>351675</v>
      </c>
      <c r="AR110" s="44">
        <f t="shared" si="1610"/>
        <v>351675</v>
      </c>
      <c r="AS110" s="44">
        <f t="shared" si="1610"/>
        <v>351675</v>
      </c>
      <c r="AT110" s="44">
        <f>ROUND(AS110*(1+取值表!$D$10)*取值表!$H$10,0)</f>
        <v>353830</v>
      </c>
      <c r="AU110" s="44">
        <f t="shared" ref="AU110:AW110" si="1611">AT110</f>
        <v>353830</v>
      </c>
      <c r="AV110" s="44">
        <f t="shared" si="1611"/>
        <v>353830</v>
      </c>
      <c r="AW110" s="44">
        <f t="shared" si="1611"/>
        <v>353830</v>
      </c>
      <c r="AX110" s="44">
        <f>ROUND(AW110*(1+取值表!$D$10)*取值表!$H$10,0)</f>
        <v>355999</v>
      </c>
      <c r="AY110" s="44">
        <f t="shared" ref="AY110:BA110" si="1612">AX110</f>
        <v>355999</v>
      </c>
      <c r="AZ110" s="44">
        <f t="shared" si="1612"/>
        <v>355999</v>
      </c>
      <c r="BA110" s="44">
        <f t="shared" si="1612"/>
        <v>355999</v>
      </c>
      <c r="BB110" s="44">
        <f>ROUND(BA110*(1+取值表!$D$10)*取值表!$H$10,0)</f>
        <v>358181</v>
      </c>
      <c r="BC110" s="44">
        <f t="shared" ref="BC110:BE110" si="1613">BB110</f>
        <v>358181</v>
      </c>
      <c r="BD110" s="44">
        <f t="shared" si="1613"/>
        <v>358181</v>
      </c>
      <c r="BE110" s="44">
        <f t="shared" si="1613"/>
        <v>358181</v>
      </c>
      <c r="BF110" s="44">
        <f>ROUND(BE110*(1+取值表!$D$10)*取值表!$H$10,0)</f>
        <v>360376</v>
      </c>
      <c r="BG110" s="44">
        <f t="shared" ref="BG110:BI110" si="1614">BF110</f>
        <v>360376</v>
      </c>
      <c r="BH110" s="44">
        <f t="shared" si="1614"/>
        <v>360376</v>
      </c>
      <c r="BI110" s="44">
        <f t="shared" si="1614"/>
        <v>360376</v>
      </c>
      <c r="BJ110" s="44">
        <f>ROUND(BI110*(1+取值表!$D$10)*取值表!$H$10,0)</f>
        <v>362585</v>
      </c>
      <c r="BK110" s="44">
        <f t="shared" ref="BK110:BM110" si="1615">BJ110</f>
        <v>362585</v>
      </c>
      <c r="BL110" s="44">
        <f t="shared" si="1615"/>
        <v>362585</v>
      </c>
      <c r="BM110" s="44">
        <f t="shared" si="1615"/>
        <v>362585</v>
      </c>
      <c r="BN110" s="44">
        <f>ROUND(BM110*(1+取值表!$D$10)*取值表!$H$10,0)</f>
        <v>364807</v>
      </c>
      <c r="BO110" s="44">
        <f t="shared" ref="BO110:BQ110" si="1616">BN110</f>
        <v>364807</v>
      </c>
      <c r="BP110" s="44">
        <f t="shared" si="1616"/>
        <v>364807</v>
      </c>
      <c r="BQ110" s="44">
        <f t="shared" si="1616"/>
        <v>364807</v>
      </c>
      <c r="BR110" s="44">
        <f>ROUND(BQ110*(1+取值表!$D$10)*取值表!$H$10,0)</f>
        <v>367043</v>
      </c>
      <c r="BS110" s="44">
        <f t="shared" ref="BS110:BU110" si="1617">BR110</f>
        <v>367043</v>
      </c>
      <c r="BT110" s="44">
        <f t="shared" si="1617"/>
        <v>367043</v>
      </c>
      <c r="BU110" s="44">
        <f t="shared" si="1617"/>
        <v>367043</v>
      </c>
      <c r="BV110" s="44">
        <f>ROUND(BU110*(1+取值表!$D$10)*取值表!$H$10,0)</f>
        <v>369293</v>
      </c>
      <c r="BW110" s="44">
        <f t="shared" ref="BW110:BY110" si="1618">BV110</f>
        <v>369293</v>
      </c>
      <c r="BX110" s="44">
        <f t="shared" si="1618"/>
        <v>369293</v>
      </c>
      <c r="BY110" s="44">
        <f t="shared" si="1618"/>
        <v>369293</v>
      </c>
      <c r="BZ110" s="44">
        <f>ROUND(BY110*(1+取值表!$D$10)*取值表!$H$10,0)</f>
        <v>371556</v>
      </c>
      <c r="CA110" s="44">
        <f t="shared" ref="CA110:CC110" si="1619">BZ110</f>
        <v>371556</v>
      </c>
      <c r="CB110" s="44">
        <f t="shared" si="1619"/>
        <v>371556</v>
      </c>
      <c r="CC110" s="44">
        <f t="shared" si="1619"/>
        <v>371556</v>
      </c>
      <c r="CD110" s="44">
        <f>ROUND(CC110*(1+取值表!$D$10)*取值表!$H$10,0)</f>
        <v>373833</v>
      </c>
      <c r="CE110" s="44">
        <f t="shared" ref="CE110:CG110" si="1620">CD110</f>
        <v>373833</v>
      </c>
      <c r="CF110" s="44">
        <f t="shared" si="1620"/>
        <v>373833</v>
      </c>
      <c r="CG110" s="44">
        <f t="shared" si="1620"/>
        <v>373833</v>
      </c>
      <c r="CH110" s="44">
        <f>ROUND(CG110*(1+取值表!$D$10)*取值表!$H$10,0)</f>
        <v>376124</v>
      </c>
      <c r="CI110" s="44">
        <f t="shared" ref="CI110:CK110" si="1621">CH110</f>
        <v>376124</v>
      </c>
      <c r="CJ110" s="44">
        <f t="shared" si="1621"/>
        <v>376124</v>
      </c>
      <c r="CK110" s="44">
        <f t="shared" si="1621"/>
        <v>376124</v>
      </c>
      <c r="CL110" s="44">
        <f>ROUND(CK110*(1+取值表!$D$10)*取值表!$H$10,0)</f>
        <v>378429</v>
      </c>
      <c r="CM110" s="44">
        <f t="shared" ref="CM110:CO110" si="1622">CL110</f>
        <v>378429</v>
      </c>
      <c r="CN110" s="44">
        <f t="shared" si="1622"/>
        <v>378429</v>
      </c>
      <c r="CO110" s="44">
        <f t="shared" si="1622"/>
        <v>378429</v>
      </c>
      <c r="CP110" s="44">
        <f>ROUND(CO110*(1+取值表!$D$10)*取值表!$H$10,0)</f>
        <v>380748</v>
      </c>
      <c r="CQ110" s="44">
        <f t="shared" ref="CQ110" si="1623">CP110</f>
        <v>380748</v>
      </c>
      <c r="CR110" s="44">
        <f t="shared" ref="CR110" si="1624">CQ110</f>
        <v>380748</v>
      </c>
      <c r="CS110" s="44">
        <f t="shared" ref="CS110" si="1625">CR110</f>
        <v>380748</v>
      </c>
      <c r="CT110" s="44">
        <f>ROUND(CS110*(1+取值表!$D$10)*取值表!$H$10,0)</f>
        <v>383082</v>
      </c>
      <c r="CU110" s="44">
        <f t="shared" ref="CU110" si="1626">CT110</f>
        <v>383082</v>
      </c>
      <c r="CV110" s="44">
        <f t="shared" ref="CV110" si="1627">CU110</f>
        <v>383082</v>
      </c>
      <c r="CW110" s="44">
        <f t="shared" ref="CW110" si="1628">CV110</f>
        <v>383082</v>
      </c>
      <c r="CX110" s="44">
        <f>ROUND(CW110*(1+取值表!$D$10)*取值表!$H$10,0)</f>
        <v>385430</v>
      </c>
      <c r="CY110" s="44">
        <f t="shared" ref="CY110" si="1629">CX110</f>
        <v>385430</v>
      </c>
      <c r="CZ110" s="44">
        <f t="shared" ref="CZ110" si="1630">CY110</f>
        <v>385430</v>
      </c>
      <c r="DA110" s="44">
        <f t="shared" ref="DA110" si="1631">CZ110</f>
        <v>385430</v>
      </c>
      <c r="DB110" s="44">
        <f>ROUND(DA110*(1+取值表!$D$10)*取值表!$H$10,0)</f>
        <v>387792</v>
      </c>
      <c r="DC110" s="44">
        <f t="shared" ref="DC110" si="1632">DB110</f>
        <v>387792</v>
      </c>
      <c r="DD110" s="44">
        <f t="shared" ref="DD110" si="1633">DC110</f>
        <v>387792</v>
      </c>
      <c r="DE110" s="44">
        <f t="shared" ref="DE110" si="1634">DD110</f>
        <v>387792</v>
      </c>
      <c r="DF110" s="45">
        <f t="shared" si="969"/>
        <v>36072608</v>
      </c>
    </row>
    <row r="111" spans="1:110" s="40" customFormat="1" ht="12">
      <c r="A111" s="505"/>
      <c r="B111" s="518"/>
      <c r="C111" s="450"/>
      <c r="D111" s="451"/>
      <c r="E111" s="452"/>
      <c r="F111" s="446"/>
      <c r="G111" s="446"/>
      <c r="H111" s="447"/>
      <c r="I111" s="41"/>
      <c r="J111" s="42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/>
      <c r="DD111" s="44"/>
      <c r="DE111" s="44"/>
      <c r="DF111" s="45">
        <f t="shared" si="969"/>
        <v>0</v>
      </c>
    </row>
    <row r="112" spans="1:110" s="40" customFormat="1" ht="12" customHeight="1">
      <c r="A112" s="504">
        <v>56</v>
      </c>
      <c r="B112" s="518" t="s">
        <v>133</v>
      </c>
      <c r="C112" s="450" t="s">
        <v>134</v>
      </c>
      <c r="D112" s="451" t="s">
        <v>468</v>
      </c>
      <c r="E112" s="452" t="s">
        <v>459</v>
      </c>
      <c r="F112" s="446">
        <v>12.67</v>
      </c>
      <c r="G112" s="446">
        <v>33</v>
      </c>
      <c r="H112" s="447">
        <f>F112*G112*365</f>
        <v>152610.15</v>
      </c>
      <c r="I112" s="41">
        <v>38152.54</v>
      </c>
      <c r="J112" s="42">
        <f>ROUND(F112*G112*365/4,0)</f>
        <v>38153</v>
      </c>
      <c r="K112" s="43">
        <f>J112</f>
        <v>38153</v>
      </c>
      <c r="L112" s="44">
        <f>K112</f>
        <v>38153</v>
      </c>
      <c r="M112" s="44">
        <f>L112</f>
        <v>38153</v>
      </c>
      <c r="N112" s="44">
        <f>ROUND(M112*(1+取值表!$D$10)*取值表!$H$10,0)</f>
        <v>38387</v>
      </c>
      <c r="O112" s="44">
        <f>N112</f>
        <v>38387</v>
      </c>
      <c r="P112" s="44">
        <f>O112</f>
        <v>38387</v>
      </c>
      <c r="Q112" s="44">
        <f>P112</f>
        <v>38387</v>
      </c>
      <c r="R112" s="44">
        <f>ROUND(Q112*(1+取值表!$D$10)*取值表!$H$10,0)</f>
        <v>38622</v>
      </c>
      <c r="S112" s="44">
        <f t="shared" ref="S112:U112" si="1635">R112</f>
        <v>38622</v>
      </c>
      <c r="T112" s="44">
        <f t="shared" si="1635"/>
        <v>38622</v>
      </c>
      <c r="U112" s="44">
        <f t="shared" si="1635"/>
        <v>38622</v>
      </c>
      <c r="V112" s="44">
        <f>ROUND(U112*(1+取值表!$D$10)*取值表!$H$10,0)</f>
        <v>38859</v>
      </c>
      <c r="W112" s="44">
        <f t="shared" ref="W112:Y112" si="1636">V112</f>
        <v>38859</v>
      </c>
      <c r="X112" s="44">
        <f t="shared" si="1636"/>
        <v>38859</v>
      </c>
      <c r="Y112" s="44">
        <f t="shared" si="1636"/>
        <v>38859</v>
      </c>
      <c r="Z112" s="44">
        <f>ROUND(Y112*(1+取值表!$D$10)*取值表!$H$10,0)</f>
        <v>39097</v>
      </c>
      <c r="AA112" s="44">
        <f t="shared" ref="AA112:AC112" si="1637">Z112</f>
        <v>39097</v>
      </c>
      <c r="AB112" s="44">
        <f t="shared" si="1637"/>
        <v>39097</v>
      </c>
      <c r="AC112" s="44">
        <f t="shared" si="1637"/>
        <v>39097</v>
      </c>
      <c r="AD112" s="44">
        <f>ROUND(AC112*(1+取值表!$D$10)*取值表!$H$10,0)</f>
        <v>39337</v>
      </c>
      <c r="AE112" s="44">
        <f t="shared" ref="AE112:AG112" si="1638">AD112</f>
        <v>39337</v>
      </c>
      <c r="AF112" s="44">
        <f t="shared" si="1638"/>
        <v>39337</v>
      </c>
      <c r="AG112" s="44">
        <f t="shared" si="1638"/>
        <v>39337</v>
      </c>
      <c r="AH112" s="44">
        <f>ROUND(AG112*(1+取值表!$D$10)*取值表!$H$10,0)</f>
        <v>39578</v>
      </c>
      <c r="AI112" s="44">
        <f t="shared" ref="AI112:AK112" si="1639">AH112</f>
        <v>39578</v>
      </c>
      <c r="AJ112" s="44">
        <f t="shared" si="1639"/>
        <v>39578</v>
      </c>
      <c r="AK112" s="44">
        <f t="shared" si="1639"/>
        <v>39578</v>
      </c>
      <c r="AL112" s="44">
        <f>ROUND(AK112*(1+取值表!$D$10)*取值表!$H$10,0)</f>
        <v>39821</v>
      </c>
      <c r="AM112" s="44">
        <f t="shared" ref="AM112:AO112" si="1640">AL112</f>
        <v>39821</v>
      </c>
      <c r="AN112" s="44">
        <f t="shared" si="1640"/>
        <v>39821</v>
      </c>
      <c r="AO112" s="44">
        <f t="shared" si="1640"/>
        <v>39821</v>
      </c>
      <c r="AP112" s="44">
        <f>ROUND(AO112*(1+取值表!$D$10)*取值表!$H$10,0)</f>
        <v>40065</v>
      </c>
      <c r="AQ112" s="44">
        <f t="shared" ref="AQ112:AS112" si="1641">AP112</f>
        <v>40065</v>
      </c>
      <c r="AR112" s="44">
        <f t="shared" si="1641"/>
        <v>40065</v>
      </c>
      <c r="AS112" s="44">
        <f t="shared" si="1641"/>
        <v>40065</v>
      </c>
      <c r="AT112" s="44">
        <f>ROUND(AS112*(1+取值表!$D$10)*取值表!$H$10,0)</f>
        <v>40311</v>
      </c>
      <c r="AU112" s="44">
        <f t="shared" ref="AU112:AW112" si="1642">AT112</f>
        <v>40311</v>
      </c>
      <c r="AV112" s="44">
        <f t="shared" si="1642"/>
        <v>40311</v>
      </c>
      <c r="AW112" s="44">
        <f t="shared" si="1642"/>
        <v>40311</v>
      </c>
      <c r="AX112" s="44">
        <f>ROUND(AW112*(1+取值表!$D$10)*取值表!$H$10,0)</f>
        <v>40558</v>
      </c>
      <c r="AY112" s="44">
        <f t="shared" ref="AY112:BA112" si="1643">AX112</f>
        <v>40558</v>
      </c>
      <c r="AZ112" s="44">
        <f t="shared" si="1643"/>
        <v>40558</v>
      </c>
      <c r="BA112" s="44">
        <f t="shared" si="1643"/>
        <v>40558</v>
      </c>
      <c r="BB112" s="44">
        <f>ROUND(BA112*(1+取值表!$D$10)*取值表!$H$10,0)</f>
        <v>40807</v>
      </c>
      <c r="BC112" s="44">
        <f t="shared" ref="BC112:BE112" si="1644">BB112</f>
        <v>40807</v>
      </c>
      <c r="BD112" s="44">
        <f t="shared" si="1644"/>
        <v>40807</v>
      </c>
      <c r="BE112" s="44">
        <f t="shared" si="1644"/>
        <v>40807</v>
      </c>
      <c r="BF112" s="44">
        <f>ROUND(BE112*(1+取值表!$D$10)*取值表!$H$10,0)</f>
        <v>41057</v>
      </c>
      <c r="BG112" s="44">
        <f t="shared" ref="BG112:BI112" si="1645">BF112</f>
        <v>41057</v>
      </c>
      <c r="BH112" s="44">
        <f t="shared" si="1645"/>
        <v>41057</v>
      </c>
      <c r="BI112" s="44">
        <f t="shared" si="1645"/>
        <v>41057</v>
      </c>
      <c r="BJ112" s="44">
        <f>ROUND(BI112*(1+取值表!$D$10)*取值表!$H$10,0)</f>
        <v>41309</v>
      </c>
      <c r="BK112" s="44">
        <f t="shared" ref="BK112:BM112" si="1646">BJ112</f>
        <v>41309</v>
      </c>
      <c r="BL112" s="44">
        <f t="shared" si="1646"/>
        <v>41309</v>
      </c>
      <c r="BM112" s="44">
        <f t="shared" si="1646"/>
        <v>41309</v>
      </c>
      <c r="BN112" s="44">
        <f>ROUND(BM112*(1+取值表!$D$10)*取值表!$H$10,0)</f>
        <v>41562</v>
      </c>
      <c r="BO112" s="44">
        <f t="shared" ref="BO112:BQ112" si="1647">BN112</f>
        <v>41562</v>
      </c>
      <c r="BP112" s="44">
        <f t="shared" si="1647"/>
        <v>41562</v>
      </c>
      <c r="BQ112" s="44">
        <f t="shared" si="1647"/>
        <v>41562</v>
      </c>
      <c r="BR112" s="44">
        <f>ROUND(BQ112*(1+取值表!$D$10)*取值表!$H$10,0)</f>
        <v>41817</v>
      </c>
      <c r="BS112" s="44">
        <f t="shared" ref="BS112:BU112" si="1648">BR112</f>
        <v>41817</v>
      </c>
      <c r="BT112" s="44">
        <f t="shared" si="1648"/>
        <v>41817</v>
      </c>
      <c r="BU112" s="44">
        <f t="shared" si="1648"/>
        <v>41817</v>
      </c>
      <c r="BV112" s="44">
        <f>ROUND(BU112*(1+取值表!$D$10)*取值表!$H$10,0)</f>
        <v>42073</v>
      </c>
      <c r="BW112" s="44">
        <f t="shared" ref="BW112:BY112" si="1649">BV112</f>
        <v>42073</v>
      </c>
      <c r="BX112" s="44">
        <f t="shared" si="1649"/>
        <v>42073</v>
      </c>
      <c r="BY112" s="44">
        <f t="shared" si="1649"/>
        <v>42073</v>
      </c>
      <c r="BZ112" s="44">
        <f>ROUND(BY112*(1+取值表!$D$10)*取值表!$H$10,0)</f>
        <v>42331</v>
      </c>
      <c r="CA112" s="44">
        <f t="shared" ref="CA112:CC112" si="1650">BZ112</f>
        <v>42331</v>
      </c>
      <c r="CB112" s="44">
        <f t="shared" si="1650"/>
        <v>42331</v>
      </c>
      <c r="CC112" s="44">
        <f t="shared" si="1650"/>
        <v>42331</v>
      </c>
      <c r="CD112" s="44">
        <f>ROUND(CC112*(1+取值表!$D$10)*取值表!$H$10,0)</f>
        <v>42590</v>
      </c>
      <c r="CE112" s="44">
        <f t="shared" ref="CE112:CG112" si="1651">CD112</f>
        <v>42590</v>
      </c>
      <c r="CF112" s="44">
        <f t="shared" si="1651"/>
        <v>42590</v>
      </c>
      <c r="CG112" s="44">
        <f t="shared" si="1651"/>
        <v>42590</v>
      </c>
      <c r="CH112" s="44">
        <f>ROUND(CG112*(1+取值表!$D$10)*取值表!$H$10,0)</f>
        <v>42851</v>
      </c>
      <c r="CI112" s="44">
        <f t="shared" ref="CI112:CK112" si="1652">CH112</f>
        <v>42851</v>
      </c>
      <c r="CJ112" s="44">
        <f t="shared" si="1652"/>
        <v>42851</v>
      </c>
      <c r="CK112" s="44">
        <f t="shared" si="1652"/>
        <v>42851</v>
      </c>
      <c r="CL112" s="44">
        <f>ROUND(CK112*(1+取值表!$D$10)*取值表!$H$10,0)</f>
        <v>43114</v>
      </c>
      <c r="CM112" s="44">
        <f t="shared" ref="CM112:CO112" si="1653">CL112</f>
        <v>43114</v>
      </c>
      <c r="CN112" s="44">
        <f t="shared" si="1653"/>
        <v>43114</v>
      </c>
      <c r="CO112" s="44">
        <f t="shared" si="1653"/>
        <v>43114</v>
      </c>
      <c r="CP112" s="44">
        <f>ROUND(CO112*(1+取值表!$D$10)*取值表!$H$10,0)</f>
        <v>43378</v>
      </c>
      <c r="CQ112" s="44">
        <f t="shared" ref="CQ112" si="1654">CP112</f>
        <v>43378</v>
      </c>
      <c r="CR112" s="44">
        <f t="shared" ref="CR112" si="1655">CQ112</f>
        <v>43378</v>
      </c>
      <c r="CS112" s="44">
        <f t="shared" ref="CS112" si="1656">CR112</f>
        <v>43378</v>
      </c>
      <c r="CT112" s="44">
        <f>ROUND(CS112*(1+取值表!$D$10)*取值表!$H$10,0)</f>
        <v>43644</v>
      </c>
      <c r="CU112" s="44">
        <f t="shared" ref="CU112" si="1657">CT112</f>
        <v>43644</v>
      </c>
      <c r="CV112" s="44">
        <f t="shared" ref="CV112" si="1658">CU112</f>
        <v>43644</v>
      </c>
      <c r="CW112" s="44">
        <f t="shared" ref="CW112" si="1659">CV112</f>
        <v>43644</v>
      </c>
      <c r="CX112" s="44">
        <f>ROUND(CW112*(1+取值表!$D$10)*取值表!$H$10,0)</f>
        <v>43912</v>
      </c>
      <c r="CY112" s="44">
        <f t="shared" ref="CY112" si="1660">CX112</f>
        <v>43912</v>
      </c>
      <c r="CZ112" s="44">
        <f t="shared" ref="CZ112" si="1661">CY112</f>
        <v>43912</v>
      </c>
      <c r="DA112" s="44">
        <f t="shared" ref="DA112" si="1662">CZ112</f>
        <v>43912</v>
      </c>
      <c r="DB112" s="44">
        <f>ROUND(DA112*(1+取值表!$D$10)*取值表!$H$10,0)</f>
        <v>44181</v>
      </c>
      <c r="DC112" s="44">
        <f t="shared" ref="DC112" si="1663">DB112</f>
        <v>44181</v>
      </c>
      <c r="DD112" s="44">
        <f t="shared" ref="DD112" si="1664">DC112</f>
        <v>44181</v>
      </c>
      <c r="DE112" s="44">
        <f t="shared" ref="DE112" si="1665">DD112</f>
        <v>44181</v>
      </c>
      <c r="DF112" s="45">
        <f t="shared" si="969"/>
        <v>4109656</v>
      </c>
    </row>
    <row r="113" spans="1:110" s="40" customFormat="1" ht="17.25" customHeight="1">
      <c r="A113" s="505"/>
      <c r="B113" s="518"/>
      <c r="C113" s="450"/>
      <c r="D113" s="451"/>
      <c r="E113" s="452"/>
      <c r="F113" s="446"/>
      <c r="G113" s="446"/>
      <c r="H113" s="447"/>
      <c r="I113" s="41"/>
      <c r="J113" s="42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/>
      <c r="DD113" s="44"/>
      <c r="DE113" s="44"/>
      <c r="DF113" s="45">
        <f t="shared" si="969"/>
        <v>0</v>
      </c>
    </row>
    <row r="114" spans="1:110" s="40" customFormat="1" ht="12" customHeight="1">
      <c r="A114" s="504">
        <v>57</v>
      </c>
      <c r="B114" s="518" t="s">
        <v>135</v>
      </c>
      <c r="C114" s="450" t="s">
        <v>733</v>
      </c>
      <c r="D114" s="451" t="s">
        <v>469</v>
      </c>
      <c r="E114" s="452" t="s">
        <v>459</v>
      </c>
      <c r="F114" s="446">
        <v>152.41</v>
      </c>
      <c r="G114" s="446">
        <v>22</v>
      </c>
      <c r="H114" s="447">
        <f>F114*G114*365</f>
        <v>1223852.3</v>
      </c>
      <c r="I114" s="41">
        <v>312916.78000000003</v>
      </c>
      <c r="J114" s="42">
        <f>ROUND(F114*G114*365/4,0)</f>
        <v>305963</v>
      </c>
      <c r="K114" s="44">
        <f t="shared" ref="K114:Q114" si="1666">J114</f>
        <v>305963</v>
      </c>
      <c r="L114" s="44">
        <f t="shared" si="1666"/>
        <v>305963</v>
      </c>
      <c r="M114" s="44">
        <f t="shared" si="1666"/>
        <v>305963</v>
      </c>
      <c r="N114" s="44">
        <f t="shared" si="1666"/>
        <v>305963</v>
      </c>
      <c r="O114" s="43">
        <f t="shared" si="1666"/>
        <v>305963</v>
      </c>
      <c r="P114" s="44">
        <f t="shared" si="1666"/>
        <v>305963</v>
      </c>
      <c r="Q114" s="44">
        <f t="shared" si="1666"/>
        <v>305963</v>
      </c>
      <c r="R114" s="44">
        <f>ROUND(Q114*(1+取值表!$D$10)*取值表!$H$10,0)</f>
        <v>307838</v>
      </c>
      <c r="S114" s="44">
        <f>R114</f>
        <v>307838</v>
      </c>
      <c r="T114" s="44">
        <f>S114</f>
        <v>307838</v>
      </c>
      <c r="U114" s="44">
        <f>T114</f>
        <v>307838</v>
      </c>
      <c r="V114" s="44">
        <f>ROUND(U114*(1+取值表!$D$10)*取值表!$H$10,0)</f>
        <v>309725</v>
      </c>
      <c r="W114" s="44">
        <f t="shared" ref="W114:Y114" si="1667">V114</f>
        <v>309725</v>
      </c>
      <c r="X114" s="44">
        <f t="shared" si="1667"/>
        <v>309725</v>
      </c>
      <c r="Y114" s="44">
        <f t="shared" si="1667"/>
        <v>309725</v>
      </c>
      <c r="Z114" s="44">
        <f>ROUND(Y114*(1+取值表!$D$10)*取值表!$H$10,0)</f>
        <v>311623</v>
      </c>
      <c r="AA114" s="44">
        <f t="shared" ref="AA114:AC114" si="1668">Z114</f>
        <v>311623</v>
      </c>
      <c r="AB114" s="44">
        <f t="shared" si="1668"/>
        <v>311623</v>
      </c>
      <c r="AC114" s="44">
        <f t="shared" si="1668"/>
        <v>311623</v>
      </c>
      <c r="AD114" s="44">
        <f>ROUND(AC114*(1+取值表!$D$10)*取值表!$H$10,0)</f>
        <v>313533</v>
      </c>
      <c r="AE114" s="44">
        <f t="shared" ref="AE114:AG114" si="1669">AD114</f>
        <v>313533</v>
      </c>
      <c r="AF114" s="44">
        <f t="shared" si="1669"/>
        <v>313533</v>
      </c>
      <c r="AG114" s="44">
        <f t="shared" si="1669"/>
        <v>313533</v>
      </c>
      <c r="AH114" s="44">
        <f>ROUND(AG114*(1+取值表!$D$10)*取值表!$H$10,0)</f>
        <v>315455</v>
      </c>
      <c r="AI114" s="44">
        <f t="shared" ref="AI114:AK114" si="1670">AH114</f>
        <v>315455</v>
      </c>
      <c r="AJ114" s="44">
        <f t="shared" si="1670"/>
        <v>315455</v>
      </c>
      <c r="AK114" s="44">
        <f t="shared" si="1670"/>
        <v>315455</v>
      </c>
      <c r="AL114" s="44">
        <f>ROUND(AK114*(1+取值表!$D$10)*取值表!$H$10,0)</f>
        <v>317388</v>
      </c>
      <c r="AM114" s="44">
        <f t="shared" ref="AM114:AO114" si="1671">AL114</f>
        <v>317388</v>
      </c>
      <c r="AN114" s="44">
        <f t="shared" si="1671"/>
        <v>317388</v>
      </c>
      <c r="AO114" s="44">
        <f t="shared" si="1671"/>
        <v>317388</v>
      </c>
      <c r="AP114" s="44">
        <f>ROUND(AO114*(1+取值表!$D$10)*取值表!$H$10,0)</f>
        <v>319333</v>
      </c>
      <c r="AQ114" s="44">
        <f t="shared" ref="AQ114:AS114" si="1672">AP114</f>
        <v>319333</v>
      </c>
      <c r="AR114" s="44">
        <f t="shared" si="1672"/>
        <v>319333</v>
      </c>
      <c r="AS114" s="44">
        <f t="shared" si="1672"/>
        <v>319333</v>
      </c>
      <c r="AT114" s="44">
        <f>ROUND(AS114*(1+取值表!$D$10)*取值表!$H$10,0)</f>
        <v>321290</v>
      </c>
      <c r="AU114" s="44">
        <f t="shared" ref="AU114:AW114" si="1673">AT114</f>
        <v>321290</v>
      </c>
      <c r="AV114" s="44">
        <f t="shared" si="1673"/>
        <v>321290</v>
      </c>
      <c r="AW114" s="44">
        <f t="shared" si="1673"/>
        <v>321290</v>
      </c>
      <c r="AX114" s="44">
        <f>ROUND(AW114*(1+取值表!$D$10)*取值表!$H$10,0)</f>
        <v>323259</v>
      </c>
      <c r="AY114" s="44">
        <f t="shared" ref="AY114:BA114" si="1674">AX114</f>
        <v>323259</v>
      </c>
      <c r="AZ114" s="44">
        <f t="shared" si="1674"/>
        <v>323259</v>
      </c>
      <c r="BA114" s="44">
        <f t="shared" si="1674"/>
        <v>323259</v>
      </c>
      <c r="BB114" s="44">
        <f>ROUND(BA114*(1+取值表!$D$10)*取值表!$H$10,0)</f>
        <v>325240</v>
      </c>
      <c r="BC114" s="44">
        <f t="shared" ref="BC114:BE114" si="1675">BB114</f>
        <v>325240</v>
      </c>
      <c r="BD114" s="44">
        <f t="shared" si="1675"/>
        <v>325240</v>
      </c>
      <c r="BE114" s="44">
        <f t="shared" si="1675"/>
        <v>325240</v>
      </c>
      <c r="BF114" s="44">
        <f>ROUND(BE114*(1+取值表!$D$10)*取值表!$H$10,0)</f>
        <v>327233</v>
      </c>
      <c r="BG114" s="44">
        <f t="shared" ref="BG114:BI114" si="1676">BF114</f>
        <v>327233</v>
      </c>
      <c r="BH114" s="44">
        <f t="shared" si="1676"/>
        <v>327233</v>
      </c>
      <c r="BI114" s="44">
        <f t="shared" si="1676"/>
        <v>327233</v>
      </c>
      <c r="BJ114" s="44">
        <f>ROUND(BI114*(1+取值表!$D$10)*取值表!$H$10,0)</f>
        <v>329239</v>
      </c>
      <c r="BK114" s="44">
        <f t="shared" ref="BK114:BM114" si="1677">BJ114</f>
        <v>329239</v>
      </c>
      <c r="BL114" s="44">
        <f t="shared" si="1677"/>
        <v>329239</v>
      </c>
      <c r="BM114" s="44">
        <f t="shared" si="1677"/>
        <v>329239</v>
      </c>
      <c r="BN114" s="44">
        <f>ROUND(BM114*(1+取值表!$D$10)*取值表!$H$10,0)</f>
        <v>331257</v>
      </c>
      <c r="BO114" s="44">
        <f t="shared" ref="BO114:BQ114" si="1678">BN114</f>
        <v>331257</v>
      </c>
      <c r="BP114" s="44">
        <f t="shared" si="1678"/>
        <v>331257</v>
      </c>
      <c r="BQ114" s="44">
        <f t="shared" si="1678"/>
        <v>331257</v>
      </c>
      <c r="BR114" s="44">
        <f>ROUND(BQ114*(1+取值表!$D$10)*取值表!$H$10,0)</f>
        <v>333287</v>
      </c>
      <c r="BS114" s="44">
        <f t="shared" ref="BS114:BU114" si="1679">BR114</f>
        <v>333287</v>
      </c>
      <c r="BT114" s="44">
        <f t="shared" si="1679"/>
        <v>333287</v>
      </c>
      <c r="BU114" s="44">
        <f t="shared" si="1679"/>
        <v>333287</v>
      </c>
      <c r="BV114" s="44">
        <f>ROUND(BU114*(1+取值表!$D$10)*取值表!$H$10,0)</f>
        <v>335330</v>
      </c>
      <c r="BW114" s="44">
        <f t="shared" ref="BW114:BY114" si="1680">BV114</f>
        <v>335330</v>
      </c>
      <c r="BX114" s="44">
        <f t="shared" si="1680"/>
        <v>335330</v>
      </c>
      <c r="BY114" s="44">
        <f t="shared" si="1680"/>
        <v>335330</v>
      </c>
      <c r="BZ114" s="44">
        <f>ROUND(BY114*(1+取值表!$D$10)*取值表!$H$10,0)</f>
        <v>337385</v>
      </c>
      <c r="CA114" s="44">
        <f t="shared" ref="CA114:CC114" si="1681">BZ114</f>
        <v>337385</v>
      </c>
      <c r="CB114" s="44">
        <f t="shared" si="1681"/>
        <v>337385</v>
      </c>
      <c r="CC114" s="44">
        <f t="shared" si="1681"/>
        <v>337385</v>
      </c>
      <c r="CD114" s="44">
        <f>ROUND(CC114*(1+取值表!$D$10)*取值表!$H$10,0)</f>
        <v>339453</v>
      </c>
      <c r="CE114" s="44">
        <f t="shared" ref="CE114:CG114" si="1682">CD114</f>
        <v>339453</v>
      </c>
      <c r="CF114" s="44">
        <f t="shared" si="1682"/>
        <v>339453</v>
      </c>
      <c r="CG114" s="44">
        <f t="shared" si="1682"/>
        <v>339453</v>
      </c>
      <c r="CH114" s="44">
        <f>ROUND(CG114*(1+取值表!$D$10)*取值表!$H$10,0)</f>
        <v>341534</v>
      </c>
      <c r="CI114" s="44">
        <f t="shared" ref="CI114:CK114" si="1683">CH114</f>
        <v>341534</v>
      </c>
      <c r="CJ114" s="44">
        <f t="shared" si="1683"/>
        <v>341534</v>
      </c>
      <c r="CK114" s="44">
        <f t="shared" si="1683"/>
        <v>341534</v>
      </c>
      <c r="CL114" s="44">
        <f>ROUND(CK114*(1+取值表!$D$10)*取值表!$H$10,0)</f>
        <v>343627</v>
      </c>
      <c r="CM114" s="44">
        <f t="shared" ref="CM114:CO114" si="1684">CL114</f>
        <v>343627</v>
      </c>
      <c r="CN114" s="44">
        <f t="shared" si="1684"/>
        <v>343627</v>
      </c>
      <c r="CO114" s="44">
        <f t="shared" si="1684"/>
        <v>343627</v>
      </c>
      <c r="CP114" s="44">
        <f>ROUND(CO114*(1+取值表!$D$10)*取值表!$H$10,0)</f>
        <v>345733</v>
      </c>
      <c r="CQ114" s="44">
        <f t="shared" ref="CQ114" si="1685">CP114</f>
        <v>345733</v>
      </c>
      <c r="CR114" s="44">
        <f t="shared" ref="CR114" si="1686">CQ114</f>
        <v>345733</v>
      </c>
      <c r="CS114" s="44">
        <f t="shared" ref="CS114" si="1687">CR114</f>
        <v>345733</v>
      </c>
      <c r="CT114" s="44">
        <f>ROUND(CS114*(1+取值表!$D$10)*取值表!$H$10,0)</f>
        <v>347852</v>
      </c>
      <c r="CU114" s="44">
        <f t="shared" ref="CU114" si="1688">CT114</f>
        <v>347852</v>
      </c>
      <c r="CV114" s="44">
        <f t="shared" ref="CV114" si="1689">CU114</f>
        <v>347852</v>
      </c>
      <c r="CW114" s="44">
        <f t="shared" ref="CW114" si="1690">CV114</f>
        <v>347852</v>
      </c>
      <c r="CX114" s="44">
        <f>ROUND(CW114*(1+取值表!$D$10)*取值表!$H$10,0)</f>
        <v>349984</v>
      </c>
      <c r="CY114" s="44">
        <f t="shared" ref="CY114" si="1691">CX114</f>
        <v>349984</v>
      </c>
      <c r="CZ114" s="44">
        <f t="shared" ref="CZ114" si="1692">CY114</f>
        <v>349984</v>
      </c>
      <c r="DA114" s="44">
        <f t="shared" ref="DA114" si="1693">CZ114</f>
        <v>349984</v>
      </c>
      <c r="DB114" s="44">
        <f>ROUND(DA114*(1+取值表!$D$10)*取值表!$H$10,0)</f>
        <v>352129</v>
      </c>
      <c r="DC114" s="44">
        <f t="shared" ref="DC114" si="1694">DB114</f>
        <v>352129</v>
      </c>
      <c r="DD114" s="44">
        <f t="shared" ref="DD114" si="1695">DC114</f>
        <v>352129</v>
      </c>
      <c r="DE114" s="44">
        <f t="shared" ref="DE114" si="1696">DD114</f>
        <v>352129</v>
      </c>
      <c r="DF114" s="45">
        <f t="shared" si="969"/>
        <v>32762612</v>
      </c>
    </row>
    <row r="115" spans="1:110" s="40" customFormat="1" ht="12" customHeight="1">
      <c r="A115" s="505"/>
      <c r="B115" s="518"/>
      <c r="C115" s="450"/>
      <c r="D115" s="451"/>
      <c r="E115" s="452"/>
      <c r="F115" s="446"/>
      <c r="G115" s="446"/>
      <c r="H115" s="447"/>
      <c r="I115" s="41"/>
      <c r="J115" s="42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5">
        <f t="shared" si="969"/>
        <v>0</v>
      </c>
    </row>
    <row r="116" spans="1:110" s="40" customFormat="1" ht="12" customHeight="1">
      <c r="A116" s="504">
        <v>58</v>
      </c>
      <c r="B116" s="518" t="s">
        <v>136</v>
      </c>
      <c r="C116" s="450" t="s">
        <v>137</v>
      </c>
      <c r="D116" s="451" t="s">
        <v>470</v>
      </c>
      <c r="E116" s="452" t="s">
        <v>459</v>
      </c>
      <c r="F116" s="446">
        <v>66.5</v>
      </c>
      <c r="G116" s="446">
        <v>27.5</v>
      </c>
      <c r="H116" s="447">
        <f>F116*G116*365</f>
        <v>667493.75</v>
      </c>
      <c r="I116" s="41">
        <v>166873.44</v>
      </c>
      <c r="J116" s="42">
        <f>ROUND(F116*G116*365/4,0)</f>
        <v>166873</v>
      </c>
      <c r="K116" s="44">
        <f t="shared" ref="K116:Q116" si="1697">J116</f>
        <v>166873</v>
      </c>
      <c r="L116" s="44">
        <f t="shared" si="1697"/>
        <v>166873</v>
      </c>
      <c r="M116" s="44">
        <f t="shared" si="1697"/>
        <v>166873</v>
      </c>
      <c r="N116" s="43">
        <f t="shared" si="1697"/>
        <v>166873</v>
      </c>
      <c r="O116" s="44">
        <f t="shared" si="1697"/>
        <v>166873</v>
      </c>
      <c r="P116" s="44">
        <f t="shared" si="1697"/>
        <v>166873</v>
      </c>
      <c r="Q116" s="44">
        <f t="shared" si="1697"/>
        <v>166873</v>
      </c>
      <c r="R116" s="44">
        <f>ROUND(Q116*(1+取值表!$D$10)*取值表!$H$10,0)</f>
        <v>167896</v>
      </c>
      <c r="S116" s="44">
        <f>R116</f>
        <v>167896</v>
      </c>
      <c r="T116" s="44">
        <f>S116</f>
        <v>167896</v>
      </c>
      <c r="U116" s="44">
        <f>T116</f>
        <v>167896</v>
      </c>
      <c r="V116" s="44">
        <f>ROUND(U116*(1+取值表!$D$10)*取值表!$H$10,0)</f>
        <v>168925</v>
      </c>
      <c r="W116" s="44">
        <f t="shared" ref="W116:Y116" si="1698">V116</f>
        <v>168925</v>
      </c>
      <c r="X116" s="44">
        <f t="shared" si="1698"/>
        <v>168925</v>
      </c>
      <c r="Y116" s="44">
        <f t="shared" si="1698"/>
        <v>168925</v>
      </c>
      <c r="Z116" s="44">
        <f>ROUND(Y116*(1+取值表!$D$10)*取值表!$H$10,0)</f>
        <v>169960</v>
      </c>
      <c r="AA116" s="44">
        <f t="shared" ref="AA116:AC116" si="1699">Z116</f>
        <v>169960</v>
      </c>
      <c r="AB116" s="44">
        <f t="shared" si="1699"/>
        <v>169960</v>
      </c>
      <c r="AC116" s="44">
        <f t="shared" si="1699"/>
        <v>169960</v>
      </c>
      <c r="AD116" s="44">
        <f>ROUND(AC116*(1+取值表!$D$10)*取值表!$H$10,0)</f>
        <v>171002</v>
      </c>
      <c r="AE116" s="44">
        <f t="shared" ref="AE116:AG116" si="1700">AD116</f>
        <v>171002</v>
      </c>
      <c r="AF116" s="44">
        <f t="shared" si="1700"/>
        <v>171002</v>
      </c>
      <c r="AG116" s="44">
        <f t="shared" si="1700"/>
        <v>171002</v>
      </c>
      <c r="AH116" s="44">
        <f>ROUND(AG116*(1+取值表!$D$10)*取值表!$H$10,0)</f>
        <v>172050</v>
      </c>
      <c r="AI116" s="44">
        <f t="shared" ref="AI116:AK116" si="1701">AH116</f>
        <v>172050</v>
      </c>
      <c r="AJ116" s="44">
        <f t="shared" si="1701"/>
        <v>172050</v>
      </c>
      <c r="AK116" s="44">
        <f t="shared" si="1701"/>
        <v>172050</v>
      </c>
      <c r="AL116" s="44">
        <f>ROUND(AK116*(1+取值表!$D$10)*取值表!$H$10,0)</f>
        <v>173105</v>
      </c>
      <c r="AM116" s="44">
        <f t="shared" ref="AM116:AO116" si="1702">AL116</f>
        <v>173105</v>
      </c>
      <c r="AN116" s="44">
        <f t="shared" si="1702"/>
        <v>173105</v>
      </c>
      <c r="AO116" s="44">
        <f t="shared" si="1702"/>
        <v>173105</v>
      </c>
      <c r="AP116" s="44">
        <f>ROUND(AO116*(1+取值表!$D$10)*取值表!$H$10,0)</f>
        <v>174166</v>
      </c>
      <c r="AQ116" s="44">
        <f t="shared" ref="AQ116:AS116" si="1703">AP116</f>
        <v>174166</v>
      </c>
      <c r="AR116" s="44">
        <f t="shared" si="1703"/>
        <v>174166</v>
      </c>
      <c r="AS116" s="44">
        <f t="shared" si="1703"/>
        <v>174166</v>
      </c>
      <c r="AT116" s="44">
        <f>ROUND(AS116*(1+取值表!$D$10)*取值表!$H$10,0)</f>
        <v>175233</v>
      </c>
      <c r="AU116" s="44">
        <f t="shared" ref="AU116:AW116" si="1704">AT116</f>
        <v>175233</v>
      </c>
      <c r="AV116" s="44">
        <f t="shared" si="1704"/>
        <v>175233</v>
      </c>
      <c r="AW116" s="44">
        <f t="shared" si="1704"/>
        <v>175233</v>
      </c>
      <c r="AX116" s="44">
        <f>ROUND(AW116*(1+取值表!$D$10)*取值表!$H$10,0)</f>
        <v>176307</v>
      </c>
      <c r="AY116" s="44">
        <f t="shared" ref="AY116:BA116" si="1705">AX116</f>
        <v>176307</v>
      </c>
      <c r="AZ116" s="44">
        <f t="shared" si="1705"/>
        <v>176307</v>
      </c>
      <c r="BA116" s="44">
        <f t="shared" si="1705"/>
        <v>176307</v>
      </c>
      <c r="BB116" s="44">
        <f>ROUND(BA116*(1+取值表!$D$10)*取值表!$H$10,0)</f>
        <v>177388</v>
      </c>
      <c r="BC116" s="44">
        <f t="shared" ref="BC116:BE116" si="1706">BB116</f>
        <v>177388</v>
      </c>
      <c r="BD116" s="44">
        <f t="shared" si="1706"/>
        <v>177388</v>
      </c>
      <c r="BE116" s="44">
        <f t="shared" si="1706"/>
        <v>177388</v>
      </c>
      <c r="BF116" s="44">
        <f>ROUND(BE116*(1+取值表!$D$10)*取值表!$H$10,0)</f>
        <v>178475</v>
      </c>
      <c r="BG116" s="44">
        <f t="shared" ref="BG116:BI116" si="1707">BF116</f>
        <v>178475</v>
      </c>
      <c r="BH116" s="44">
        <f t="shared" si="1707"/>
        <v>178475</v>
      </c>
      <c r="BI116" s="44">
        <f t="shared" si="1707"/>
        <v>178475</v>
      </c>
      <c r="BJ116" s="44">
        <f>ROUND(BI116*(1+取值表!$D$10)*取值表!$H$10,0)</f>
        <v>179569</v>
      </c>
      <c r="BK116" s="44">
        <f t="shared" ref="BK116:BM116" si="1708">BJ116</f>
        <v>179569</v>
      </c>
      <c r="BL116" s="44">
        <f t="shared" si="1708"/>
        <v>179569</v>
      </c>
      <c r="BM116" s="44">
        <f t="shared" si="1708"/>
        <v>179569</v>
      </c>
      <c r="BN116" s="44">
        <f>ROUND(BM116*(1+取值表!$D$10)*取值表!$H$10,0)</f>
        <v>180670</v>
      </c>
      <c r="BO116" s="44">
        <f t="shared" ref="BO116:BQ116" si="1709">BN116</f>
        <v>180670</v>
      </c>
      <c r="BP116" s="44">
        <f t="shared" si="1709"/>
        <v>180670</v>
      </c>
      <c r="BQ116" s="44">
        <f t="shared" si="1709"/>
        <v>180670</v>
      </c>
      <c r="BR116" s="44">
        <f>ROUND(BQ116*(1+取值表!$D$10)*取值表!$H$10,0)</f>
        <v>181777</v>
      </c>
      <c r="BS116" s="44">
        <f t="shared" ref="BS116:BU116" si="1710">BR116</f>
        <v>181777</v>
      </c>
      <c r="BT116" s="44">
        <f t="shared" si="1710"/>
        <v>181777</v>
      </c>
      <c r="BU116" s="44">
        <f t="shared" si="1710"/>
        <v>181777</v>
      </c>
      <c r="BV116" s="44">
        <f>ROUND(BU116*(1+取值表!$D$10)*取值表!$H$10,0)</f>
        <v>182891</v>
      </c>
      <c r="BW116" s="44">
        <f t="shared" ref="BW116:BY116" si="1711">BV116</f>
        <v>182891</v>
      </c>
      <c r="BX116" s="44">
        <f t="shared" si="1711"/>
        <v>182891</v>
      </c>
      <c r="BY116" s="44">
        <f t="shared" si="1711"/>
        <v>182891</v>
      </c>
      <c r="BZ116" s="44">
        <f>ROUND(BY116*(1+取值表!$D$10)*取值表!$H$10,0)</f>
        <v>184012</v>
      </c>
      <c r="CA116" s="44">
        <f t="shared" ref="CA116:CC116" si="1712">BZ116</f>
        <v>184012</v>
      </c>
      <c r="CB116" s="44">
        <f t="shared" si="1712"/>
        <v>184012</v>
      </c>
      <c r="CC116" s="44">
        <f t="shared" si="1712"/>
        <v>184012</v>
      </c>
      <c r="CD116" s="44">
        <f>ROUND(CC116*(1+取值表!$D$10)*取值表!$H$10,0)</f>
        <v>185140</v>
      </c>
      <c r="CE116" s="44">
        <f t="shared" ref="CE116:CG116" si="1713">CD116</f>
        <v>185140</v>
      </c>
      <c r="CF116" s="44">
        <f t="shared" si="1713"/>
        <v>185140</v>
      </c>
      <c r="CG116" s="44">
        <f t="shared" si="1713"/>
        <v>185140</v>
      </c>
      <c r="CH116" s="44">
        <f>ROUND(CG116*(1+取值表!$D$10)*取值表!$H$10,0)</f>
        <v>186275</v>
      </c>
      <c r="CI116" s="44">
        <f t="shared" ref="CI116:CK116" si="1714">CH116</f>
        <v>186275</v>
      </c>
      <c r="CJ116" s="44">
        <f t="shared" si="1714"/>
        <v>186275</v>
      </c>
      <c r="CK116" s="44">
        <f t="shared" si="1714"/>
        <v>186275</v>
      </c>
      <c r="CL116" s="44">
        <f>ROUND(CK116*(1+取值表!$D$10)*取值表!$H$10,0)</f>
        <v>187417</v>
      </c>
      <c r="CM116" s="44">
        <f t="shared" ref="CM116:CO116" si="1715">CL116</f>
        <v>187417</v>
      </c>
      <c r="CN116" s="44">
        <f t="shared" si="1715"/>
        <v>187417</v>
      </c>
      <c r="CO116" s="44">
        <f t="shared" si="1715"/>
        <v>187417</v>
      </c>
      <c r="CP116" s="44">
        <f>ROUND(CO116*(1+取值表!$D$10)*取值表!$H$10,0)</f>
        <v>188566</v>
      </c>
      <c r="CQ116" s="44">
        <f t="shared" ref="CQ116" si="1716">CP116</f>
        <v>188566</v>
      </c>
      <c r="CR116" s="44">
        <f t="shared" ref="CR116" si="1717">CQ116</f>
        <v>188566</v>
      </c>
      <c r="CS116" s="44">
        <f t="shared" ref="CS116" si="1718">CR116</f>
        <v>188566</v>
      </c>
      <c r="CT116" s="44">
        <f>ROUND(CS116*(1+取值表!$D$10)*取值表!$H$10,0)</f>
        <v>189722</v>
      </c>
      <c r="CU116" s="44">
        <f t="shared" ref="CU116" si="1719">CT116</f>
        <v>189722</v>
      </c>
      <c r="CV116" s="44">
        <f t="shared" ref="CV116" si="1720">CU116</f>
        <v>189722</v>
      </c>
      <c r="CW116" s="44">
        <f t="shared" ref="CW116" si="1721">CV116</f>
        <v>189722</v>
      </c>
      <c r="CX116" s="44">
        <f>ROUND(CW116*(1+取值表!$D$10)*取值表!$H$10,0)</f>
        <v>190885</v>
      </c>
      <c r="CY116" s="44">
        <f t="shared" ref="CY116" si="1722">CX116</f>
        <v>190885</v>
      </c>
      <c r="CZ116" s="44">
        <f t="shared" ref="CZ116" si="1723">CY116</f>
        <v>190885</v>
      </c>
      <c r="DA116" s="44">
        <f t="shared" ref="DA116" si="1724">CZ116</f>
        <v>190885</v>
      </c>
      <c r="DB116" s="44">
        <f>ROUND(DA116*(1+取值表!$D$10)*取值表!$H$10,0)</f>
        <v>192055</v>
      </c>
      <c r="DC116" s="44">
        <f t="shared" ref="DC116" si="1725">DB116</f>
        <v>192055</v>
      </c>
      <c r="DD116" s="44">
        <f t="shared" ref="DD116" si="1726">DC116</f>
        <v>192055</v>
      </c>
      <c r="DE116" s="44">
        <f t="shared" ref="DE116" si="1727">DD116</f>
        <v>192055</v>
      </c>
      <c r="DF116" s="45">
        <f t="shared" si="969"/>
        <v>17868928</v>
      </c>
    </row>
    <row r="117" spans="1:110" s="40" customFormat="1" ht="12" customHeight="1">
      <c r="A117" s="505"/>
      <c r="B117" s="518"/>
      <c r="C117" s="450"/>
      <c r="D117" s="451"/>
      <c r="E117" s="452"/>
      <c r="F117" s="446"/>
      <c r="G117" s="446"/>
      <c r="H117" s="447"/>
      <c r="I117" s="41"/>
      <c r="J117" s="42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/>
      <c r="CY117" s="44"/>
      <c r="CZ117" s="44"/>
      <c r="DA117" s="44"/>
      <c r="DB117" s="44"/>
      <c r="DC117" s="44"/>
      <c r="DD117" s="44"/>
      <c r="DE117" s="44"/>
      <c r="DF117" s="45">
        <f t="shared" si="969"/>
        <v>0</v>
      </c>
    </row>
    <row r="118" spans="1:110" s="40" customFormat="1" ht="12" customHeight="1">
      <c r="A118" s="504">
        <v>59</v>
      </c>
      <c r="B118" s="518" t="s">
        <v>138</v>
      </c>
      <c r="C118" s="450" t="s">
        <v>734</v>
      </c>
      <c r="D118" s="451" t="s">
        <v>471</v>
      </c>
      <c r="E118" s="452" t="s">
        <v>459</v>
      </c>
      <c r="F118" s="446">
        <v>77.28</v>
      </c>
      <c r="G118" s="446">
        <v>27</v>
      </c>
      <c r="H118" s="447">
        <f>F118*G118*365</f>
        <v>761594.4</v>
      </c>
      <c r="I118" s="41">
        <v>190398.6</v>
      </c>
      <c r="J118" s="42">
        <f>ROUND(F118*G118*365/4,0)</f>
        <v>190399</v>
      </c>
      <c r="K118" s="43">
        <f>J118</f>
        <v>190399</v>
      </c>
      <c r="L118" s="44">
        <f>K118</f>
        <v>190399</v>
      </c>
      <c r="M118" s="44">
        <f>L118</f>
        <v>190399</v>
      </c>
      <c r="N118" s="44">
        <f>ROUND(M118*(1+取值表!$D$10)*取值表!$H$10,0)</f>
        <v>191566</v>
      </c>
      <c r="O118" s="44">
        <f>N118</f>
        <v>191566</v>
      </c>
      <c r="P118" s="44">
        <f>O118</f>
        <v>191566</v>
      </c>
      <c r="Q118" s="44">
        <f>P118</f>
        <v>191566</v>
      </c>
      <c r="R118" s="44">
        <f>ROUND(Q118*(1+取值表!$D$10)*取值表!$H$10,0)</f>
        <v>192740</v>
      </c>
      <c r="S118" s="44">
        <f t="shared" ref="S118:U118" si="1728">R118</f>
        <v>192740</v>
      </c>
      <c r="T118" s="44">
        <f t="shared" si="1728"/>
        <v>192740</v>
      </c>
      <c r="U118" s="44">
        <f t="shared" si="1728"/>
        <v>192740</v>
      </c>
      <c r="V118" s="44">
        <f>ROUND(U118*(1+取值表!$D$10)*取值表!$H$10,0)</f>
        <v>193921</v>
      </c>
      <c r="W118" s="44">
        <f t="shared" ref="W118:Y118" si="1729">V118</f>
        <v>193921</v>
      </c>
      <c r="X118" s="44">
        <f t="shared" si="1729"/>
        <v>193921</v>
      </c>
      <c r="Y118" s="44">
        <f t="shared" si="1729"/>
        <v>193921</v>
      </c>
      <c r="Z118" s="44">
        <f>ROUND(Y118*(1+取值表!$D$10)*取值表!$H$10,0)</f>
        <v>195110</v>
      </c>
      <c r="AA118" s="44">
        <f t="shared" ref="AA118:AC118" si="1730">Z118</f>
        <v>195110</v>
      </c>
      <c r="AB118" s="44">
        <f t="shared" si="1730"/>
        <v>195110</v>
      </c>
      <c r="AC118" s="44">
        <f t="shared" si="1730"/>
        <v>195110</v>
      </c>
      <c r="AD118" s="44">
        <f>ROUND(AC118*(1+取值表!$D$10)*取值表!$H$10,0)</f>
        <v>196306</v>
      </c>
      <c r="AE118" s="44">
        <f t="shared" ref="AE118:AG118" si="1731">AD118</f>
        <v>196306</v>
      </c>
      <c r="AF118" s="44">
        <f t="shared" si="1731"/>
        <v>196306</v>
      </c>
      <c r="AG118" s="44">
        <f t="shared" si="1731"/>
        <v>196306</v>
      </c>
      <c r="AH118" s="44">
        <f>ROUND(AG118*(1+取值表!$D$10)*取值表!$H$10,0)</f>
        <v>197509</v>
      </c>
      <c r="AI118" s="44">
        <f t="shared" ref="AI118:AK118" si="1732">AH118</f>
        <v>197509</v>
      </c>
      <c r="AJ118" s="44">
        <f t="shared" si="1732"/>
        <v>197509</v>
      </c>
      <c r="AK118" s="44">
        <f t="shared" si="1732"/>
        <v>197509</v>
      </c>
      <c r="AL118" s="44">
        <f>ROUND(AK118*(1+取值表!$D$10)*取值表!$H$10,0)</f>
        <v>198720</v>
      </c>
      <c r="AM118" s="44">
        <f t="shared" ref="AM118:AO118" si="1733">AL118</f>
        <v>198720</v>
      </c>
      <c r="AN118" s="44">
        <f t="shared" si="1733"/>
        <v>198720</v>
      </c>
      <c r="AO118" s="44">
        <f t="shared" si="1733"/>
        <v>198720</v>
      </c>
      <c r="AP118" s="44">
        <f>ROUND(AO118*(1+取值表!$D$10)*取值表!$H$10,0)</f>
        <v>199938</v>
      </c>
      <c r="AQ118" s="44">
        <f t="shared" ref="AQ118:AS118" si="1734">AP118</f>
        <v>199938</v>
      </c>
      <c r="AR118" s="44">
        <f t="shared" si="1734"/>
        <v>199938</v>
      </c>
      <c r="AS118" s="44">
        <f t="shared" si="1734"/>
        <v>199938</v>
      </c>
      <c r="AT118" s="44">
        <f>ROUND(AS118*(1+取值表!$D$10)*取值表!$H$10,0)</f>
        <v>201163</v>
      </c>
      <c r="AU118" s="44">
        <f t="shared" ref="AU118:AW118" si="1735">AT118</f>
        <v>201163</v>
      </c>
      <c r="AV118" s="44">
        <f t="shared" si="1735"/>
        <v>201163</v>
      </c>
      <c r="AW118" s="44">
        <f t="shared" si="1735"/>
        <v>201163</v>
      </c>
      <c r="AX118" s="44">
        <f>ROUND(AW118*(1+取值表!$D$10)*取值表!$H$10,0)</f>
        <v>202396</v>
      </c>
      <c r="AY118" s="44">
        <f t="shared" ref="AY118:BA118" si="1736">AX118</f>
        <v>202396</v>
      </c>
      <c r="AZ118" s="44">
        <f t="shared" si="1736"/>
        <v>202396</v>
      </c>
      <c r="BA118" s="44">
        <f t="shared" si="1736"/>
        <v>202396</v>
      </c>
      <c r="BB118" s="44">
        <f>ROUND(BA118*(1+取值表!$D$10)*取值表!$H$10,0)</f>
        <v>203637</v>
      </c>
      <c r="BC118" s="44">
        <f t="shared" ref="BC118:BE118" si="1737">BB118</f>
        <v>203637</v>
      </c>
      <c r="BD118" s="44">
        <f t="shared" si="1737"/>
        <v>203637</v>
      </c>
      <c r="BE118" s="44">
        <f t="shared" si="1737"/>
        <v>203637</v>
      </c>
      <c r="BF118" s="44">
        <f>ROUND(BE118*(1+取值表!$D$10)*取值表!$H$10,0)</f>
        <v>204885</v>
      </c>
      <c r="BG118" s="44">
        <f t="shared" ref="BG118:BI118" si="1738">BF118</f>
        <v>204885</v>
      </c>
      <c r="BH118" s="44">
        <f t="shared" si="1738"/>
        <v>204885</v>
      </c>
      <c r="BI118" s="44">
        <f t="shared" si="1738"/>
        <v>204885</v>
      </c>
      <c r="BJ118" s="44">
        <f>ROUND(BI118*(1+取值表!$D$10)*取值表!$H$10,0)</f>
        <v>206141</v>
      </c>
      <c r="BK118" s="44">
        <f t="shared" ref="BK118:BM118" si="1739">BJ118</f>
        <v>206141</v>
      </c>
      <c r="BL118" s="44">
        <f t="shared" si="1739"/>
        <v>206141</v>
      </c>
      <c r="BM118" s="44">
        <f t="shared" si="1739"/>
        <v>206141</v>
      </c>
      <c r="BN118" s="44">
        <f>ROUND(BM118*(1+取值表!$D$10)*取值表!$H$10,0)</f>
        <v>207404</v>
      </c>
      <c r="BO118" s="44">
        <f t="shared" ref="BO118:BQ118" si="1740">BN118</f>
        <v>207404</v>
      </c>
      <c r="BP118" s="44">
        <f t="shared" si="1740"/>
        <v>207404</v>
      </c>
      <c r="BQ118" s="44">
        <f t="shared" si="1740"/>
        <v>207404</v>
      </c>
      <c r="BR118" s="44">
        <f>ROUND(BQ118*(1+取值表!$D$10)*取值表!$H$10,0)</f>
        <v>208675</v>
      </c>
      <c r="BS118" s="44">
        <f t="shared" ref="BS118:BU118" si="1741">BR118</f>
        <v>208675</v>
      </c>
      <c r="BT118" s="44">
        <f t="shared" si="1741"/>
        <v>208675</v>
      </c>
      <c r="BU118" s="44">
        <f t="shared" si="1741"/>
        <v>208675</v>
      </c>
      <c r="BV118" s="44">
        <f>ROUND(BU118*(1+取值表!$D$10)*取值表!$H$10,0)</f>
        <v>209954</v>
      </c>
      <c r="BW118" s="44">
        <f t="shared" ref="BW118:BY118" si="1742">BV118</f>
        <v>209954</v>
      </c>
      <c r="BX118" s="44">
        <f t="shared" si="1742"/>
        <v>209954</v>
      </c>
      <c r="BY118" s="44">
        <f t="shared" si="1742"/>
        <v>209954</v>
      </c>
      <c r="BZ118" s="44">
        <f>ROUND(BY118*(1+取值表!$D$10)*取值表!$H$10,0)</f>
        <v>211241</v>
      </c>
      <c r="CA118" s="44">
        <f t="shared" ref="CA118:CC118" si="1743">BZ118</f>
        <v>211241</v>
      </c>
      <c r="CB118" s="44">
        <f t="shared" si="1743"/>
        <v>211241</v>
      </c>
      <c r="CC118" s="44">
        <f t="shared" si="1743"/>
        <v>211241</v>
      </c>
      <c r="CD118" s="44">
        <f>ROUND(CC118*(1+取值表!$D$10)*取值表!$H$10,0)</f>
        <v>212536</v>
      </c>
      <c r="CE118" s="44">
        <f t="shared" ref="CE118:CG118" si="1744">CD118</f>
        <v>212536</v>
      </c>
      <c r="CF118" s="44">
        <f t="shared" si="1744"/>
        <v>212536</v>
      </c>
      <c r="CG118" s="44">
        <f t="shared" si="1744"/>
        <v>212536</v>
      </c>
      <c r="CH118" s="44">
        <f>ROUND(CG118*(1+取值表!$D$10)*取值表!$H$10,0)</f>
        <v>213839</v>
      </c>
      <c r="CI118" s="44">
        <f t="shared" ref="CI118:CK118" si="1745">CH118</f>
        <v>213839</v>
      </c>
      <c r="CJ118" s="44">
        <f t="shared" si="1745"/>
        <v>213839</v>
      </c>
      <c r="CK118" s="44">
        <f t="shared" si="1745"/>
        <v>213839</v>
      </c>
      <c r="CL118" s="44">
        <f>ROUND(CK118*(1+取值表!$D$10)*取值表!$H$10,0)</f>
        <v>215150</v>
      </c>
      <c r="CM118" s="44">
        <f t="shared" ref="CM118:CO118" si="1746">CL118</f>
        <v>215150</v>
      </c>
      <c r="CN118" s="44">
        <f t="shared" si="1746"/>
        <v>215150</v>
      </c>
      <c r="CO118" s="44">
        <f t="shared" si="1746"/>
        <v>215150</v>
      </c>
      <c r="CP118" s="44">
        <f>ROUND(CO118*(1+取值表!$D$10)*取值表!$H$10,0)</f>
        <v>216469</v>
      </c>
      <c r="CQ118" s="44">
        <f t="shared" ref="CQ118" si="1747">CP118</f>
        <v>216469</v>
      </c>
      <c r="CR118" s="44">
        <f t="shared" ref="CR118" si="1748">CQ118</f>
        <v>216469</v>
      </c>
      <c r="CS118" s="44">
        <f t="shared" ref="CS118" si="1749">CR118</f>
        <v>216469</v>
      </c>
      <c r="CT118" s="44">
        <f>ROUND(CS118*(1+取值表!$D$10)*取值表!$H$10,0)</f>
        <v>217796</v>
      </c>
      <c r="CU118" s="44">
        <f t="shared" ref="CU118" si="1750">CT118</f>
        <v>217796</v>
      </c>
      <c r="CV118" s="44">
        <f t="shared" ref="CV118" si="1751">CU118</f>
        <v>217796</v>
      </c>
      <c r="CW118" s="44">
        <f t="shared" ref="CW118" si="1752">CV118</f>
        <v>217796</v>
      </c>
      <c r="CX118" s="44">
        <f>ROUND(CW118*(1+取值表!$D$10)*取值表!$H$10,0)</f>
        <v>219131</v>
      </c>
      <c r="CY118" s="44">
        <f t="shared" ref="CY118" si="1753">CX118</f>
        <v>219131</v>
      </c>
      <c r="CZ118" s="44">
        <f t="shared" ref="CZ118" si="1754">CY118</f>
        <v>219131</v>
      </c>
      <c r="DA118" s="44">
        <f t="shared" ref="DA118" si="1755">CZ118</f>
        <v>219131</v>
      </c>
      <c r="DB118" s="44">
        <f>ROUND(DA118*(1+取值表!$D$10)*取值表!$H$10,0)</f>
        <v>220474</v>
      </c>
      <c r="DC118" s="44">
        <f t="shared" ref="DC118" si="1756">DB118</f>
        <v>220474</v>
      </c>
      <c r="DD118" s="44">
        <f t="shared" ref="DD118" si="1757">DC118</f>
        <v>220474</v>
      </c>
      <c r="DE118" s="44">
        <f t="shared" ref="DE118" si="1758">DD118</f>
        <v>220474</v>
      </c>
      <c r="DF118" s="45">
        <f t="shared" si="969"/>
        <v>20508400</v>
      </c>
    </row>
    <row r="119" spans="1:110" s="40" customFormat="1" ht="12" customHeight="1">
      <c r="A119" s="505"/>
      <c r="B119" s="518"/>
      <c r="C119" s="450"/>
      <c r="D119" s="451"/>
      <c r="E119" s="452"/>
      <c r="F119" s="446"/>
      <c r="G119" s="446"/>
      <c r="H119" s="447"/>
      <c r="I119" s="41"/>
      <c r="J119" s="42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4"/>
      <c r="DE119" s="44"/>
      <c r="DF119" s="45">
        <f t="shared" si="969"/>
        <v>0</v>
      </c>
    </row>
    <row r="120" spans="1:110" s="40" customFormat="1" ht="12" customHeight="1">
      <c r="A120" s="504">
        <v>60</v>
      </c>
      <c r="B120" s="518" t="s">
        <v>139</v>
      </c>
      <c r="C120" s="450" t="s">
        <v>18</v>
      </c>
      <c r="D120" s="451" t="s">
        <v>472</v>
      </c>
      <c r="E120" s="452" t="s">
        <v>459</v>
      </c>
      <c r="F120" s="446">
        <v>77.02</v>
      </c>
      <c r="G120" s="446">
        <v>27</v>
      </c>
      <c r="H120" s="447">
        <f>F120*G120*365</f>
        <v>759032.1</v>
      </c>
      <c r="I120" s="41">
        <v>189758.03</v>
      </c>
      <c r="J120" s="43">
        <f>ROUND(F120*G120*365/4,0)</f>
        <v>189758</v>
      </c>
      <c r="K120" s="44">
        <f>J120</f>
        <v>189758</v>
      </c>
      <c r="L120" s="44">
        <f>K120</f>
        <v>189758</v>
      </c>
      <c r="M120" s="44">
        <f>L120</f>
        <v>189758</v>
      </c>
      <c r="N120" s="44">
        <f>ROUND(M120*(1+取值表!$D$10)*取值表!$H$10,0)</f>
        <v>190921</v>
      </c>
      <c r="O120" s="44">
        <f>N120</f>
        <v>190921</v>
      </c>
      <c r="P120" s="44">
        <f>O120</f>
        <v>190921</v>
      </c>
      <c r="Q120" s="44">
        <f>P120</f>
        <v>190921</v>
      </c>
      <c r="R120" s="44">
        <f>ROUND(Q120*(1+取值表!$D$10)*取值表!$H$10,0)</f>
        <v>192091</v>
      </c>
      <c r="S120" s="44">
        <f t="shared" ref="S120:U120" si="1759">R120</f>
        <v>192091</v>
      </c>
      <c r="T120" s="44">
        <f t="shared" si="1759"/>
        <v>192091</v>
      </c>
      <c r="U120" s="44">
        <f t="shared" si="1759"/>
        <v>192091</v>
      </c>
      <c r="V120" s="44">
        <f>ROUND(U120*(1+取值表!$D$10)*取值表!$H$10,0)</f>
        <v>193268</v>
      </c>
      <c r="W120" s="44">
        <f t="shared" ref="W120:Y120" si="1760">V120</f>
        <v>193268</v>
      </c>
      <c r="X120" s="44">
        <f t="shared" si="1760"/>
        <v>193268</v>
      </c>
      <c r="Y120" s="44">
        <f t="shared" si="1760"/>
        <v>193268</v>
      </c>
      <c r="Z120" s="44">
        <f>ROUND(Y120*(1+取值表!$D$10)*取值表!$H$10,0)</f>
        <v>194453</v>
      </c>
      <c r="AA120" s="44">
        <f t="shared" ref="AA120:AC120" si="1761">Z120</f>
        <v>194453</v>
      </c>
      <c r="AB120" s="44">
        <f t="shared" si="1761"/>
        <v>194453</v>
      </c>
      <c r="AC120" s="44">
        <f t="shared" si="1761"/>
        <v>194453</v>
      </c>
      <c r="AD120" s="44">
        <f>ROUND(AC120*(1+取值表!$D$10)*取值表!$H$10,0)</f>
        <v>195645</v>
      </c>
      <c r="AE120" s="44">
        <f t="shared" ref="AE120:AG120" si="1762">AD120</f>
        <v>195645</v>
      </c>
      <c r="AF120" s="44">
        <f t="shared" si="1762"/>
        <v>195645</v>
      </c>
      <c r="AG120" s="44">
        <f t="shared" si="1762"/>
        <v>195645</v>
      </c>
      <c r="AH120" s="44">
        <f>ROUND(AG120*(1+取值表!$D$10)*取值表!$H$10,0)</f>
        <v>196844</v>
      </c>
      <c r="AI120" s="44">
        <f t="shared" ref="AI120:AK120" si="1763">AH120</f>
        <v>196844</v>
      </c>
      <c r="AJ120" s="44">
        <f t="shared" si="1763"/>
        <v>196844</v>
      </c>
      <c r="AK120" s="44">
        <f t="shared" si="1763"/>
        <v>196844</v>
      </c>
      <c r="AL120" s="44">
        <f>ROUND(AK120*(1+取值表!$D$10)*取值表!$H$10,0)</f>
        <v>198050</v>
      </c>
      <c r="AM120" s="44">
        <f t="shared" ref="AM120:AO120" si="1764">AL120</f>
        <v>198050</v>
      </c>
      <c r="AN120" s="44">
        <f t="shared" si="1764"/>
        <v>198050</v>
      </c>
      <c r="AO120" s="44">
        <f t="shared" si="1764"/>
        <v>198050</v>
      </c>
      <c r="AP120" s="44">
        <f>ROUND(AO120*(1+取值表!$D$10)*取值表!$H$10,0)</f>
        <v>199264</v>
      </c>
      <c r="AQ120" s="44">
        <f t="shared" ref="AQ120:AS120" si="1765">AP120</f>
        <v>199264</v>
      </c>
      <c r="AR120" s="44">
        <f t="shared" si="1765"/>
        <v>199264</v>
      </c>
      <c r="AS120" s="44">
        <f t="shared" si="1765"/>
        <v>199264</v>
      </c>
      <c r="AT120" s="44">
        <f>ROUND(AS120*(1+取值表!$D$10)*取值表!$H$10,0)</f>
        <v>200485</v>
      </c>
      <c r="AU120" s="44">
        <f t="shared" ref="AU120:AW120" si="1766">AT120</f>
        <v>200485</v>
      </c>
      <c r="AV120" s="44">
        <f t="shared" si="1766"/>
        <v>200485</v>
      </c>
      <c r="AW120" s="44">
        <f t="shared" si="1766"/>
        <v>200485</v>
      </c>
      <c r="AX120" s="44">
        <f>ROUND(AW120*(1+取值表!$D$10)*取值表!$H$10,0)</f>
        <v>201714</v>
      </c>
      <c r="AY120" s="44">
        <f t="shared" ref="AY120:BA120" si="1767">AX120</f>
        <v>201714</v>
      </c>
      <c r="AZ120" s="44">
        <f t="shared" si="1767"/>
        <v>201714</v>
      </c>
      <c r="BA120" s="44">
        <f t="shared" si="1767"/>
        <v>201714</v>
      </c>
      <c r="BB120" s="44">
        <f>ROUND(BA120*(1+取值表!$D$10)*取值表!$H$10,0)</f>
        <v>202950</v>
      </c>
      <c r="BC120" s="44">
        <f t="shared" ref="BC120:BE120" si="1768">BB120</f>
        <v>202950</v>
      </c>
      <c r="BD120" s="44">
        <f t="shared" si="1768"/>
        <v>202950</v>
      </c>
      <c r="BE120" s="44">
        <f t="shared" si="1768"/>
        <v>202950</v>
      </c>
      <c r="BF120" s="44">
        <f>ROUND(BE120*(1+取值表!$D$10)*取值表!$H$10,0)</f>
        <v>204194</v>
      </c>
      <c r="BG120" s="44">
        <f t="shared" ref="BG120:BI120" si="1769">BF120</f>
        <v>204194</v>
      </c>
      <c r="BH120" s="44">
        <f t="shared" si="1769"/>
        <v>204194</v>
      </c>
      <c r="BI120" s="44">
        <f t="shared" si="1769"/>
        <v>204194</v>
      </c>
      <c r="BJ120" s="44">
        <f>ROUND(BI120*(1+取值表!$D$10)*取值表!$H$10,0)</f>
        <v>205446</v>
      </c>
      <c r="BK120" s="44">
        <f t="shared" ref="BK120:BM120" si="1770">BJ120</f>
        <v>205446</v>
      </c>
      <c r="BL120" s="44">
        <f t="shared" si="1770"/>
        <v>205446</v>
      </c>
      <c r="BM120" s="44">
        <f t="shared" si="1770"/>
        <v>205446</v>
      </c>
      <c r="BN120" s="44">
        <f>ROUND(BM120*(1+取值表!$D$10)*取值表!$H$10,0)</f>
        <v>206705</v>
      </c>
      <c r="BO120" s="44">
        <f t="shared" ref="BO120:BQ120" si="1771">BN120</f>
        <v>206705</v>
      </c>
      <c r="BP120" s="44">
        <f t="shared" si="1771"/>
        <v>206705</v>
      </c>
      <c r="BQ120" s="44">
        <f t="shared" si="1771"/>
        <v>206705</v>
      </c>
      <c r="BR120" s="44">
        <f>ROUND(BQ120*(1+取值表!$D$10)*取值表!$H$10,0)</f>
        <v>207972</v>
      </c>
      <c r="BS120" s="44">
        <f t="shared" ref="BS120:BU120" si="1772">BR120</f>
        <v>207972</v>
      </c>
      <c r="BT120" s="44">
        <f t="shared" si="1772"/>
        <v>207972</v>
      </c>
      <c r="BU120" s="44">
        <f t="shared" si="1772"/>
        <v>207972</v>
      </c>
      <c r="BV120" s="44">
        <f>ROUND(BU120*(1+取值表!$D$10)*取值表!$H$10,0)</f>
        <v>209247</v>
      </c>
      <c r="BW120" s="44">
        <f t="shared" ref="BW120:BY120" si="1773">BV120</f>
        <v>209247</v>
      </c>
      <c r="BX120" s="44">
        <f t="shared" si="1773"/>
        <v>209247</v>
      </c>
      <c r="BY120" s="44">
        <f t="shared" si="1773"/>
        <v>209247</v>
      </c>
      <c r="BZ120" s="44">
        <f>ROUND(BY120*(1+取值表!$D$10)*取值表!$H$10,0)</f>
        <v>210530</v>
      </c>
      <c r="CA120" s="44">
        <f t="shared" ref="CA120:CC120" si="1774">BZ120</f>
        <v>210530</v>
      </c>
      <c r="CB120" s="44">
        <f t="shared" si="1774"/>
        <v>210530</v>
      </c>
      <c r="CC120" s="44">
        <f t="shared" si="1774"/>
        <v>210530</v>
      </c>
      <c r="CD120" s="44">
        <f>ROUND(CC120*(1+取值表!$D$10)*取值表!$H$10,0)</f>
        <v>211820</v>
      </c>
      <c r="CE120" s="44">
        <f t="shared" ref="CE120:CG120" si="1775">CD120</f>
        <v>211820</v>
      </c>
      <c r="CF120" s="44">
        <f t="shared" si="1775"/>
        <v>211820</v>
      </c>
      <c r="CG120" s="44">
        <f t="shared" si="1775"/>
        <v>211820</v>
      </c>
      <c r="CH120" s="44">
        <f>ROUND(CG120*(1+取值表!$D$10)*取值表!$H$10,0)</f>
        <v>213118</v>
      </c>
      <c r="CI120" s="44">
        <f t="shared" ref="CI120:CK120" si="1776">CH120</f>
        <v>213118</v>
      </c>
      <c r="CJ120" s="44">
        <f t="shared" si="1776"/>
        <v>213118</v>
      </c>
      <c r="CK120" s="44">
        <f t="shared" si="1776"/>
        <v>213118</v>
      </c>
      <c r="CL120" s="44">
        <f>ROUND(CK120*(1+取值表!$D$10)*取值表!$H$10,0)</f>
        <v>214424</v>
      </c>
      <c r="CM120" s="44">
        <f t="shared" ref="CM120:CO120" si="1777">CL120</f>
        <v>214424</v>
      </c>
      <c r="CN120" s="44">
        <f t="shared" si="1777"/>
        <v>214424</v>
      </c>
      <c r="CO120" s="44">
        <f t="shared" si="1777"/>
        <v>214424</v>
      </c>
      <c r="CP120" s="44">
        <f>ROUND(CO120*(1+取值表!$D$10)*取值表!$H$10,0)</f>
        <v>215738</v>
      </c>
      <c r="CQ120" s="44">
        <f t="shared" ref="CQ120" si="1778">CP120</f>
        <v>215738</v>
      </c>
      <c r="CR120" s="44">
        <f t="shared" ref="CR120" si="1779">CQ120</f>
        <v>215738</v>
      </c>
      <c r="CS120" s="44">
        <f t="shared" ref="CS120" si="1780">CR120</f>
        <v>215738</v>
      </c>
      <c r="CT120" s="44">
        <f>ROUND(CS120*(1+取值表!$D$10)*取值表!$H$10,0)</f>
        <v>217060</v>
      </c>
      <c r="CU120" s="44">
        <f t="shared" ref="CU120" si="1781">CT120</f>
        <v>217060</v>
      </c>
      <c r="CV120" s="44">
        <f t="shared" ref="CV120" si="1782">CU120</f>
        <v>217060</v>
      </c>
      <c r="CW120" s="44">
        <f t="shared" ref="CW120" si="1783">CV120</f>
        <v>217060</v>
      </c>
      <c r="CX120" s="44">
        <f>ROUND(CW120*(1+取值表!$D$10)*取值表!$H$10,0)</f>
        <v>218390</v>
      </c>
      <c r="CY120" s="44">
        <f t="shared" ref="CY120" si="1784">CX120</f>
        <v>218390</v>
      </c>
      <c r="CZ120" s="44">
        <f t="shared" ref="CZ120" si="1785">CY120</f>
        <v>218390</v>
      </c>
      <c r="DA120" s="44">
        <f t="shared" ref="DA120" si="1786">CZ120</f>
        <v>218390</v>
      </c>
      <c r="DB120" s="44">
        <f>ROUND(DA120*(1+取值表!$D$10)*取值表!$H$10,0)</f>
        <v>219729</v>
      </c>
      <c r="DC120" s="44">
        <f t="shared" ref="DC120" si="1787">DB120</f>
        <v>219729</v>
      </c>
      <c r="DD120" s="44">
        <f t="shared" ref="DD120" si="1788">DC120</f>
        <v>219729</v>
      </c>
      <c r="DE120" s="44">
        <f t="shared" ref="DE120" si="1789">DD120</f>
        <v>219729</v>
      </c>
      <c r="DF120" s="45">
        <f t="shared" si="969"/>
        <v>20439264</v>
      </c>
    </row>
    <row r="121" spans="1:110" s="40" customFormat="1" ht="12">
      <c r="A121" s="505"/>
      <c r="B121" s="518"/>
      <c r="C121" s="450"/>
      <c r="D121" s="451"/>
      <c r="E121" s="452"/>
      <c r="F121" s="446"/>
      <c r="G121" s="446"/>
      <c r="H121" s="447"/>
      <c r="I121" s="41"/>
      <c r="J121" s="42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45">
        <f t="shared" si="969"/>
        <v>0</v>
      </c>
    </row>
    <row r="122" spans="1:110" s="40" customFormat="1" ht="12">
      <c r="A122" s="504">
        <v>61</v>
      </c>
      <c r="B122" s="518" t="s">
        <v>140</v>
      </c>
      <c r="C122" s="450" t="s">
        <v>141</v>
      </c>
      <c r="D122" s="451" t="s">
        <v>473</v>
      </c>
      <c r="E122" s="452" t="s">
        <v>459</v>
      </c>
      <c r="F122" s="446">
        <v>77.02</v>
      </c>
      <c r="G122" s="446">
        <v>27</v>
      </c>
      <c r="H122" s="447">
        <f>F122*G122*365</f>
        <v>759032.1</v>
      </c>
      <c r="I122" s="41">
        <v>189758.03</v>
      </c>
      <c r="J122" s="42">
        <f>ROUND(F122*G122*365/4,0)</f>
        <v>189758</v>
      </c>
      <c r="K122" s="44">
        <f t="shared" ref="K122:Q122" si="1790">J122</f>
        <v>189758</v>
      </c>
      <c r="L122" s="44">
        <f t="shared" si="1790"/>
        <v>189758</v>
      </c>
      <c r="M122" s="44">
        <f t="shared" si="1790"/>
        <v>189758</v>
      </c>
      <c r="N122" s="44">
        <f t="shared" si="1790"/>
        <v>189758</v>
      </c>
      <c r="O122" s="43">
        <f t="shared" si="1790"/>
        <v>189758</v>
      </c>
      <c r="P122" s="44">
        <f t="shared" si="1790"/>
        <v>189758</v>
      </c>
      <c r="Q122" s="44">
        <f t="shared" si="1790"/>
        <v>189758</v>
      </c>
      <c r="R122" s="44">
        <f>ROUND(Q122*(1+取值表!$D$10)*取值表!$H$10,0)</f>
        <v>190921</v>
      </c>
      <c r="S122" s="44">
        <f>R122</f>
        <v>190921</v>
      </c>
      <c r="T122" s="44">
        <f>S122</f>
        <v>190921</v>
      </c>
      <c r="U122" s="44">
        <f>T122</f>
        <v>190921</v>
      </c>
      <c r="V122" s="44">
        <f>ROUND(U122*(1+取值表!$D$10)*取值表!$H$10,0)</f>
        <v>192091</v>
      </c>
      <c r="W122" s="44">
        <f t="shared" ref="W122:Y122" si="1791">V122</f>
        <v>192091</v>
      </c>
      <c r="X122" s="44">
        <f t="shared" si="1791"/>
        <v>192091</v>
      </c>
      <c r="Y122" s="44">
        <f t="shared" si="1791"/>
        <v>192091</v>
      </c>
      <c r="Z122" s="44">
        <f>ROUND(Y122*(1+取值表!$D$10)*取值表!$H$10,0)</f>
        <v>193268</v>
      </c>
      <c r="AA122" s="44">
        <f t="shared" ref="AA122:AC122" si="1792">Z122</f>
        <v>193268</v>
      </c>
      <c r="AB122" s="44">
        <f t="shared" si="1792"/>
        <v>193268</v>
      </c>
      <c r="AC122" s="44">
        <f t="shared" si="1792"/>
        <v>193268</v>
      </c>
      <c r="AD122" s="44">
        <f>ROUND(AC122*(1+取值表!$D$10)*取值表!$H$10,0)</f>
        <v>194453</v>
      </c>
      <c r="AE122" s="44">
        <f t="shared" ref="AE122:AG122" si="1793">AD122</f>
        <v>194453</v>
      </c>
      <c r="AF122" s="44">
        <f t="shared" si="1793"/>
        <v>194453</v>
      </c>
      <c r="AG122" s="44">
        <f t="shared" si="1793"/>
        <v>194453</v>
      </c>
      <c r="AH122" s="44">
        <f>ROUND(AG122*(1+取值表!$D$10)*取值表!$H$10,0)</f>
        <v>195645</v>
      </c>
      <c r="AI122" s="44">
        <f t="shared" ref="AI122:AK122" si="1794">AH122</f>
        <v>195645</v>
      </c>
      <c r="AJ122" s="44">
        <f t="shared" si="1794"/>
        <v>195645</v>
      </c>
      <c r="AK122" s="44">
        <f t="shared" si="1794"/>
        <v>195645</v>
      </c>
      <c r="AL122" s="44">
        <f>ROUND(AK122*(1+取值表!$D$10)*取值表!$H$10,0)</f>
        <v>196844</v>
      </c>
      <c r="AM122" s="44">
        <f t="shared" ref="AM122:AO122" si="1795">AL122</f>
        <v>196844</v>
      </c>
      <c r="AN122" s="44">
        <f t="shared" si="1795"/>
        <v>196844</v>
      </c>
      <c r="AO122" s="44">
        <f t="shared" si="1795"/>
        <v>196844</v>
      </c>
      <c r="AP122" s="44">
        <f>ROUND(AO122*(1+取值表!$D$10)*取值表!$H$10,0)</f>
        <v>198050</v>
      </c>
      <c r="AQ122" s="44">
        <f t="shared" ref="AQ122:AS122" si="1796">AP122</f>
        <v>198050</v>
      </c>
      <c r="AR122" s="44">
        <f t="shared" si="1796"/>
        <v>198050</v>
      </c>
      <c r="AS122" s="44">
        <f t="shared" si="1796"/>
        <v>198050</v>
      </c>
      <c r="AT122" s="44">
        <f>ROUND(AS122*(1+取值表!$D$10)*取值表!$H$10,0)</f>
        <v>199264</v>
      </c>
      <c r="AU122" s="44">
        <f t="shared" ref="AU122:AW122" si="1797">AT122</f>
        <v>199264</v>
      </c>
      <c r="AV122" s="44">
        <f t="shared" si="1797"/>
        <v>199264</v>
      </c>
      <c r="AW122" s="44">
        <f t="shared" si="1797"/>
        <v>199264</v>
      </c>
      <c r="AX122" s="44">
        <f>ROUND(AW122*(1+取值表!$D$10)*取值表!$H$10,0)</f>
        <v>200485</v>
      </c>
      <c r="AY122" s="44">
        <f t="shared" ref="AY122:BA122" si="1798">AX122</f>
        <v>200485</v>
      </c>
      <c r="AZ122" s="44">
        <f t="shared" si="1798"/>
        <v>200485</v>
      </c>
      <c r="BA122" s="44">
        <f t="shared" si="1798"/>
        <v>200485</v>
      </c>
      <c r="BB122" s="44">
        <f>ROUND(BA122*(1+取值表!$D$10)*取值表!$H$10,0)</f>
        <v>201714</v>
      </c>
      <c r="BC122" s="44">
        <f t="shared" ref="BC122:BE122" si="1799">BB122</f>
        <v>201714</v>
      </c>
      <c r="BD122" s="44">
        <f t="shared" si="1799"/>
        <v>201714</v>
      </c>
      <c r="BE122" s="44">
        <f t="shared" si="1799"/>
        <v>201714</v>
      </c>
      <c r="BF122" s="44">
        <f>ROUND(BE122*(1+取值表!$D$10)*取值表!$H$10,0)</f>
        <v>202950</v>
      </c>
      <c r="BG122" s="44">
        <f t="shared" ref="BG122:BI122" si="1800">BF122</f>
        <v>202950</v>
      </c>
      <c r="BH122" s="44">
        <f t="shared" si="1800"/>
        <v>202950</v>
      </c>
      <c r="BI122" s="44">
        <f t="shared" si="1800"/>
        <v>202950</v>
      </c>
      <c r="BJ122" s="44">
        <f>ROUND(BI122*(1+取值表!$D$10)*取值表!$H$10,0)</f>
        <v>204194</v>
      </c>
      <c r="BK122" s="44">
        <f t="shared" ref="BK122:BM122" si="1801">BJ122</f>
        <v>204194</v>
      </c>
      <c r="BL122" s="44">
        <f t="shared" si="1801"/>
        <v>204194</v>
      </c>
      <c r="BM122" s="44">
        <f t="shared" si="1801"/>
        <v>204194</v>
      </c>
      <c r="BN122" s="44">
        <f>ROUND(BM122*(1+取值表!$D$10)*取值表!$H$10,0)</f>
        <v>205446</v>
      </c>
      <c r="BO122" s="44">
        <f t="shared" ref="BO122:BQ122" si="1802">BN122</f>
        <v>205446</v>
      </c>
      <c r="BP122" s="44">
        <f t="shared" si="1802"/>
        <v>205446</v>
      </c>
      <c r="BQ122" s="44">
        <f t="shared" si="1802"/>
        <v>205446</v>
      </c>
      <c r="BR122" s="44">
        <f>ROUND(BQ122*(1+取值表!$D$10)*取值表!$H$10,0)</f>
        <v>206705</v>
      </c>
      <c r="BS122" s="44">
        <f t="shared" ref="BS122:BU122" si="1803">BR122</f>
        <v>206705</v>
      </c>
      <c r="BT122" s="44">
        <f t="shared" si="1803"/>
        <v>206705</v>
      </c>
      <c r="BU122" s="44">
        <f t="shared" si="1803"/>
        <v>206705</v>
      </c>
      <c r="BV122" s="44">
        <f>ROUND(BU122*(1+取值表!$D$10)*取值表!$H$10,0)</f>
        <v>207972</v>
      </c>
      <c r="BW122" s="44">
        <f t="shared" ref="BW122:BY122" si="1804">BV122</f>
        <v>207972</v>
      </c>
      <c r="BX122" s="44">
        <f t="shared" si="1804"/>
        <v>207972</v>
      </c>
      <c r="BY122" s="44">
        <f t="shared" si="1804"/>
        <v>207972</v>
      </c>
      <c r="BZ122" s="44">
        <f>ROUND(BY122*(1+取值表!$D$10)*取值表!$H$10,0)</f>
        <v>209247</v>
      </c>
      <c r="CA122" s="44">
        <f t="shared" ref="CA122:CC122" si="1805">BZ122</f>
        <v>209247</v>
      </c>
      <c r="CB122" s="44">
        <f t="shared" si="1805"/>
        <v>209247</v>
      </c>
      <c r="CC122" s="44">
        <f t="shared" si="1805"/>
        <v>209247</v>
      </c>
      <c r="CD122" s="44">
        <f>ROUND(CC122*(1+取值表!$D$10)*取值表!$H$10,0)</f>
        <v>210530</v>
      </c>
      <c r="CE122" s="44">
        <f t="shared" ref="CE122:CG122" si="1806">CD122</f>
        <v>210530</v>
      </c>
      <c r="CF122" s="44">
        <f t="shared" si="1806"/>
        <v>210530</v>
      </c>
      <c r="CG122" s="44">
        <f t="shared" si="1806"/>
        <v>210530</v>
      </c>
      <c r="CH122" s="44">
        <f>ROUND(CG122*(1+取值表!$D$10)*取值表!$H$10,0)</f>
        <v>211820</v>
      </c>
      <c r="CI122" s="44">
        <f t="shared" ref="CI122:CK122" si="1807">CH122</f>
        <v>211820</v>
      </c>
      <c r="CJ122" s="44">
        <f t="shared" si="1807"/>
        <v>211820</v>
      </c>
      <c r="CK122" s="44">
        <f t="shared" si="1807"/>
        <v>211820</v>
      </c>
      <c r="CL122" s="44">
        <f>ROUND(CK122*(1+取值表!$D$10)*取值表!$H$10,0)</f>
        <v>213118</v>
      </c>
      <c r="CM122" s="44">
        <f t="shared" ref="CM122:CO122" si="1808">CL122</f>
        <v>213118</v>
      </c>
      <c r="CN122" s="44">
        <f t="shared" si="1808"/>
        <v>213118</v>
      </c>
      <c r="CO122" s="44">
        <f t="shared" si="1808"/>
        <v>213118</v>
      </c>
      <c r="CP122" s="44">
        <f>ROUND(CO122*(1+取值表!$D$10)*取值表!$H$10,0)</f>
        <v>214424</v>
      </c>
      <c r="CQ122" s="44">
        <f t="shared" ref="CQ122" si="1809">CP122</f>
        <v>214424</v>
      </c>
      <c r="CR122" s="44">
        <f t="shared" ref="CR122" si="1810">CQ122</f>
        <v>214424</v>
      </c>
      <c r="CS122" s="44">
        <f t="shared" ref="CS122" si="1811">CR122</f>
        <v>214424</v>
      </c>
      <c r="CT122" s="44">
        <f>ROUND(CS122*(1+取值表!$D$10)*取值表!$H$10,0)</f>
        <v>215738</v>
      </c>
      <c r="CU122" s="44">
        <f t="shared" ref="CU122" si="1812">CT122</f>
        <v>215738</v>
      </c>
      <c r="CV122" s="44">
        <f t="shared" ref="CV122" si="1813">CU122</f>
        <v>215738</v>
      </c>
      <c r="CW122" s="44">
        <f t="shared" ref="CW122" si="1814">CV122</f>
        <v>215738</v>
      </c>
      <c r="CX122" s="44">
        <f>ROUND(CW122*(1+取值表!$D$10)*取值表!$H$10,0)</f>
        <v>217060</v>
      </c>
      <c r="CY122" s="44">
        <f t="shared" ref="CY122" si="1815">CX122</f>
        <v>217060</v>
      </c>
      <c r="CZ122" s="44">
        <f t="shared" ref="CZ122" si="1816">CY122</f>
        <v>217060</v>
      </c>
      <c r="DA122" s="44">
        <f t="shared" ref="DA122" si="1817">CZ122</f>
        <v>217060</v>
      </c>
      <c r="DB122" s="44">
        <f>ROUND(DA122*(1+取值表!$D$10)*取值表!$H$10,0)</f>
        <v>218390</v>
      </c>
      <c r="DC122" s="44">
        <f t="shared" ref="DC122" si="1818">DB122</f>
        <v>218390</v>
      </c>
      <c r="DD122" s="44">
        <f t="shared" ref="DD122" si="1819">DC122</f>
        <v>218390</v>
      </c>
      <c r="DE122" s="44">
        <f t="shared" ref="DE122" si="1820">DD122</f>
        <v>218390</v>
      </c>
      <c r="DF122" s="45">
        <f t="shared" si="969"/>
        <v>20319380</v>
      </c>
    </row>
    <row r="123" spans="1:110" s="40" customFormat="1" ht="12">
      <c r="A123" s="505"/>
      <c r="B123" s="518"/>
      <c r="C123" s="450"/>
      <c r="D123" s="451"/>
      <c r="E123" s="452"/>
      <c r="F123" s="446"/>
      <c r="G123" s="446"/>
      <c r="H123" s="447"/>
      <c r="I123" s="41"/>
      <c r="J123" s="42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45">
        <f t="shared" si="969"/>
        <v>0</v>
      </c>
    </row>
    <row r="124" spans="1:110" s="40" customFormat="1" ht="12" customHeight="1">
      <c r="A124" s="504">
        <v>62</v>
      </c>
      <c r="B124" s="518" t="s">
        <v>142</v>
      </c>
      <c r="C124" s="450" t="s">
        <v>143</v>
      </c>
      <c r="D124" s="451" t="s">
        <v>144</v>
      </c>
      <c r="E124" s="452" t="s">
        <v>459</v>
      </c>
      <c r="F124" s="446">
        <v>77.069999999999993</v>
      </c>
      <c r="G124" s="446">
        <v>25</v>
      </c>
      <c r="H124" s="447">
        <f>F124*G124*365</f>
        <v>703263.74999999988</v>
      </c>
      <c r="I124" s="41">
        <v>172299.62</v>
      </c>
      <c r="J124" s="43">
        <f>ROUND(F124*G124*365/4,0)</f>
        <v>175816</v>
      </c>
      <c r="K124" s="44">
        <f>J124</f>
        <v>175816</v>
      </c>
      <c r="L124" s="44">
        <f>K124</f>
        <v>175816</v>
      </c>
      <c r="M124" s="44">
        <f>L124</f>
        <v>175816</v>
      </c>
      <c r="N124" s="44">
        <f>ROUND(M124*(1+取值表!$D$10)*取值表!$H$10,0)</f>
        <v>176894</v>
      </c>
      <c r="O124" s="44">
        <f>N124</f>
        <v>176894</v>
      </c>
      <c r="P124" s="44">
        <f>O124</f>
        <v>176894</v>
      </c>
      <c r="Q124" s="44">
        <f>P124</f>
        <v>176894</v>
      </c>
      <c r="R124" s="44">
        <f>ROUND(Q124*(1+取值表!$D$10)*取值表!$H$10,0)</f>
        <v>177978</v>
      </c>
      <c r="S124" s="44">
        <f t="shared" ref="S124:U124" si="1821">R124</f>
        <v>177978</v>
      </c>
      <c r="T124" s="44">
        <f t="shared" si="1821"/>
        <v>177978</v>
      </c>
      <c r="U124" s="44">
        <f t="shared" si="1821"/>
        <v>177978</v>
      </c>
      <c r="V124" s="44">
        <f>ROUND(U124*(1+取值表!$D$10)*取值表!$H$10,0)</f>
        <v>179069</v>
      </c>
      <c r="W124" s="44">
        <f t="shared" ref="W124:Y124" si="1822">V124</f>
        <v>179069</v>
      </c>
      <c r="X124" s="44">
        <f t="shared" si="1822"/>
        <v>179069</v>
      </c>
      <c r="Y124" s="44">
        <f t="shared" si="1822"/>
        <v>179069</v>
      </c>
      <c r="Z124" s="44">
        <f>ROUND(Y124*(1+取值表!$D$10)*取值表!$H$10,0)</f>
        <v>180167</v>
      </c>
      <c r="AA124" s="44">
        <f t="shared" ref="AA124:AC124" si="1823">Z124</f>
        <v>180167</v>
      </c>
      <c r="AB124" s="44">
        <f t="shared" si="1823"/>
        <v>180167</v>
      </c>
      <c r="AC124" s="44">
        <f t="shared" si="1823"/>
        <v>180167</v>
      </c>
      <c r="AD124" s="44">
        <f>ROUND(AC124*(1+取值表!$D$10)*取值表!$H$10,0)</f>
        <v>181271</v>
      </c>
      <c r="AE124" s="44">
        <f t="shared" ref="AE124:AG124" si="1824">AD124</f>
        <v>181271</v>
      </c>
      <c r="AF124" s="44">
        <f t="shared" si="1824"/>
        <v>181271</v>
      </c>
      <c r="AG124" s="44">
        <f t="shared" si="1824"/>
        <v>181271</v>
      </c>
      <c r="AH124" s="44">
        <f>ROUND(AG124*(1+取值表!$D$10)*取值表!$H$10,0)</f>
        <v>182382</v>
      </c>
      <c r="AI124" s="44">
        <f t="shared" ref="AI124:AK124" si="1825">AH124</f>
        <v>182382</v>
      </c>
      <c r="AJ124" s="44">
        <f t="shared" si="1825"/>
        <v>182382</v>
      </c>
      <c r="AK124" s="44">
        <f t="shared" si="1825"/>
        <v>182382</v>
      </c>
      <c r="AL124" s="44">
        <f>ROUND(AK124*(1+取值表!$D$10)*取值表!$H$10,0)</f>
        <v>183500</v>
      </c>
      <c r="AM124" s="44">
        <f t="shared" ref="AM124:AO124" si="1826">AL124</f>
        <v>183500</v>
      </c>
      <c r="AN124" s="44">
        <f t="shared" si="1826"/>
        <v>183500</v>
      </c>
      <c r="AO124" s="44">
        <f t="shared" si="1826"/>
        <v>183500</v>
      </c>
      <c r="AP124" s="44">
        <f>ROUND(AO124*(1+取值表!$D$10)*取值表!$H$10,0)</f>
        <v>184625</v>
      </c>
      <c r="AQ124" s="44">
        <f t="shared" ref="AQ124:AS124" si="1827">AP124</f>
        <v>184625</v>
      </c>
      <c r="AR124" s="44">
        <f t="shared" si="1827"/>
        <v>184625</v>
      </c>
      <c r="AS124" s="44">
        <f t="shared" si="1827"/>
        <v>184625</v>
      </c>
      <c r="AT124" s="44">
        <f>ROUND(AS124*(1+取值表!$D$10)*取值表!$H$10,0)</f>
        <v>185757</v>
      </c>
      <c r="AU124" s="44">
        <f t="shared" ref="AU124:AW124" si="1828">AT124</f>
        <v>185757</v>
      </c>
      <c r="AV124" s="44">
        <f t="shared" si="1828"/>
        <v>185757</v>
      </c>
      <c r="AW124" s="44">
        <f t="shared" si="1828"/>
        <v>185757</v>
      </c>
      <c r="AX124" s="44">
        <f>ROUND(AW124*(1+取值表!$D$10)*取值表!$H$10,0)</f>
        <v>186896</v>
      </c>
      <c r="AY124" s="44">
        <f t="shared" ref="AY124:BA124" si="1829">AX124</f>
        <v>186896</v>
      </c>
      <c r="AZ124" s="44">
        <f t="shared" si="1829"/>
        <v>186896</v>
      </c>
      <c r="BA124" s="44">
        <f t="shared" si="1829"/>
        <v>186896</v>
      </c>
      <c r="BB124" s="44">
        <f>ROUND(BA124*(1+取值表!$D$10)*取值表!$H$10,0)</f>
        <v>188042</v>
      </c>
      <c r="BC124" s="44">
        <f t="shared" ref="BC124:BE124" si="1830">BB124</f>
        <v>188042</v>
      </c>
      <c r="BD124" s="44">
        <f t="shared" si="1830"/>
        <v>188042</v>
      </c>
      <c r="BE124" s="44">
        <f t="shared" si="1830"/>
        <v>188042</v>
      </c>
      <c r="BF124" s="44">
        <f>ROUND(BE124*(1+取值表!$D$10)*取值表!$H$10,0)</f>
        <v>189195</v>
      </c>
      <c r="BG124" s="44">
        <f t="shared" ref="BG124:BI124" si="1831">BF124</f>
        <v>189195</v>
      </c>
      <c r="BH124" s="44">
        <f t="shared" si="1831"/>
        <v>189195</v>
      </c>
      <c r="BI124" s="44">
        <f t="shared" si="1831"/>
        <v>189195</v>
      </c>
      <c r="BJ124" s="44">
        <f>ROUND(BI124*(1+取值表!$D$10)*取值表!$H$10,0)</f>
        <v>190355</v>
      </c>
      <c r="BK124" s="44">
        <f t="shared" ref="BK124:BM124" si="1832">BJ124</f>
        <v>190355</v>
      </c>
      <c r="BL124" s="44">
        <f t="shared" si="1832"/>
        <v>190355</v>
      </c>
      <c r="BM124" s="44">
        <f t="shared" si="1832"/>
        <v>190355</v>
      </c>
      <c r="BN124" s="44">
        <f>ROUND(BM124*(1+取值表!$D$10)*取值表!$H$10,0)</f>
        <v>191522</v>
      </c>
      <c r="BO124" s="44">
        <f t="shared" ref="BO124:BQ124" si="1833">BN124</f>
        <v>191522</v>
      </c>
      <c r="BP124" s="44">
        <f t="shared" si="1833"/>
        <v>191522</v>
      </c>
      <c r="BQ124" s="44">
        <f t="shared" si="1833"/>
        <v>191522</v>
      </c>
      <c r="BR124" s="44">
        <f>ROUND(BQ124*(1+取值表!$D$10)*取值表!$H$10,0)</f>
        <v>192696</v>
      </c>
      <c r="BS124" s="44">
        <f t="shared" ref="BS124:BU124" si="1834">BR124</f>
        <v>192696</v>
      </c>
      <c r="BT124" s="44">
        <f t="shared" si="1834"/>
        <v>192696</v>
      </c>
      <c r="BU124" s="44">
        <f t="shared" si="1834"/>
        <v>192696</v>
      </c>
      <c r="BV124" s="44">
        <f>ROUND(BU124*(1+取值表!$D$10)*取值表!$H$10,0)</f>
        <v>193877</v>
      </c>
      <c r="BW124" s="44">
        <f t="shared" ref="BW124:BY124" si="1835">BV124</f>
        <v>193877</v>
      </c>
      <c r="BX124" s="44">
        <f t="shared" si="1835"/>
        <v>193877</v>
      </c>
      <c r="BY124" s="44">
        <f t="shared" si="1835"/>
        <v>193877</v>
      </c>
      <c r="BZ124" s="44">
        <f>ROUND(BY124*(1+取值表!$D$10)*取值表!$H$10,0)</f>
        <v>195065</v>
      </c>
      <c r="CA124" s="44">
        <f t="shared" ref="CA124:CC124" si="1836">BZ124</f>
        <v>195065</v>
      </c>
      <c r="CB124" s="44">
        <f t="shared" si="1836"/>
        <v>195065</v>
      </c>
      <c r="CC124" s="44">
        <f t="shared" si="1836"/>
        <v>195065</v>
      </c>
      <c r="CD124" s="44">
        <f>ROUND(CC124*(1+取值表!$D$10)*取值表!$H$10,0)</f>
        <v>196261</v>
      </c>
      <c r="CE124" s="44">
        <f t="shared" ref="CE124:CG124" si="1837">CD124</f>
        <v>196261</v>
      </c>
      <c r="CF124" s="44">
        <f t="shared" si="1837"/>
        <v>196261</v>
      </c>
      <c r="CG124" s="44">
        <f t="shared" si="1837"/>
        <v>196261</v>
      </c>
      <c r="CH124" s="44">
        <f>ROUND(CG124*(1+取值表!$D$10)*取值表!$H$10,0)</f>
        <v>197464</v>
      </c>
      <c r="CI124" s="44">
        <f t="shared" ref="CI124:CK124" si="1838">CH124</f>
        <v>197464</v>
      </c>
      <c r="CJ124" s="44">
        <f t="shared" si="1838"/>
        <v>197464</v>
      </c>
      <c r="CK124" s="44">
        <f t="shared" si="1838"/>
        <v>197464</v>
      </c>
      <c r="CL124" s="44">
        <f>ROUND(CK124*(1+取值表!$D$10)*取值表!$H$10,0)</f>
        <v>198674</v>
      </c>
      <c r="CM124" s="44">
        <f t="shared" ref="CM124:CO124" si="1839">CL124</f>
        <v>198674</v>
      </c>
      <c r="CN124" s="44">
        <f t="shared" si="1839"/>
        <v>198674</v>
      </c>
      <c r="CO124" s="44">
        <f t="shared" si="1839"/>
        <v>198674</v>
      </c>
      <c r="CP124" s="44">
        <f>ROUND(CO124*(1+取值表!$D$10)*取值表!$H$10,0)</f>
        <v>199892</v>
      </c>
      <c r="CQ124" s="44">
        <f t="shared" ref="CQ124" si="1840">CP124</f>
        <v>199892</v>
      </c>
      <c r="CR124" s="44">
        <f t="shared" ref="CR124" si="1841">CQ124</f>
        <v>199892</v>
      </c>
      <c r="CS124" s="44">
        <f t="shared" ref="CS124" si="1842">CR124</f>
        <v>199892</v>
      </c>
      <c r="CT124" s="44">
        <f>ROUND(CS124*(1+取值表!$D$10)*取值表!$H$10,0)</f>
        <v>201117</v>
      </c>
      <c r="CU124" s="44">
        <f t="shared" ref="CU124" si="1843">CT124</f>
        <v>201117</v>
      </c>
      <c r="CV124" s="44">
        <f t="shared" ref="CV124" si="1844">CU124</f>
        <v>201117</v>
      </c>
      <c r="CW124" s="44">
        <f t="shared" ref="CW124" si="1845">CV124</f>
        <v>201117</v>
      </c>
      <c r="CX124" s="44">
        <f>ROUND(CW124*(1+取值表!$D$10)*取值表!$H$10,0)</f>
        <v>202350</v>
      </c>
      <c r="CY124" s="44">
        <f t="shared" ref="CY124" si="1846">CX124</f>
        <v>202350</v>
      </c>
      <c r="CZ124" s="44">
        <f t="shared" ref="CZ124" si="1847">CY124</f>
        <v>202350</v>
      </c>
      <c r="DA124" s="44">
        <f t="shared" ref="DA124" si="1848">CZ124</f>
        <v>202350</v>
      </c>
      <c r="DB124" s="44">
        <f>ROUND(DA124*(1+取值表!$D$10)*取值表!$H$10,0)</f>
        <v>203590</v>
      </c>
      <c r="DC124" s="44">
        <f t="shared" ref="DC124" si="1849">DB124</f>
        <v>203590</v>
      </c>
      <c r="DD124" s="44">
        <f t="shared" ref="DD124" si="1850">DC124</f>
        <v>203590</v>
      </c>
      <c r="DE124" s="44">
        <f t="shared" ref="DE124" si="1851">DD124</f>
        <v>203590</v>
      </c>
      <c r="DF124" s="45">
        <f t="shared" si="969"/>
        <v>18937820</v>
      </c>
    </row>
    <row r="125" spans="1:110" s="40" customFormat="1" ht="12" customHeight="1">
      <c r="A125" s="505"/>
      <c r="B125" s="518"/>
      <c r="C125" s="450"/>
      <c r="D125" s="451"/>
      <c r="E125" s="452"/>
      <c r="F125" s="446"/>
      <c r="G125" s="446"/>
      <c r="H125" s="447"/>
      <c r="I125" s="41"/>
      <c r="J125" s="42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/>
      <c r="DD125" s="44"/>
      <c r="DE125" s="44"/>
      <c r="DF125" s="45">
        <f t="shared" si="969"/>
        <v>0</v>
      </c>
    </row>
    <row r="126" spans="1:110" s="40" customFormat="1" ht="12" customHeight="1">
      <c r="A126" s="504">
        <v>63</v>
      </c>
      <c r="B126" s="518" t="s">
        <v>145</v>
      </c>
      <c r="C126" s="450" t="s">
        <v>735</v>
      </c>
      <c r="D126" s="451" t="s">
        <v>474</v>
      </c>
      <c r="E126" s="452" t="s">
        <v>459</v>
      </c>
      <c r="F126" s="446">
        <v>87.54</v>
      </c>
      <c r="G126" s="446">
        <v>20</v>
      </c>
      <c r="H126" s="447">
        <f>F126*G126*365</f>
        <v>639042.00000000012</v>
      </c>
      <c r="I126" s="41">
        <f>155766.5+11982.03</f>
        <v>167748.53</v>
      </c>
      <c r="J126" s="42">
        <f>ROUND(F126*G126*365/4,0)</f>
        <v>159761</v>
      </c>
      <c r="K126" s="42">
        <f>J126</f>
        <v>159761</v>
      </c>
      <c r="L126" s="43">
        <f>K126</f>
        <v>159761</v>
      </c>
      <c r="M126" s="44">
        <f>L126</f>
        <v>159761</v>
      </c>
      <c r="N126" s="44">
        <f>ROUND(M126*(1+取值表!$D$10)*取值表!$H$10,0)</f>
        <v>160740</v>
      </c>
      <c r="O126" s="44">
        <f>N126</f>
        <v>160740</v>
      </c>
      <c r="P126" s="44">
        <f>O126</f>
        <v>160740</v>
      </c>
      <c r="Q126" s="44">
        <f>P126</f>
        <v>160740</v>
      </c>
      <c r="R126" s="44">
        <f>ROUND(Q126*(1+取值表!$D$10)*取值表!$H$10,0)</f>
        <v>161725</v>
      </c>
      <c r="S126" s="44">
        <f t="shared" ref="S126:U126" si="1852">R126</f>
        <v>161725</v>
      </c>
      <c r="T126" s="44">
        <f t="shared" si="1852"/>
        <v>161725</v>
      </c>
      <c r="U126" s="44">
        <f t="shared" si="1852"/>
        <v>161725</v>
      </c>
      <c r="V126" s="44">
        <f>ROUND(U126*(1+取值表!$D$10)*取值表!$H$10,0)</f>
        <v>162716</v>
      </c>
      <c r="W126" s="44">
        <f t="shared" ref="W126:Y126" si="1853">V126</f>
        <v>162716</v>
      </c>
      <c r="X126" s="44">
        <f t="shared" si="1853"/>
        <v>162716</v>
      </c>
      <c r="Y126" s="44">
        <f t="shared" si="1853"/>
        <v>162716</v>
      </c>
      <c r="Z126" s="44">
        <f>ROUND(Y126*(1+取值表!$D$10)*取值表!$H$10,0)</f>
        <v>163713</v>
      </c>
      <c r="AA126" s="44">
        <f t="shared" ref="AA126:AC126" si="1854">Z126</f>
        <v>163713</v>
      </c>
      <c r="AB126" s="44">
        <f t="shared" si="1854"/>
        <v>163713</v>
      </c>
      <c r="AC126" s="44">
        <f t="shared" si="1854"/>
        <v>163713</v>
      </c>
      <c r="AD126" s="44">
        <f>ROUND(AC126*(1+取值表!$D$10)*取值表!$H$10,0)</f>
        <v>164716</v>
      </c>
      <c r="AE126" s="44">
        <f t="shared" ref="AE126:AG126" si="1855">AD126</f>
        <v>164716</v>
      </c>
      <c r="AF126" s="44">
        <f t="shared" si="1855"/>
        <v>164716</v>
      </c>
      <c r="AG126" s="44">
        <f t="shared" si="1855"/>
        <v>164716</v>
      </c>
      <c r="AH126" s="44">
        <f>ROUND(AG126*(1+取值表!$D$10)*取值表!$H$10,0)</f>
        <v>165726</v>
      </c>
      <c r="AI126" s="44">
        <f t="shared" ref="AI126:AK126" si="1856">AH126</f>
        <v>165726</v>
      </c>
      <c r="AJ126" s="44">
        <f t="shared" si="1856"/>
        <v>165726</v>
      </c>
      <c r="AK126" s="44">
        <f t="shared" si="1856"/>
        <v>165726</v>
      </c>
      <c r="AL126" s="44">
        <f>ROUND(AK126*(1+取值表!$D$10)*取值表!$H$10,0)</f>
        <v>166742</v>
      </c>
      <c r="AM126" s="44">
        <f t="shared" ref="AM126:AO126" si="1857">AL126</f>
        <v>166742</v>
      </c>
      <c r="AN126" s="44">
        <f t="shared" si="1857"/>
        <v>166742</v>
      </c>
      <c r="AO126" s="44">
        <f t="shared" si="1857"/>
        <v>166742</v>
      </c>
      <c r="AP126" s="44">
        <f>ROUND(AO126*(1+取值表!$D$10)*取值表!$H$10,0)</f>
        <v>167764</v>
      </c>
      <c r="AQ126" s="44">
        <f t="shared" ref="AQ126:AS126" si="1858">AP126</f>
        <v>167764</v>
      </c>
      <c r="AR126" s="44">
        <f t="shared" si="1858"/>
        <v>167764</v>
      </c>
      <c r="AS126" s="44">
        <f t="shared" si="1858"/>
        <v>167764</v>
      </c>
      <c r="AT126" s="44">
        <f>ROUND(AS126*(1+取值表!$D$10)*取值表!$H$10,0)</f>
        <v>168792</v>
      </c>
      <c r="AU126" s="44">
        <f t="shared" ref="AU126:AW126" si="1859">AT126</f>
        <v>168792</v>
      </c>
      <c r="AV126" s="44">
        <f t="shared" si="1859"/>
        <v>168792</v>
      </c>
      <c r="AW126" s="44">
        <f t="shared" si="1859"/>
        <v>168792</v>
      </c>
      <c r="AX126" s="44">
        <f>ROUND(AW126*(1+取值表!$D$10)*取值表!$H$10,0)</f>
        <v>169827</v>
      </c>
      <c r="AY126" s="44">
        <f t="shared" ref="AY126:BA126" si="1860">AX126</f>
        <v>169827</v>
      </c>
      <c r="AZ126" s="44">
        <f t="shared" si="1860"/>
        <v>169827</v>
      </c>
      <c r="BA126" s="44">
        <f t="shared" si="1860"/>
        <v>169827</v>
      </c>
      <c r="BB126" s="44">
        <f>ROUND(BA126*(1+取值表!$D$10)*取值表!$H$10,0)</f>
        <v>170868</v>
      </c>
      <c r="BC126" s="44">
        <f t="shared" ref="BC126:BE126" si="1861">BB126</f>
        <v>170868</v>
      </c>
      <c r="BD126" s="44">
        <f t="shared" si="1861"/>
        <v>170868</v>
      </c>
      <c r="BE126" s="44">
        <f t="shared" si="1861"/>
        <v>170868</v>
      </c>
      <c r="BF126" s="44">
        <f>ROUND(BE126*(1+取值表!$D$10)*取值表!$H$10,0)</f>
        <v>171915</v>
      </c>
      <c r="BG126" s="44">
        <f t="shared" ref="BG126:BI126" si="1862">BF126</f>
        <v>171915</v>
      </c>
      <c r="BH126" s="44">
        <f t="shared" si="1862"/>
        <v>171915</v>
      </c>
      <c r="BI126" s="44">
        <f t="shared" si="1862"/>
        <v>171915</v>
      </c>
      <c r="BJ126" s="44">
        <f>ROUND(BI126*(1+取值表!$D$10)*取值表!$H$10,0)</f>
        <v>172969</v>
      </c>
      <c r="BK126" s="44">
        <f t="shared" ref="BK126:BM126" si="1863">BJ126</f>
        <v>172969</v>
      </c>
      <c r="BL126" s="44">
        <f t="shared" si="1863"/>
        <v>172969</v>
      </c>
      <c r="BM126" s="44">
        <f t="shared" si="1863"/>
        <v>172969</v>
      </c>
      <c r="BN126" s="44">
        <f>ROUND(BM126*(1+取值表!$D$10)*取值表!$H$10,0)</f>
        <v>174029</v>
      </c>
      <c r="BO126" s="44">
        <f t="shared" ref="BO126:BQ126" si="1864">BN126</f>
        <v>174029</v>
      </c>
      <c r="BP126" s="44">
        <f t="shared" si="1864"/>
        <v>174029</v>
      </c>
      <c r="BQ126" s="44">
        <f t="shared" si="1864"/>
        <v>174029</v>
      </c>
      <c r="BR126" s="44">
        <f>ROUND(BQ126*(1+取值表!$D$10)*取值表!$H$10,0)</f>
        <v>175096</v>
      </c>
      <c r="BS126" s="44">
        <f t="shared" ref="BS126:BU126" si="1865">BR126</f>
        <v>175096</v>
      </c>
      <c r="BT126" s="44">
        <f t="shared" si="1865"/>
        <v>175096</v>
      </c>
      <c r="BU126" s="44">
        <f t="shared" si="1865"/>
        <v>175096</v>
      </c>
      <c r="BV126" s="44">
        <f>ROUND(BU126*(1+取值表!$D$10)*取值表!$H$10,0)</f>
        <v>176169</v>
      </c>
      <c r="BW126" s="44">
        <f t="shared" ref="BW126:BY126" si="1866">BV126</f>
        <v>176169</v>
      </c>
      <c r="BX126" s="44">
        <f t="shared" si="1866"/>
        <v>176169</v>
      </c>
      <c r="BY126" s="44">
        <f t="shared" si="1866"/>
        <v>176169</v>
      </c>
      <c r="BZ126" s="44">
        <f>ROUND(BY126*(1+取值表!$D$10)*取值表!$H$10,0)</f>
        <v>177249</v>
      </c>
      <c r="CA126" s="44">
        <f t="shared" ref="CA126:CC126" si="1867">BZ126</f>
        <v>177249</v>
      </c>
      <c r="CB126" s="44">
        <f t="shared" si="1867"/>
        <v>177249</v>
      </c>
      <c r="CC126" s="44">
        <f t="shared" si="1867"/>
        <v>177249</v>
      </c>
      <c r="CD126" s="44">
        <f>ROUND(CC126*(1+取值表!$D$10)*取值表!$H$10,0)</f>
        <v>178335</v>
      </c>
      <c r="CE126" s="44">
        <f t="shared" ref="CE126:CG126" si="1868">CD126</f>
        <v>178335</v>
      </c>
      <c r="CF126" s="44">
        <f t="shared" si="1868"/>
        <v>178335</v>
      </c>
      <c r="CG126" s="44">
        <f t="shared" si="1868"/>
        <v>178335</v>
      </c>
      <c r="CH126" s="44">
        <f>ROUND(CG126*(1+取值表!$D$10)*取值表!$H$10,0)</f>
        <v>179428</v>
      </c>
      <c r="CI126" s="44">
        <f t="shared" ref="CI126:CK126" si="1869">CH126</f>
        <v>179428</v>
      </c>
      <c r="CJ126" s="44">
        <f t="shared" si="1869"/>
        <v>179428</v>
      </c>
      <c r="CK126" s="44">
        <f t="shared" si="1869"/>
        <v>179428</v>
      </c>
      <c r="CL126" s="44">
        <f>ROUND(CK126*(1+取值表!$D$10)*取值表!$H$10,0)</f>
        <v>180528</v>
      </c>
      <c r="CM126" s="44">
        <f t="shared" ref="CM126:CO126" si="1870">CL126</f>
        <v>180528</v>
      </c>
      <c r="CN126" s="44">
        <f t="shared" si="1870"/>
        <v>180528</v>
      </c>
      <c r="CO126" s="44">
        <f t="shared" si="1870"/>
        <v>180528</v>
      </c>
      <c r="CP126" s="44">
        <f>ROUND(CO126*(1+取值表!$D$10)*取值表!$H$10,0)</f>
        <v>181634</v>
      </c>
      <c r="CQ126" s="44">
        <f t="shared" ref="CQ126" si="1871">CP126</f>
        <v>181634</v>
      </c>
      <c r="CR126" s="44">
        <f t="shared" ref="CR126" si="1872">CQ126</f>
        <v>181634</v>
      </c>
      <c r="CS126" s="44">
        <f t="shared" ref="CS126" si="1873">CR126</f>
        <v>181634</v>
      </c>
      <c r="CT126" s="44">
        <f>ROUND(CS126*(1+取值表!$D$10)*取值表!$H$10,0)</f>
        <v>182747</v>
      </c>
      <c r="CU126" s="44">
        <f t="shared" ref="CU126" si="1874">CT126</f>
        <v>182747</v>
      </c>
      <c r="CV126" s="44">
        <f t="shared" ref="CV126" si="1875">CU126</f>
        <v>182747</v>
      </c>
      <c r="CW126" s="44">
        <f t="shared" ref="CW126" si="1876">CV126</f>
        <v>182747</v>
      </c>
      <c r="CX126" s="44">
        <f>ROUND(CW126*(1+取值表!$D$10)*取值表!$H$10,0)</f>
        <v>183867</v>
      </c>
      <c r="CY126" s="44">
        <f t="shared" ref="CY126" si="1877">CX126</f>
        <v>183867</v>
      </c>
      <c r="CZ126" s="44">
        <f t="shared" ref="CZ126" si="1878">CY126</f>
        <v>183867</v>
      </c>
      <c r="DA126" s="44">
        <f t="shared" ref="DA126" si="1879">CZ126</f>
        <v>183867</v>
      </c>
      <c r="DB126" s="44">
        <f>ROUND(DA126*(1+取值表!$D$10)*取值表!$H$10,0)</f>
        <v>184994</v>
      </c>
      <c r="DC126" s="44">
        <f t="shared" ref="DC126" si="1880">DB126</f>
        <v>184994</v>
      </c>
      <c r="DD126" s="44">
        <f t="shared" ref="DD126" si="1881">DC126</f>
        <v>184994</v>
      </c>
      <c r="DE126" s="44">
        <f t="shared" ref="DE126" si="1882">DD126</f>
        <v>184994</v>
      </c>
      <c r="DF126" s="45">
        <f t="shared" si="969"/>
        <v>17208200</v>
      </c>
    </row>
    <row r="127" spans="1:110" s="40" customFormat="1" ht="12" customHeight="1">
      <c r="A127" s="505"/>
      <c r="B127" s="518"/>
      <c r="C127" s="450"/>
      <c r="D127" s="451"/>
      <c r="E127" s="452"/>
      <c r="F127" s="446"/>
      <c r="G127" s="446"/>
      <c r="H127" s="447"/>
      <c r="I127" s="41"/>
      <c r="J127" s="42"/>
      <c r="K127" s="42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4"/>
      <c r="DE127" s="44"/>
      <c r="DF127" s="45">
        <f t="shared" si="969"/>
        <v>0</v>
      </c>
    </row>
    <row r="128" spans="1:110" s="40" customFormat="1" ht="12" customHeight="1">
      <c r="A128" s="504">
        <v>64</v>
      </c>
      <c r="B128" s="518" t="s">
        <v>146</v>
      </c>
      <c r="C128" s="450" t="s">
        <v>147</v>
      </c>
      <c r="D128" s="451" t="s">
        <v>409</v>
      </c>
      <c r="E128" s="452" t="s">
        <v>459</v>
      </c>
      <c r="F128" s="446">
        <v>111.33</v>
      </c>
      <c r="G128" s="446">
        <v>26</v>
      </c>
      <c r="H128" s="447">
        <f>F128*G128*365</f>
        <v>1056521.7</v>
      </c>
      <c r="I128" s="41">
        <v>252899.37</v>
      </c>
      <c r="J128" s="42">
        <f>ROUND(F128*G128*365/4,0)</f>
        <v>264130</v>
      </c>
      <c r="K128" s="43">
        <f>J128</f>
        <v>264130</v>
      </c>
      <c r="L128" s="44">
        <f>K128</f>
        <v>264130</v>
      </c>
      <c r="M128" s="44">
        <f>L128</f>
        <v>264130</v>
      </c>
      <c r="N128" s="44">
        <f>ROUND(M128*(1+取值表!$D$10)*取值表!$H$10,0)</f>
        <v>265749</v>
      </c>
      <c r="O128" s="44">
        <f>N128</f>
        <v>265749</v>
      </c>
      <c r="P128" s="44">
        <f>O128</f>
        <v>265749</v>
      </c>
      <c r="Q128" s="44">
        <f>P128</f>
        <v>265749</v>
      </c>
      <c r="R128" s="44">
        <f>ROUND(Q128*(1+取值表!$D$10)*取值表!$H$10,0)</f>
        <v>267378</v>
      </c>
      <c r="S128" s="44">
        <f t="shared" ref="S128:U128" si="1883">R128</f>
        <v>267378</v>
      </c>
      <c r="T128" s="44">
        <f t="shared" si="1883"/>
        <v>267378</v>
      </c>
      <c r="U128" s="44">
        <f t="shared" si="1883"/>
        <v>267378</v>
      </c>
      <c r="V128" s="44">
        <f>ROUND(U128*(1+取值表!$D$10)*取值表!$H$10,0)</f>
        <v>269017</v>
      </c>
      <c r="W128" s="44">
        <f t="shared" ref="W128:Y128" si="1884">V128</f>
        <v>269017</v>
      </c>
      <c r="X128" s="44">
        <f t="shared" si="1884"/>
        <v>269017</v>
      </c>
      <c r="Y128" s="44">
        <f t="shared" si="1884"/>
        <v>269017</v>
      </c>
      <c r="Z128" s="44">
        <f>ROUND(Y128*(1+取值表!$D$10)*取值表!$H$10,0)</f>
        <v>270666</v>
      </c>
      <c r="AA128" s="44">
        <f t="shared" ref="AA128:AC128" si="1885">Z128</f>
        <v>270666</v>
      </c>
      <c r="AB128" s="44">
        <f t="shared" si="1885"/>
        <v>270666</v>
      </c>
      <c r="AC128" s="44">
        <f t="shared" si="1885"/>
        <v>270666</v>
      </c>
      <c r="AD128" s="44">
        <f>ROUND(AC128*(1+取值表!$D$10)*取值表!$H$10,0)</f>
        <v>272325</v>
      </c>
      <c r="AE128" s="44">
        <f t="shared" ref="AE128:AG128" si="1886">AD128</f>
        <v>272325</v>
      </c>
      <c r="AF128" s="44">
        <f t="shared" si="1886"/>
        <v>272325</v>
      </c>
      <c r="AG128" s="44">
        <f t="shared" si="1886"/>
        <v>272325</v>
      </c>
      <c r="AH128" s="44">
        <f>ROUND(AG128*(1+取值表!$D$10)*取值表!$H$10,0)</f>
        <v>273994</v>
      </c>
      <c r="AI128" s="44">
        <f t="shared" ref="AI128:AK128" si="1887">AH128</f>
        <v>273994</v>
      </c>
      <c r="AJ128" s="44">
        <f t="shared" si="1887"/>
        <v>273994</v>
      </c>
      <c r="AK128" s="44">
        <f t="shared" si="1887"/>
        <v>273994</v>
      </c>
      <c r="AL128" s="44">
        <f>ROUND(AK128*(1+取值表!$D$10)*取值表!$H$10,0)</f>
        <v>275673</v>
      </c>
      <c r="AM128" s="44">
        <f t="shared" ref="AM128:AO128" si="1888">AL128</f>
        <v>275673</v>
      </c>
      <c r="AN128" s="44">
        <f t="shared" si="1888"/>
        <v>275673</v>
      </c>
      <c r="AO128" s="44">
        <f t="shared" si="1888"/>
        <v>275673</v>
      </c>
      <c r="AP128" s="44">
        <f>ROUND(AO128*(1+取值表!$D$10)*取值表!$H$10,0)</f>
        <v>277363</v>
      </c>
      <c r="AQ128" s="44">
        <f t="shared" ref="AQ128:AS128" si="1889">AP128</f>
        <v>277363</v>
      </c>
      <c r="AR128" s="44">
        <f t="shared" si="1889"/>
        <v>277363</v>
      </c>
      <c r="AS128" s="44">
        <f t="shared" si="1889"/>
        <v>277363</v>
      </c>
      <c r="AT128" s="44">
        <f>ROUND(AS128*(1+取值表!$D$10)*取值表!$H$10,0)</f>
        <v>279063</v>
      </c>
      <c r="AU128" s="44">
        <f t="shared" ref="AU128:AW128" si="1890">AT128</f>
        <v>279063</v>
      </c>
      <c r="AV128" s="44">
        <f t="shared" si="1890"/>
        <v>279063</v>
      </c>
      <c r="AW128" s="44">
        <f t="shared" si="1890"/>
        <v>279063</v>
      </c>
      <c r="AX128" s="44">
        <f>ROUND(AW128*(1+取值表!$D$10)*取值表!$H$10,0)</f>
        <v>280773</v>
      </c>
      <c r="AY128" s="44">
        <f t="shared" ref="AY128:BA128" si="1891">AX128</f>
        <v>280773</v>
      </c>
      <c r="AZ128" s="44">
        <f t="shared" si="1891"/>
        <v>280773</v>
      </c>
      <c r="BA128" s="44">
        <f t="shared" si="1891"/>
        <v>280773</v>
      </c>
      <c r="BB128" s="44">
        <f>ROUND(BA128*(1+取值表!$D$10)*取值表!$H$10,0)</f>
        <v>282494</v>
      </c>
      <c r="BC128" s="44">
        <f t="shared" ref="BC128:BE128" si="1892">BB128</f>
        <v>282494</v>
      </c>
      <c r="BD128" s="44">
        <f t="shared" si="1892"/>
        <v>282494</v>
      </c>
      <c r="BE128" s="44">
        <f t="shared" si="1892"/>
        <v>282494</v>
      </c>
      <c r="BF128" s="44">
        <f>ROUND(BE128*(1+取值表!$D$10)*取值表!$H$10,0)</f>
        <v>284225</v>
      </c>
      <c r="BG128" s="44">
        <f t="shared" ref="BG128:BI128" si="1893">BF128</f>
        <v>284225</v>
      </c>
      <c r="BH128" s="44">
        <f t="shared" si="1893"/>
        <v>284225</v>
      </c>
      <c r="BI128" s="44">
        <f t="shared" si="1893"/>
        <v>284225</v>
      </c>
      <c r="BJ128" s="44">
        <f>ROUND(BI128*(1+取值表!$D$10)*取值表!$H$10,0)</f>
        <v>285967</v>
      </c>
      <c r="BK128" s="44">
        <f t="shared" ref="BK128:BM128" si="1894">BJ128</f>
        <v>285967</v>
      </c>
      <c r="BL128" s="44">
        <f t="shared" si="1894"/>
        <v>285967</v>
      </c>
      <c r="BM128" s="44">
        <f t="shared" si="1894"/>
        <v>285967</v>
      </c>
      <c r="BN128" s="44">
        <f>ROUND(BM128*(1+取值表!$D$10)*取值表!$H$10,0)</f>
        <v>287720</v>
      </c>
      <c r="BO128" s="44">
        <f t="shared" ref="BO128:BQ128" si="1895">BN128</f>
        <v>287720</v>
      </c>
      <c r="BP128" s="44">
        <f t="shared" si="1895"/>
        <v>287720</v>
      </c>
      <c r="BQ128" s="44">
        <f t="shared" si="1895"/>
        <v>287720</v>
      </c>
      <c r="BR128" s="44">
        <f>ROUND(BQ128*(1+取值表!$D$10)*取值表!$H$10,0)</f>
        <v>289483</v>
      </c>
      <c r="BS128" s="44">
        <f t="shared" ref="BS128:BU128" si="1896">BR128</f>
        <v>289483</v>
      </c>
      <c r="BT128" s="44">
        <f t="shared" si="1896"/>
        <v>289483</v>
      </c>
      <c r="BU128" s="44">
        <f t="shared" si="1896"/>
        <v>289483</v>
      </c>
      <c r="BV128" s="44">
        <f>ROUND(BU128*(1+取值表!$D$10)*取值表!$H$10,0)</f>
        <v>291257</v>
      </c>
      <c r="BW128" s="44">
        <f t="shared" ref="BW128:BY128" si="1897">BV128</f>
        <v>291257</v>
      </c>
      <c r="BX128" s="44">
        <f t="shared" si="1897"/>
        <v>291257</v>
      </c>
      <c r="BY128" s="44">
        <f t="shared" si="1897"/>
        <v>291257</v>
      </c>
      <c r="BZ128" s="44">
        <f>ROUND(BY128*(1+取值表!$D$10)*取值表!$H$10,0)</f>
        <v>293042</v>
      </c>
      <c r="CA128" s="44">
        <f t="shared" ref="CA128:CC128" si="1898">BZ128</f>
        <v>293042</v>
      </c>
      <c r="CB128" s="44">
        <f t="shared" si="1898"/>
        <v>293042</v>
      </c>
      <c r="CC128" s="44">
        <f t="shared" si="1898"/>
        <v>293042</v>
      </c>
      <c r="CD128" s="44">
        <f>ROUND(CC128*(1+取值表!$D$10)*取值表!$H$10,0)</f>
        <v>294838</v>
      </c>
      <c r="CE128" s="44">
        <f t="shared" ref="CE128:CG128" si="1899">CD128</f>
        <v>294838</v>
      </c>
      <c r="CF128" s="44">
        <f t="shared" si="1899"/>
        <v>294838</v>
      </c>
      <c r="CG128" s="44">
        <f t="shared" si="1899"/>
        <v>294838</v>
      </c>
      <c r="CH128" s="44">
        <f>ROUND(CG128*(1+取值表!$D$10)*取值表!$H$10,0)</f>
        <v>296645</v>
      </c>
      <c r="CI128" s="44">
        <f t="shared" ref="CI128:CK128" si="1900">CH128</f>
        <v>296645</v>
      </c>
      <c r="CJ128" s="44">
        <f t="shared" si="1900"/>
        <v>296645</v>
      </c>
      <c r="CK128" s="44">
        <f t="shared" si="1900"/>
        <v>296645</v>
      </c>
      <c r="CL128" s="44">
        <f>ROUND(CK128*(1+取值表!$D$10)*取值表!$H$10,0)</f>
        <v>298463</v>
      </c>
      <c r="CM128" s="44">
        <f t="shared" ref="CM128:CO128" si="1901">CL128</f>
        <v>298463</v>
      </c>
      <c r="CN128" s="44">
        <f t="shared" si="1901"/>
        <v>298463</v>
      </c>
      <c r="CO128" s="44">
        <f t="shared" si="1901"/>
        <v>298463</v>
      </c>
      <c r="CP128" s="44">
        <f>ROUND(CO128*(1+取值表!$D$10)*取值表!$H$10,0)</f>
        <v>300292</v>
      </c>
      <c r="CQ128" s="44">
        <f t="shared" ref="CQ128" si="1902">CP128</f>
        <v>300292</v>
      </c>
      <c r="CR128" s="44">
        <f t="shared" ref="CR128" si="1903">CQ128</f>
        <v>300292</v>
      </c>
      <c r="CS128" s="44">
        <f t="shared" ref="CS128" si="1904">CR128</f>
        <v>300292</v>
      </c>
      <c r="CT128" s="44">
        <f>ROUND(CS128*(1+取值表!$D$10)*取值表!$H$10,0)</f>
        <v>302133</v>
      </c>
      <c r="CU128" s="44">
        <f t="shared" ref="CU128" si="1905">CT128</f>
        <v>302133</v>
      </c>
      <c r="CV128" s="44">
        <f t="shared" ref="CV128" si="1906">CU128</f>
        <v>302133</v>
      </c>
      <c r="CW128" s="44">
        <f t="shared" ref="CW128" si="1907">CV128</f>
        <v>302133</v>
      </c>
      <c r="CX128" s="44">
        <f>ROUND(CW128*(1+取值表!$D$10)*取值表!$H$10,0)</f>
        <v>303985</v>
      </c>
      <c r="CY128" s="44">
        <f t="shared" ref="CY128" si="1908">CX128</f>
        <v>303985</v>
      </c>
      <c r="CZ128" s="44">
        <f t="shared" ref="CZ128" si="1909">CY128</f>
        <v>303985</v>
      </c>
      <c r="DA128" s="44">
        <f t="shared" ref="DA128" si="1910">CZ128</f>
        <v>303985</v>
      </c>
      <c r="DB128" s="44">
        <f>ROUND(DA128*(1+取值表!$D$10)*取值表!$H$10,0)</f>
        <v>305848</v>
      </c>
      <c r="DC128" s="44">
        <f t="shared" ref="DC128" si="1911">DB128</f>
        <v>305848</v>
      </c>
      <c r="DD128" s="44">
        <f t="shared" ref="DD128" si="1912">DC128</f>
        <v>305848</v>
      </c>
      <c r="DE128" s="44">
        <f t="shared" ref="DE128" si="1913">DD128</f>
        <v>305848</v>
      </c>
      <c r="DF128" s="45">
        <f t="shared" si="969"/>
        <v>28450092</v>
      </c>
    </row>
    <row r="129" spans="1:111" s="40" customFormat="1" ht="12" customHeight="1">
      <c r="A129" s="505"/>
      <c r="B129" s="518"/>
      <c r="C129" s="450"/>
      <c r="D129" s="451"/>
      <c r="E129" s="452"/>
      <c r="F129" s="446"/>
      <c r="G129" s="446"/>
      <c r="H129" s="447"/>
      <c r="I129" s="41"/>
      <c r="J129" s="42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O129" s="44"/>
      <c r="CP129" s="44"/>
      <c r="CQ129" s="44"/>
      <c r="CR129" s="44"/>
      <c r="CS129" s="44"/>
      <c r="CT129" s="44"/>
      <c r="CU129" s="44"/>
      <c r="CV129" s="44"/>
      <c r="CW129" s="44"/>
      <c r="CX129" s="44"/>
      <c r="CY129" s="44"/>
      <c r="CZ129" s="44"/>
      <c r="DA129" s="44"/>
      <c r="DB129" s="44"/>
      <c r="DC129" s="44"/>
      <c r="DD129" s="44"/>
      <c r="DE129" s="44"/>
      <c r="DF129" s="45">
        <f t="shared" si="969"/>
        <v>0</v>
      </c>
    </row>
    <row r="130" spans="1:111" s="234" customFormat="1" ht="12">
      <c r="A130" s="504">
        <v>65</v>
      </c>
      <c r="B130" s="518" t="s">
        <v>148</v>
      </c>
      <c r="C130" s="450" t="s">
        <v>149</v>
      </c>
      <c r="D130" s="451" t="s">
        <v>150</v>
      </c>
      <c r="E130" s="452" t="s">
        <v>459</v>
      </c>
      <c r="F130" s="446">
        <v>38.200000000000003</v>
      </c>
      <c r="G130" s="446">
        <v>36</v>
      </c>
      <c r="H130" s="447">
        <f>F130*G130*365</f>
        <v>501948</v>
      </c>
      <c r="I130" s="41">
        <v>125487</v>
      </c>
      <c r="J130" s="42">
        <f>ROUND(F130*G130*365/4,0)</f>
        <v>125487</v>
      </c>
      <c r="K130" s="44">
        <f t="shared" ref="K130:Q130" si="1914">J130</f>
        <v>125487</v>
      </c>
      <c r="L130" s="44">
        <f t="shared" si="1914"/>
        <v>125487</v>
      </c>
      <c r="M130" s="44">
        <f t="shared" si="1914"/>
        <v>125487</v>
      </c>
      <c r="N130" s="43">
        <f t="shared" si="1914"/>
        <v>125487</v>
      </c>
      <c r="O130" s="44">
        <f t="shared" si="1914"/>
        <v>125487</v>
      </c>
      <c r="P130" s="44">
        <f t="shared" si="1914"/>
        <v>125487</v>
      </c>
      <c r="Q130" s="44">
        <f t="shared" si="1914"/>
        <v>125487</v>
      </c>
      <c r="R130" s="44">
        <f>ROUND(Q130*(1+取值表!$D$10)*取值表!$H$10,0)</f>
        <v>126256</v>
      </c>
      <c r="S130" s="44">
        <f>R130</f>
        <v>126256</v>
      </c>
      <c r="T130" s="44">
        <f>S130</f>
        <v>126256</v>
      </c>
      <c r="U130" s="44">
        <f>T130</f>
        <v>126256</v>
      </c>
      <c r="V130" s="44">
        <f>ROUND(U130*(1+取值表!$D$10)*取值表!$H$10,0)</f>
        <v>127030</v>
      </c>
      <c r="W130" s="44">
        <f t="shared" ref="W130:Y130" si="1915">V130</f>
        <v>127030</v>
      </c>
      <c r="X130" s="44">
        <f t="shared" si="1915"/>
        <v>127030</v>
      </c>
      <c r="Y130" s="44">
        <f t="shared" si="1915"/>
        <v>127030</v>
      </c>
      <c r="Z130" s="44">
        <f>ROUND(Y130*(1+取值表!$D$10)*取值表!$H$10,0)</f>
        <v>127809</v>
      </c>
      <c r="AA130" s="44">
        <f t="shared" ref="AA130:AC130" si="1916">Z130</f>
        <v>127809</v>
      </c>
      <c r="AB130" s="44">
        <f t="shared" si="1916"/>
        <v>127809</v>
      </c>
      <c r="AC130" s="44">
        <f t="shared" si="1916"/>
        <v>127809</v>
      </c>
      <c r="AD130" s="44">
        <f>ROUND(AC130*(1+取值表!$D$10)*取值表!$H$10,0)</f>
        <v>128592</v>
      </c>
      <c r="AE130" s="44">
        <f t="shared" ref="AE130:AG130" si="1917">AD130</f>
        <v>128592</v>
      </c>
      <c r="AF130" s="44">
        <f t="shared" si="1917"/>
        <v>128592</v>
      </c>
      <c r="AG130" s="44">
        <f t="shared" si="1917"/>
        <v>128592</v>
      </c>
      <c r="AH130" s="44">
        <f>ROUND(AG130*(1+取值表!$D$10)*取值表!$H$10,0)</f>
        <v>129380</v>
      </c>
      <c r="AI130" s="44">
        <f t="shared" ref="AI130:AK130" si="1918">AH130</f>
        <v>129380</v>
      </c>
      <c r="AJ130" s="44">
        <f t="shared" si="1918"/>
        <v>129380</v>
      </c>
      <c r="AK130" s="44">
        <f t="shared" si="1918"/>
        <v>129380</v>
      </c>
      <c r="AL130" s="44">
        <f>ROUND(AK130*(1+取值表!$D$10)*取值表!$H$10,0)</f>
        <v>130173</v>
      </c>
      <c r="AM130" s="44">
        <f t="shared" ref="AM130:AO130" si="1919">AL130</f>
        <v>130173</v>
      </c>
      <c r="AN130" s="44">
        <f t="shared" si="1919"/>
        <v>130173</v>
      </c>
      <c r="AO130" s="44">
        <f t="shared" si="1919"/>
        <v>130173</v>
      </c>
      <c r="AP130" s="44">
        <f>ROUND(AO130*(1+取值表!$D$10)*取值表!$H$10,0)</f>
        <v>130971</v>
      </c>
      <c r="AQ130" s="44">
        <f t="shared" ref="AQ130:AS130" si="1920">AP130</f>
        <v>130971</v>
      </c>
      <c r="AR130" s="44">
        <f t="shared" si="1920"/>
        <v>130971</v>
      </c>
      <c r="AS130" s="44">
        <f t="shared" si="1920"/>
        <v>130971</v>
      </c>
      <c r="AT130" s="44">
        <f>ROUND(AS130*(1+取值表!$D$10)*取值表!$H$10,0)</f>
        <v>131774</v>
      </c>
      <c r="AU130" s="44">
        <f t="shared" ref="AU130:AW130" si="1921">AT130</f>
        <v>131774</v>
      </c>
      <c r="AV130" s="44">
        <f t="shared" si="1921"/>
        <v>131774</v>
      </c>
      <c r="AW130" s="44">
        <f t="shared" si="1921"/>
        <v>131774</v>
      </c>
      <c r="AX130" s="44">
        <f>ROUND(AW130*(1+取值表!$D$10)*取值表!$H$10,0)</f>
        <v>132582</v>
      </c>
      <c r="AY130" s="44">
        <f t="shared" ref="AY130:BA130" si="1922">AX130</f>
        <v>132582</v>
      </c>
      <c r="AZ130" s="44">
        <f t="shared" si="1922"/>
        <v>132582</v>
      </c>
      <c r="BA130" s="44">
        <f t="shared" si="1922"/>
        <v>132582</v>
      </c>
      <c r="BB130" s="44">
        <f>ROUND(BA130*(1+取值表!$D$10)*取值表!$H$10,0)</f>
        <v>133395</v>
      </c>
      <c r="BC130" s="44">
        <f t="shared" ref="BC130:BE130" si="1923">BB130</f>
        <v>133395</v>
      </c>
      <c r="BD130" s="44">
        <f t="shared" si="1923"/>
        <v>133395</v>
      </c>
      <c r="BE130" s="44">
        <f t="shared" si="1923"/>
        <v>133395</v>
      </c>
      <c r="BF130" s="44">
        <f>ROUND(BE130*(1+取值表!$D$10)*取值表!$H$10,0)</f>
        <v>134213</v>
      </c>
      <c r="BG130" s="44">
        <f t="shared" ref="BG130:BI130" si="1924">BF130</f>
        <v>134213</v>
      </c>
      <c r="BH130" s="44">
        <f t="shared" si="1924"/>
        <v>134213</v>
      </c>
      <c r="BI130" s="44">
        <f t="shared" si="1924"/>
        <v>134213</v>
      </c>
      <c r="BJ130" s="44">
        <f>ROUND(BI130*(1+取值表!$D$10)*取值表!$H$10,0)</f>
        <v>135036</v>
      </c>
      <c r="BK130" s="44">
        <f t="shared" ref="BK130:BM130" si="1925">BJ130</f>
        <v>135036</v>
      </c>
      <c r="BL130" s="44">
        <f t="shared" si="1925"/>
        <v>135036</v>
      </c>
      <c r="BM130" s="44">
        <f t="shared" si="1925"/>
        <v>135036</v>
      </c>
      <c r="BN130" s="44">
        <f>ROUND(BM130*(1+取值表!$D$10)*取值表!$H$10,0)</f>
        <v>135864</v>
      </c>
      <c r="BO130" s="44">
        <f t="shared" ref="BO130:BQ130" si="1926">BN130</f>
        <v>135864</v>
      </c>
      <c r="BP130" s="44">
        <f t="shared" si="1926"/>
        <v>135864</v>
      </c>
      <c r="BQ130" s="44">
        <f t="shared" si="1926"/>
        <v>135864</v>
      </c>
      <c r="BR130" s="44">
        <f>ROUND(BQ130*(1+取值表!$D$10)*取值表!$H$10,0)</f>
        <v>136697</v>
      </c>
      <c r="BS130" s="44">
        <f t="shared" ref="BS130:BU130" si="1927">BR130</f>
        <v>136697</v>
      </c>
      <c r="BT130" s="44">
        <f t="shared" si="1927"/>
        <v>136697</v>
      </c>
      <c r="BU130" s="44">
        <f t="shared" si="1927"/>
        <v>136697</v>
      </c>
      <c r="BV130" s="44">
        <f>ROUND(BU130*(1+取值表!$D$10)*取值表!$H$10,0)</f>
        <v>137535</v>
      </c>
      <c r="BW130" s="44">
        <f t="shared" ref="BW130:BY130" si="1928">BV130</f>
        <v>137535</v>
      </c>
      <c r="BX130" s="44">
        <f t="shared" si="1928"/>
        <v>137535</v>
      </c>
      <c r="BY130" s="44">
        <f t="shared" si="1928"/>
        <v>137535</v>
      </c>
      <c r="BZ130" s="44">
        <f>ROUND(BY130*(1+取值表!$D$10)*取值表!$H$10,0)</f>
        <v>138378</v>
      </c>
      <c r="CA130" s="44">
        <f t="shared" ref="CA130:CC130" si="1929">BZ130</f>
        <v>138378</v>
      </c>
      <c r="CB130" s="44">
        <f t="shared" si="1929"/>
        <v>138378</v>
      </c>
      <c r="CC130" s="44">
        <f t="shared" si="1929"/>
        <v>138378</v>
      </c>
      <c r="CD130" s="44">
        <f>ROUND(CC130*(1+取值表!$D$10)*取值表!$H$10,0)</f>
        <v>139226</v>
      </c>
      <c r="CE130" s="44">
        <f t="shared" ref="CE130:CG130" si="1930">CD130</f>
        <v>139226</v>
      </c>
      <c r="CF130" s="44">
        <f t="shared" si="1930"/>
        <v>139226</v>
      </c>
      <c r="CG130" s="44">
        <f t="shared" si="1930"/>
        <v>139226</v>
      </c>
      <c r="CH130" s="44">
        <f>ROUND(CG130*(1+取值表!$D$10)*取值表!$H$10,0)</f>
        <v>140079</v>
      </c>
      <c r="CI130" s="44">
        <f t="shared" ref="CI130:CK130" si="1931">CH130</f>
        <v>140079</v>
      </c>
      <c r="CJ130" s="44">
        <f t="shared" si="1931"/>
        <v>140079</v>
      </c>
      <c r="CK130" s="44">
        <f t="shared" si="1931"/>
        <v>140079</v>
      </c>
      <c r="CL130" s="44">
        <f>ROUND(CK130*(1+取值表!$D$10)*取值表!$H$10,0)</f>
        <v>140938</v>
      </c>
      <c r="CM130" s="44">
        <f t="shared" ref="CM130:CO130" si="1932">CL130</f>
        <v>140938</v>
      </c>
      <c r="CN130" s="44">
        <f t="shared" si="1932"/>
        <v>140938</v>
      </c>
      <c r="CO130" s="44">
        <f t="shared" si="1932"/>
        <v>140938</v>
      </c>
      <c r="CP130" s="44">
        <f>ROUND(CO130*(1+取值表!$D$10)*取值表!$H$10,0)</f>
        <v>141802</v>
      </c>
      <c r="CQ130" s="44">
        <f t="shared" ref="CQ130" si="1933">CP130</f>
        <v>141802</v>
      </c>
      <c r="CR130" s="44">
        <f t="shared" ref="CR130" si="1934">CQ130</f>
        <v>141802</v>
      </c>
      <c r="CS130" s="44">
        <f t="shared" ref="CS130" si="1935">CR130</f>
        <v>141802</v>
      </c>
      <c r="CT130" s="44">
        <f>ROUND(CS130*(1+取值表!$D$10)*取值表!$H$10,0)</f>
        <v>142671</v>
      </c>
      <c r="CU130" s="44">
        <f t="shared" ref="CU130" si="1936">CT130</f>
        <v>142671</v>
      </c>
      <c r="CV130" s="44">
        <f t="shared" ref="CV130" si="1937">CU130</f>
        <v>142671</v>
      </c>
      <c r="CW130" s="44">
        <f t="shared" ref="CW130" si="1938">CV130</f>
        <v>142671</v>
      </c>
      <c r="CX130" s="44">
        <f>ROUND(CW130*(1+取值表!$D$10)*取值表!$H$10,0)</f>
        <v>143545</v>
      </c>
      <c r="CY130" s="44">
        <f t="shared" ref="CY130" si="1939">CX130</f>
        <v>143545</v>
      </c>
      <c r="CZ130" s="44">
        <f t="shared" ref="CZ130" si="1940">CY130</f>
        <v>143545</v>
      </c>
      <c r="DA130" s="44">
        <f t="shared" ref="DA130" si="1941">CZ130</f>
        <v>143545</v>
      </c>
      <c r="DB130" s="44">
        <f>ROUND(DA130*(1+取值表!$D$10)*取值表!$H$10,0)</f>
        <v>144425</v>
      </c>
      <c r="DC130" s="44">
        <f t="shared" ref="DC130" si="1942">DB130</f>
        <v>144425</v>
      </c>
      <c r="DD130" s="44">
        <f t="shared" ref="DD130" si="1943">DC130</f>
        <v>144425</v>
      </c>
      <c r="DE130" s="44">
        <f t="shared" ref="DE130" si="1944">DD130</f>
        <v>144425</v>
      </c>
      <c r="DF130" s="45">
        <f t="shared" si="969"/>
        <v>13437380</v>
      </c>
      <c r="DG130" s="40"/>
    </row>
    <row r="131" spans="1:111" s="234" customFormat="1" ht="12">
      <c r="A131" s="505"/>
      <c r="B131" s="518"/>
      <c r="C131" s="450"/>
      <c r="D131" s="451"/>
      <c r="E131" s="452"/>
      <c r="F131" s="446"/>
      <c r="G131" s="446"/>
      <c r="H131" s="447"/>
      <c r="I131" s="41"/>
      <c r="J131" s="42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5">
        <f t="shared" si="969"/>
        <v>0</v>
      </c>
      <c r="DG131" s="40"/>
    </row>
    <row r="132" spans="1:111" s="40" customFormat="1" ht="12" customHeight="1">
      <c r="A132" s="504">
        <v>66</v>
      </c>
      <c r="B132" s="518" t="s">
        <v>151</v>
      </c>
      <c r="C132" s="450" t="s">
        <v>152</v>
      </c>
      <c r="D132" s="451" t="s">
        <v>153</v>
      </c>
      <c r="E132" s="452" t="s">
        <v>459</v>
      </c>
      <c r="F132" s="446">
        <v>151.66</v>
      </c>
      <c r="G132" s="446">
        <v>22</v>
      </c>
      <c r="H132" s="447">
        <f>F132*G132*365</f>
        <v>1217829.8</v>
      </c>
      <c r="I132" s="41">
        <v>290618.48</v>
      </c>
      <c r="J132" s="42">
        <f>ROUND(F132*G132*365/4,0)</f>
        <v>304457</v>
      </c>
      <c r="K132" s="43">
        <f>J132</f>
        <v>304457</v>
      </c>
      <c r="L132" s="44">
        <f>K132</f>
        <v>304457</v>
      </c>
      <c r="M132" s="44">
        <f>L132</f>
        <v>304457</v>
      </c>
      <c r="N132" s="44">
        <f>ROUND(M132*(1+取值表!$D$10)*取值表!$H$10,0)</f>
        <v>306323</v>
      </c>
      <c r="O132" s="44">
        <f>N132</f>
        <v>306323</v>
      </c>
      <c r="P132" s="44">
        <f>O132</f>
        <v>306323</v>
      </c>
      <c r="Q132" s="44">
        <f>P132</f>
        <v>306323</v>
      </c>
      <c r="R132" s="44">
        <f>ROUND(Q132*(1+取值表!$D$10)*取值表!$H$10,0)</f>
        <v>308201</v>
      </c>
      <c r="S132" s="44">
        <f t="shared" ref="S132:U132" si="1945">R132</f>
        <v>308201</v>
      </c>
      <c r="T132" s="44">
        <f t="shared" si="1945"/>
        <v>308201</v>
      </c>
      <c r="U132" s="44">
        <f t="shared" si="1945"/>
        <v>308201</v>
      </c>
      <c r="V132" s="44">
        <f>ROUND(U132*(1+取值表!$D$10)*取值表!$H$10,0)</f>
        <v>310090</v>
      </c>
      <c r="W132" s="44">
        <f t="shared" ref="W132:Y132" si="1946">V132</f>
        <v>310090</v>
      </c>
      <c r="X132" s="44">
        <f t="shared" si="1946"/>
        <v>310090</v>
      </c>
      <c r="Y132" s="44">
        <f t="shared" si="1946"/>
        <v>310090</v>
      </c>
      <c r="Z132" s="44">
        <f>ROUND(Y132*(1+取值表!$D$10)*取值表!$H$10,0)</f>
        <v>311991</v>
      </c>
      <c r="AA132" s="44">
        <f t="shared" ref="AA132:AC132" si="1947">Z132</f>
        <v>311991</v>
      </c>
      <c r="AB132" s="44">
        <f t="shared" si="1947"/>
        <v>311991</v>
      </c>
      <c r="AC132" s="44">
        <f t="shared" si="1947"/>
        <v>311991</v>
      </c>
      <c r="AD132" s="44">
        <f>ROUND(AC132*(1+取值表!$D$10)*取值表!$H$10,0)</f>
        <v>313903</v>
      </c>
      <c r="AE132" s="44">
        <f t="shared" ref="AE132:AG132" si="1948">AD132</f>
        <v>313903</v>
      </c>
      <c r="AF132" s="44">
        <f t="shared" si="1948"/>
        <v>313903</v>
      </c>
      <c r="AG132" s="44">
        <f t="shared" si="1948"/>
        <v>313903</v>
      </c>
      <c r="AH132" s="44">
        <f>ROUND(AG132*(1+取值表!$D$10)*取值表!$H$10,0)</f>
        <v>315827</v>
      </c>
      <c r="AI132" s="44">
        <f t="shared" ref="AI132:AK132" si="1949">AH132</f>
        <v>315827</v>
      </c>
      <c r="AJ132" s="44">
        <f t="shared" si="1949"/>
        <v>315827</v>
      </c>
      <c r="AK132" s="44">
        <f t="shared" si="1949"/>
        <v>315827</v>
      </c>
      <c r="AL132" s="44">
        <f>ROUND(AK132*(1+取值表!$D$10)*取值表!$H$10,0)</f>
        <v>317763</v>
      </c>
      <c r="AM132" s="44">
        <f t="shared" ref="AM132:AO132" si="1950">AL132</f>
        <v>317763</v>
      </c>
      <c r="AN132" s="44">
        <f t="shared" si="1950"/>
        <v>317763</v>
      </c>
      <c r="AO132" s="44">
        <f t="shared" si="1950"/>
        <v>317763</v>
      </c>
      <c r="AP132" s="44">
        <f>ROUND(AO132*(1+取值表!$D$10)*取值表!$H$10,0)</f>
        <v>319711</v>
      </c>
      <c r="AQ132" s="44">
        <f t="shared" ref="AQ132:AS132" si="1951">AP132</f>
        <v>319711</v>
      </c>
      <c r="AR132" s="44">
        <f t="shared" si="1951"/>
        <v>319711</v>
      </c>
      <c r="AS132" s="44">
        <f t="shared" si="1951"/>
        <v>319711</v>
      </c>
      <c r="AT132" s="44">
        <f>ROUND(AS132*(1+取值表!$D$10)*取值表!$H$10,0)</f>
        <v>321671</v>
      </c>
      <c r="AU132" s="44">
        <f t="shared" ref="AU132:AW132" si="1952">AT132</f>
        <v>321671</v>
      </c>
      <c r="AV132" s="44">
        <f t="shared" si="1952"/>
        <v>321671</v>
      </c>
      <c r="AW132" s="44">
        <f t="shared" si="1952"/>
        <v>321671</v>
      </c>
      <c r="AX132" s="44">
        <f>ROUND(AW132*(1+取值表!$D$10)*取值表!$H$10,0)</f>
        <v>323643</v>
      </c>
      <c r="AY132" s="44">
        <f t="shared" ref="AY132:BA132" si="1953">AX132</f>
        <v>323643</v>
      </c>
      <c r="AZ132" s="44">
        <f t="shared" si="1953"/>
        <v>323643</v>
      </c>
      <c r="BA132" s="44">
        <f t="shared" si="1953"/>
        <v>323643</v>
      </c>
      <c r="BB132" s="44">
        <f>ROUND(BA132*(1+取值表!$D$10)*取值表!$H$10,0)</f>
        <v>325627</v>
      </c>
      <c r="BC132" s="44">
        <f t="shared" ref="BC132:BE132" si="1954">BB132</f>
        <v>325627</v>
      </c>
      <c r="BD132" s="44">
        <f t="shared" si="1954"/>
        <v>325627</v>
      </c>
      <c r="BE132" s="44">
        <f t="shared" si="1954"/>
        <v>325627</v>
      </c>
      <c r="BF132" s="44">
        <f>ROUND(BE132*(1+取值表!$D$10)*取值表!$H$10,0)</f>
        <v>327623</v>
      </c>
      <c r="BG132" s="44">
        <f t="shared" ref="BG132:BI132" si="1955">BF132</f>
        <v>327623</v>
      </c>
      <c r="BH132" s="44">
        <f t="shared" si="1955"/>
        <v>327623</v>
      </c>
      <c r="BI132" s="44">
        <f t="shared" si="1955"/>
        <v>327623</v>
      </c>
      <c r="BJ132" s="44">
        <f>ROUND(BI132*(1+取值表!$D$10)*取值表!$H$10,0)</f>
        <v>329631</v>
      </c>
      <c r="BK132" s="44">
        <f t="shared" ref="BK132:BM132" si="1956">BJ132</f>
        <v>329631</v>
      </c>
      <c r="BL132" s="44">
        <f t="shared" si="1956"/>
        <v>329631</v>
      </c>
      <c r="BM132" s="44">
        <f t="shared" si="1956"/>
        <v>329631</v>
      </c>
      <c r="BN132" s="44">
        <f>ROUND(BM132*(1+取值表!$D$10)*取值表!$H$10,0)</f>
        <v>331651</v>
      </c>
      <c r="BO132" s="44">
        <f t="shared" ref="BO132:BQ132" si="1957">BN132</f>
        <v>331651</v>
      </c>
      <c r="BP132" s="44">
        <f t="shared" si="1957"/>
        <v>331651</v>
      </c>
      <c r="BQ132" s="44">
        <f t="shared" si="1957"/>
        <v>331651</v>
      </c>
      <c r="BR132" s="44">
        <f>ROUND(BQ132*(1+取值表!$D$10)*取值表!$H$10,0)</f>
        <v>333684</v>
      </c>
      <c r="BS132" s="44">
        <f t="shared" ref="BS132:BU132" si="1958">BR132</f>
        <v>333684</v>
      </c>
      <c r="BT132" s="44">
        <f t="shared" si="1958"/>
        <v>333684</v>
      </c>
      <c r="BU132" s="44">
        <f t="shared" si="1958"/>
        <v>333684</v>
      </c>
      <c r="BV132" s="44">
        <f>ROUND(BU132*(1+取值表!$D$10)*取值表!$H$10,0)</f>
        <v>335729</v>
      </c>
      <c r="BW132" s="44">
        <f t="shared" ref="BW132:BY132" si="1959">BV132</f>
        <v>335729</v>
      </c>
      <c r="BX132" s="44">
        <f t="shared" si="1959"/>
        <v>335729</v>
      </c>
      <c r="BY132" s="44">
        <f t="shared" si="1959"/>
        <v>335729</v>
      </c>
      <c r="BZ132" s="44">
        <f>ROUND(BY132*(1+取值表!$D$10)*取值表!$H$10,0)</f>
        <v>337787</v>
      </c>
      <c r="CA132" s="44">
        <f t="shared" ref="CA132:CC132" si="1960">BZ132</f>
        <v>337787</v>
      </c>
      <c r="CB132" s="44">
        <f t="shared" si="1960"/>
        <v>337787</v>
      </c>
      <c r="CC132" s="44">
        <f t="shared" si="1960"/>
        <v>337787</v>
      </c>
      <c r="CD132" s="44">
        <f>ROUND(CC132*(1+取值表!$D$10)*取值表!$H$10,0)</f>
        <v>339857</v>
      </c>
      <c r="CE132" s="44">
        <f t="shared" ref="CE132:CG132" si="1961">CD132</f>
        <v>339857</v>
      </c>
      <c r="CF132" s="44">
        <f t="shared" si="1961"/>
        <v>339857</v>
      </c>
      <c r="CG132" s="44">
        <f t="shared" si="1961"/>
        <v>339857</v>
      </c>
      <c r="CH132" s="44">
        <f>ROUND(CG132*(1+取值表!$D$10)*取值表!$H$10,0)</f>
        <v>341940</v>
      </c>
      <c r="CI132" s="44">
        <f t="shared" ref="CI132:CK132" si="1962">CH132</f>
        <v>341940</v>
      </c>
      <c r="CJ132" s="44">
        <f t="shared" si="1962"/>
        <v>341940</v>
      </c>
      <c r="CK132" s="44">
        <f t="shared" si="1962"/>
        <v>341940</v>
      </c>
      <c r="CL132" s="44">
        <f>ROUND(CK132*(1+取值表!$D$10)*取值表!$H$10,0)</f>
        <v>344036</v>
      </c>
      <c r="CM132" s="44">
        <f t="shared" ref="CM132:CO132" si="1963">CL132</f>
        <v>344036</v>
      </c>
      <c r="CN132" s="44">
        <f t="shared" si="1963"/>
        <v>344036</v>
      </c>
      <c r="CO132" s="44">
        <f t="shared" si="1963"/>
        <v>344036</v>
      </c>
      <c r="CP132" s="44">
        <f>ROUND(CO132*(1+取值表!$D$10)*取值表!$H$10,0)</f>
        <v>346145</v>
      </c>
      <c r="CQ132" s="44">
        <f t="shared" ref="CQ132" si="1964">CP132</f>
        <v>346145</v>
      </c>
      <c r="CR132" s="44">
        <f t="shared" ref="CR132" si="1965">CQ132</f>
        <v>346145</v>
      </c>
      <c r="CS132" s="44">
        <f t="shared" ref="CS132" si="1966">CR132</f>
        <v>346145</v>
      </c>
      <c r="CT132" s="44">
        <f>ROUND(CS132*(1+取值表!$D$10)*取值表!$H$10,0)</f>
        <v>348267</v>
      </c>
      <c r="CU132" s="44">
        <f t="shared" ref="CU132" si="1967">CT132</f>
        <v>348267</v>
      </c>
      <c r="CV132" s="44">
        <f t="shared" ref="CV132" si="1968">CU132</f>
        <v>348267</v>
      </c>
      <c r="CW132" s="44">
        <f t="shared" ref="CW132" si="1969">CV132</f>
        <v>348267</v>
      </c>
      <c r="CX132" s="44">
        <f>ROUND(CW132*(1+取值表!$D$10)*取值表!$H$10,0)</f>
        <v>350402</v>
      </c>
      <c r="CY132" s="44">
        <f t="shared" ref="CY132" si="1970">CX132</f>
        <v>350402</v>
      </c>
      <c r="CZ132" s="44">
        <f t="shared" ref="CZ132" si="1971">CY132</f>
        <v>350402</v>
      </c>
      <c r="DA132" s="44">
        <f t="shared" ref="DA132" si="1972">CZ132</f>
        <v>350402</v>
      </c>
      <c r="DB132" s="44">
        <f>ROUND(DA132*(1+取值表!$D$10)*取值表!$H$10,0)</f>
        <v>352550</v>
      </c>
      <c r="DC132" s="44">
        <f t="shared" ref="DC132" si="1973">DB132</f>
        <v>352550</v>
      </c>
      <c r="DD132" s="44">
        <f t="shared" ref="DD132" si="1974">DC132</f>
        <v>352550</v>
      </c>
      <c r="DE132" s="44">
        <f t="shared" ref="DE132" si="1975">DD132</f>
        <v>352550</v>
      </c>
      <c r="DF132" s="45">
        <f t="shared" ref="DF132:DF195" si="1976">SUM(J132:DE132)</f>
        <v>32794036</v>
      </c>
    </row>
    <row r="133" spans="1:111" s="40" customFormat="1" ht="12">
      <c r="A133" s="505"/>
      <c r="B133" s="518"/>
      <c r="C133" s="450"/>
      <c r="D133" s="451"/>
      <c r="E133" s="452"/>
      <c r="F133" s="446"/>
      <c r="G133" s="446"/>
      <c r="H133" s="447"/>
      <c r="I133" s="41"/>
      <c r="J133" s="42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5">
        <f t="shared" si="1976"/>
        <v>0</v>
      </c>
    </row>
    <row r="134" spans="1:111" s="40" customFormat="1" ht="12" customHeight="1">
      <c r="A134" s="504">
        <v>67</v>
      </c>
      <c r="B134" s="456" t="s">
        <v>154</v>
      </c>
      <c r="C134" s="450" t="s">
        <v>155</v>
      </c>
      <c r="D134" s="451" t="s">
        <v>475</v>
      </c>
      <c r="E134" s="452" t="s">
        <v>459</v>
      </c>
      <c r="F134" s="446">
        <v>311</v>
      </c>
      <c r="G134" s="446">
        <v>13</v>
      </c>
      <c r="H134" s="447">
        <f>F134*G134*365</f>
        <v>1475695</v>
      </c>
      <c r="I134" s="41">
        <v>255408.8</v>
      </c>
      <c r="J134" s="42">
        <f>ROUND(F134*G134*365/4,0)</f>
        <v>368924</v>
      </c>
      <c r="K134" s="43">
        <f>J134</f>
        <v>368924</v>
      </c>
      <c r="L134" s="44">
        <f>K134</f>
        <v>368924</v>
      </c>
      <c r="M134" s="44">
        <f>L134</f>
        <v>368924</v>
      </c>
      <c r="N134" s="44">
        <f>ROUND(M134*(1+取值表!$D$10)*取值表!$H$10,0)</f>
        <v>371185</v>
      </c>
      <c r="O134" s="44">
        <f>N134</f>
        <v>371185</v>
      </c>
      <c r="P134" s="44">
        <f>O134</f>
        <v>371185</v>
      </c>
      <c r="Q134" s="44">
        <f>P134</f>
        <v>371185</v>
      </c>
      <c r="R134" s="44">
        <f>ROUND(Q134*(1+取值表!$D$10)*取值表!$H$10,0)</f>
        <v>373460</v>
      </c>
      <c r="S134" s="44">
        <f t="shared" ref="S134:U134" si="1977">R134</f>
        <v>373460</v>
      </c>
      <c r="T134" s="44">
        <f t="shared" si="1977"/>
        <v>373460</v>
      </c>
      <c r="U134" s="44">
        <f t="shared" si="1977"/>
        <v>373460</v>
      </c>
      <c r="V134" s="44">
        <f>ROUND(U134*(1+取值表!$D$10)*取值表!$H$10,0)</f>
        <v>375749</v>
      </c>
      <c r="W134" s="44">
        <f t="shared" ref="W134:Y134" si="1978">V134</f>
        <v>375749</v>
      </c>
      <c r="X134" s="44">
        <f t="shared" si="1978"/>
        <v>375749</v>
      </c>
      <c r="Y134" s="44">
        <f t="shared" si="1978"/>
        <v>375749</v>
      </c>
      <c r="Z134" s="44">
        <f>ROUND(Y134*(1+取值表!$D$10)*取值表!$H$10,0)</f>
        <v>378052</v>
      </c>
      <c r="AA134" s="44">
        <f t="shared" ref="AA134:AC134" si="1979">Z134</f>
        <v>378052</v>
      </c>
      <c r="AB134" s="44">
        <f t="shared" si="1979"/>
        <v>378052</v>
      </c>
      <c r="AC134" s="44">
        <f t="shared" si="1979"/>
        <v>378052</v>
      </c>
      <c r="AD134" s="44">
        <f>ROUND(AC134*(1+取值表!$D$10)*取值表!$H$10,0)</f>
        <v>380369</v>
      </c>
      <c r="AE134" s="44">
        <f t="shared" ref="AE134:AG134" si="1980">AD134</f>
        <v>380369</v>
      </c>
      <c r="AF134" s="44">
        <f t="shared" si="1980"/>
        <v>380369</v>
      </c>
      <c r="AG134" s="44">
        <f t="shared" si="1980"/>
        <v>380369</v>
      </c>
      <c r="AH134" s="44">
        <f>ROUND(AG134*(1+取值表!$D$10)*取值表!$H$10,0)</f>
        <v>382700</v>
      </c>
      <c r="AI134" s="44">
        <f t="shared" ref="AI134:AK134" si="1981">AH134</f>
        <v>382700</v>
      </c>
      <c r="AJ134" s="44">
        <f t="shared" si="1981"/>
        <v>382700</v>
      </c>
      <c r="AK134" s="44">
        <f t="shared" si="1981"/>
        <v>382700</v>
      </c>
      <c r="AL134" s="44">
        <f>ROUND(AK134*(1+取值表!$D$10)*取值表!$H$10,0)</f>
        <v>385046</v>
      </c>
      <c r="AM134" s="44">
        <f t="shared" ref="AM134:AO134" si="1982">AL134</f>
        <v>385046</v>
      </c>
      <c r="AN134" s="44">
        <f t="shared" si="1982"/>
        <v>385046</v>
      </c>
      <c r="AO134" s="44">
        <f t="shared" si="1982"/>
        <v>385046</v>
      </c>
      <c r="AP134" s="44">
        <f>ROUND(AO134*(1+取值表!$D$10)*取值表!$H$10,0)</f>
        <v>387406</v>
      </c>
      <c r="AQ134" s="44">
        <f t="shared" ref="AQ134:AS134" si="1983">AP134</f>
        <v>387406</v>
      </c>
      <c r="AR134" s="44">
        <f t="shared" si="1983"/>
        <v>387406</v>
      </c>
      <c r="AS134" s="44">
        <f t="shared" si="1983"/>
        <v>387406</v>
      </c>
      <c r="AT134" s="44">
        <f>ROUND(AS134*(1+取值表!$D$10)*取值表!$H$10,0)</f>
        <v>389780</v>
      </c>
      <c r="AU134" s="44">
        <f t="shared" ref="AU134:AW134" si="1984">AT134</f>
        <v>389780</v>
      </c>
      <c r="AV134" s="44">
        <f t="shared" si="1984"/>
        <v>389780</v>
      </c>
      <c r="AW134" s="44">
        <f t="shared" si="1984"/>
        <v>389780</v>
      </c>
      <c r="AX134" s="44">
        <f>ROUND(AW134*(1+取值表!$D$10)*取值表!$H$10,0)</f>
        <v>392169</v>
      </c>
      <c r="AY134" s="44">
        <f t="shared" ref="AY134:BA134" si="1985">AX134</f>
        <v>392169</v>
      </c>
      <c r="AZ134" s="44">
        <f t="shared" si="1985"/>
        <v>392169</v>
      </c>
      <c r="BA134" s="44">
        <f t="shared" si="1985"/>
        <v>392169</v>
      </c>
      <c r="BB134" s="44">
        <f>ROUND(BA134*(1+取值表!$D$10)*取值表!$H$10,0)</f>
        <v>394573</v>
      </c>
      <c r="BC134" s="44">
        <f t="shared" ref="BC134:BE134" si="1986">BB134</f>
        <v>394573</v>
      </c>
      <c r="BD134" s="44">
        <f t="shared" si="1986"/>
        <v>394573</v>
      </c>
      <c r="BE134" s="44">
        <f t="shared" si="1986"/>
        <v>394573</v>
      </c>
      <c r="BF134" s="44">
        <f>ROUND(BE134*(1+取值表!$D$10)*取值表!$H$10,0)</f>
        <v>396991</v>
      </c>
      <c r="BG134" s="44">
        <f t="shared" ref="BG134:BI134" si="1987">BF134</f>
        <v>396991</v>
      </c>
      <c r="BH134" s="44">
        <f t="shared" si="1987"/>
        <v>396991</v>
      </c>
      <c r="BI134" s="44">
        <f t="shared" si="1987"/>
        <v>396991</v>
      </c>
      <c r="BJ134" s="44">
        <f>ROUND(BI134*(1+取值表!$D$10)*取值表!$H$10,0)</f>
        <v>399424</v>
      </c>
      <c r="BK134" s="44">
        <f t="shared" ref="BK134:BM134" si="1988">BJ134</f>
        <v>399424</v>
      </c>
      <c r="BL134" s="44">
        <f t="shared" si="1988"/>
        <v>399424</v>
      </c>
      <c r="BM134" s="44">
        <f t="shared" si="1988"/>
        <v>399424</v>
      </c>
      <c r="BN134" s="44">
        <f>ROUND(BM134*(1+取值表!$D$10)*取值表!$H$10,0)</f>
        <v>401872</v>
      </c>
      <c r="BO134" s="44">
        <f t="shared" ref="BO134:BQ134" si="1989">BN134</f>
        <v>401872</v>
      </c>
      <c r="BP134" s="44">
        <f t="shared" si="1989"/>
        <v>401872</v>
      </c>
      <c r="BQ134" s="44">
        <f t="shared" si="1989"/>
        <v>401872</v>
      </c>
      <c r="BR134" s="44">
        <f>ROUND(BQ134*(1+取值表!$D$10)*取值表!$H$10,0)</f>
        <v>404335</v>
      </c>
      <c r="BS134" s="44">
        <f t="shared" ref="BS134:BU134" si="1990">BR134</f>
        <v>404335</v>
      </c>
      <c r="BT134" s="44">
        <f t="shared" si="1990"/>
        <v>404335</v>
      </c>
      <c r="BU134" s="44">
        <f t="shared" si="1990"/>
        <v>404335</v>
      </c>
      <c r="BV134" s="44">
        <f>ROUND(BU134*(1+取值表!$D$10)*取值表!$H$10,0)</f>
        <v>406813</v>
      </c>
      <c r="BW134" s="44">
        <f t="shared" ref="BW134:BY134" si="1991">BV134</f>
        <v>406813</v>
      </c>
      <c r="BX134" s="44">
        <f t="shared" si="1991"/>
        <v>406813</v>
      </c>
      <c r="BY134" s="44">
        <f t="shared" si="1991"/>
        <v>406813</v>
      </c>
      <c r="BZ134" s="44">
        <f>ROUND(BY134*(1+取值表!$D$10)*取值表!$H$10,0)</f>
        <v>409306</v>
      </c>
      <c r="CA134" s="44">
        <f t="shared" ref="CA134:CC134" si="1992">BZ134</f>
        <v>409306</v>
      </c>
      <c r="CB134" s="44">
        <f t="shared" si="1992"/>
        <v>409306</v>
      </c>
      <c r="CC134" s="44">
        <f t="shared" si="1992"/>
        <v>409306</v>
      </c>
      <c r="CD134" s="44">
        <f>ROUND(CC134*(1+取值表!$D$10)*取值表!$H$10,0)</f>
        <v>411815</v>
      </c>
      <c r="CE134" s="44">
        <f t="shared" ref="CE134:CG134" si="1993">CD134</f>
        <v>411815</v>
      </c>
      <c r="CF134" s="44">
        <f t="shared" si="1993"/>
        <v>411815</v>
      </c>
      <c r="CG134" s="44">
        <f t="shared" si="1993"/>
        <v>411815</v>
      </c>
      <c r="CH134" s="44">
        <f>ROUND(CG134*(1+取值表!$D$10)*取值表!$H$10,0)</f>
        <v>414339</v>
      </c>
      <c r="CI134" s="44">
        <f t="shared" ref="CI134:CK134" si="1994">CH134</f>
        <v>414339</v>
      </c>
      <c r="CJ134" s="44">
        <f t="shared" si="1994"/>
        <v>414339</v>
      </c>
      <c r="CK134" s="44">
        <f t="shared" si="1994"/>
        <v>414339</v>
      </c>
      <c r="CL134" s="44">
        <f>ROUND(CK134*(1+取值表!$D$10)*取值表!$H$10,0)</f>
        <v>416879</v>
      </c>
      <c r="CM134" s="44">
        <f t="shared" ref="CM134:CO134" si="1995">CL134</f>
        <v>416879</v>
      </c>
      <c r="CN134" s="44">
        <f t="shared" si="1995"/>
        <v>416879</v>
      </c>
      <c r="CO134" s="44">
        <f t="shared" si="1995"/>
        <v>416879</v>
      </c>
      <c r="CP134" s="44">
        <f>ROUND(CO134*(1+取值表!$D$10)*取值表!$H$10,0)</f>
        <v>419434</v>
      </c>
      <c r="CQ134" s="44">
        <f t="shared" ref="CQ134" si="1996">CP134</f>
        <v>419434</v>
      </c>
      <c r="CR134" s="44">
        <f t="shared" ref="CR134" si="1997">CQ134</f>
        <v>419434</v>
      </c>
      <c r="CS134" s="44">
        <f t="shared" ref="CS134" si="1998">CR134</f>
        <v>419434</v>
      </c>
      <c r="CT134" s="44">
        <f>ROUND(CS134*(1+取值表!$D$10)*取值表!$H$10,0)</f>
        <v>422005</v>
      </c>
      <c r="CU134" s="44">
        <f t="shared" ref="CU134" si="1999">CT134</f>
        <v>422005</v>
      </c>
      <c r="CV134" s="44">
        <f t="shared" ref="CV134" si="2000">CU134</f>
        <v>422005</v>
      </c>
      <c r="CW134" s="44">
        <f t="shared" ref="CW134" si="2001">CV134</f>
        <v>422005</v>
      </c>
      <c r="CX134" s="44">
        <f>ROUND(CW134*(1+取值表!$D$10)*取值表!$H$10,0)</f>
        <v>424592</v>
      </c>
      <c r="CY134" s="44">
        <f t="shared" ref="CY134" si="2002">CX134</f>
        <v>424592</v>
      </c>
      <c r="CZ134" s="44">
        <f t="shared" ref="CZ134" si="2003">CY134</f>
        <v>424592</v>
      </c>
      <c r="DA134" s="44">
        <f t="shared" ref="DA134" si="2004">CZ134</f>
        <v>424592</v>
      </c>
      <c r="DB134" s="44">
        <f>ROUND(DA134*(1+取值表!$D$10)*取值表!$H$10,0)</f>
        <v>427194</v>
      </c>
      <c r="DC134" s="44">
        <f t="shared" ref="DC134" si="2005">DB134</f>
        <v>427194</v>
      </c>
      <c r="DD134" s="44">
        <f t="shared" ref="DD134" si="2006">DC134</f>
        <v>427194</v>
      </c>
      <c r="DE134" s="44">
        <f t="shared" ref="DE134" si="2007">DD134</f>
        <v>427194</v>
      </c>
      <c r="DF134" s="45">
        <f t="shared" si="1976"/>
        <v>39737648</v>
      </c>
    </row>
    <row r="135" spans="1:111" s="40" customFormat="1" ht="12">
      <c r="A135" s="505"/>
      <c r="B135" s="456"/>
      <c r="C135" s="450"/>
      <c r="D135" s="451"/>
      <c r="E135" s="452"/>
      <c r="F135" s="446"/>
      <c r="G135" s="446"/>
      <c r="H135" s="447"/>
      <c r="I135" s="41"/>
      <c r="J135" s="42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O135" s="44"/>
      <c r="CP135" s="44"/>
      <c r="CQ135" s="44"/>
      <c r="CR135" s="44"/>
      <c r="CS135" s="44"/>
      <c r="CT135" s="44"/>
      <c r="CU135" s="44"/>
      <c r="CV135" s="44"/>
      <c r="CW135" s="44"/>
      <c r="CX135" s="44"/>
      <c r="CY135" s="44"/>
      <c r="CZ135" s="44"/>
      <c r="DA135" s="44"/>
      <c r="DB135" s="44"/>
      <c r="DC135" s="44"/>
      <c r="DD135" s="44"/>
      <c r="DE135" s="44"/>
      <c r="DF135" s="45">
        <f t="shared" si="1976"/>
        <v>0</v>
      </c>
    </row>
    <row r="136" spans="1:111" s="40" customFormat="1" ht="12" customHeight="1">
      <c r="A136" s="504">
        <v>68</v>
      </c>
      <c r="B136" s="518" t="s">
        <v>156</v>
      </c>
      <c r="C136" s="450" t="s">
        <v>157</v>
      </c>
      <c r="D136" s="451" t="s">
        <v>476</v>
      </c>
      <c r="E136" s="452" t="s">
        <v>459</v>
      </c>
      <c r="F136" s="446">
        <v>79.28</v>
      </c>
      <c r="G136" s="446">
        <v>30</v>
      </c>
      <c r="H136" s="447">
        <f>F136*G136*365</f>
        <v>868116</v>
      </c>
      <c r="I136" s="41">
        <v>213411.85</v>
      </c>
      <c r="J136" s="42">
        <f>ROUND(F136*G136*365/4,0)</f>
        <v>217029</v>
      </c>
      <c r="K136" s="44">
        <f t="shared" ref="K136:Q136" si="2008">J136</f>
        <v>217029</v>
      </c>
      <c r="L136" s="44">
        <f t="shared" si="2008"/>
        <v>217029</v>
      </c>
      <c r="M136" s="44">
        <f t="shared" si="2008"/>
        <v>217029</v>
      </c>
      <c r="N136" s="43">
        <f t="shared" si="2008"/>
        <v>217029</v>
      </c>
      <c r="O136" s="44">
        <f t="shared" si="2008"/>
        <v>217029</v>
      </c>
      <c r="P136" s="44">
        <f t="shared" si="2008"/>
        <v>217029</v>
      </c>
      <c r="Q136" s="44">
        <f t="shared" si="2008"/>
        <v>217029</v>
      </c>
      <c r="R136" s="44">
        <f>ROUND(Q136*(1+取值表!$D$10)*取值表!$H$10,0)</f>
        <v>218359</v>
      </c>
      <c r="S136" s="44">
        <f>R136</f>
        <v>218359</v>
      </c>
      <c r="T136" s="44">
        <f>S136</f>
        <v>218359</v>
      </c>
      <c r="U136" s="44">
        <f>T136</f>
        <v>218359</v>
      </c>
      <c r="V136" s="44">
        <f>ROUND(U136*(1+取值表!$D$10)*取值表!$H$10,0)</f>
        <v>219697</v>
      </c>
      <c r="W136" s="44">
        <f t="shared" ref="W136:Y136" si="2009">V136</f>
        <v>219697</v>
      </c>
      <c r="X136" s="44">
        <f t="shared" si="2009"/>
        <v>219697</v>
      </c>
      <c r="Y136" s="44">
        <f t="shared" si="2009"/>
        <v>219697</v>
      </c>
      <c r="Z136" s="44">
        <f>ROUND(Y136*(1+取值表!$D$10)*取值表!$H$10,0)</f>
        <v>221044</v>
      </c>
      <c r="AA136" s="44">
        <f t="shared" ref="AA136:AC136" si="2010">Z136</f>
        <v>221044</v>
      </c>
      <c r="AB136" s="44">
        <f t="shared" si="2010"/>
        <v>221044</v>
      </c>
      <c r="AC136" s="44">
        <f t="shared" si="2010"/>
        <v>221044</v>
      </c>
      <c r="AD136" s="44">
        <f>ROUND(AC136*(1+取值表!$D$10)*取值表!$H$10,0)</f>
        <v>222399</v>
      </c>
      <c r="AE136" s="44">
        <f t="shared" ref="AE136:AG136" si="2011">AD136</f>
        <v>222399</v>
      </c>
      <c r="AF136" s="44">
        <f t="shared" si="2011"/>
        <v>222399</v>
      </c>
      <c r="AG136" s="44">
        <f t="shared" si="2011"/>
        <v>222399</v>
      </c>
      <c r="AH136" s="44">
        <f>ROUND(AG136*(1+取值表!$D$10)*取值表!$H$10,0)</f>
        <v>223762</v>
      </c>
      <c r="AI136" s="44">
        <f t="shared" ref="AI136:AK136" si="2012">AH136</f>
        <v>223762</v>
      </c>
      <c r="AJ136" s="44">
        <f t="shared" si="2012"/>
        <v>223762</v>
      </c>
      <c r="AK136" s="44">
        <f t="shared" si="2012"/>
        <v>223762</v>
      </c>
      <c r="AL136" s="44">
        <f>ROUND(AK136*(1+取值表!$D$10)*取值表!$H$10,0)</f>
        <v>225133</v>
      </c>
      <c r="AM136" s="44">
        <f t="shared" ref="AM136:AO136" si="2013">AL136</f>
        <v>225133</v>
      </c>
      <c r="AN136" s="44">
        <f t="shared" si="2013"/>
        <v>225133</v>
      </c>
      <c r="AO136" s="44">
        <f t="shared" si="2013"/>
        <v>225133</v>
      </c>
      <c r="AP136" s="44">
        <f>ROUND(AO136*(1+取值表!$D$10)*取值表!$H$10,0)</f>
        <v>226513</v>
      </c>
      <c r="AQ136" s="44">
        <f t="shared" ref="AQ136:AS136" si="2014">AP136</f>
        <v>226513</v>
      </c>
      <c r="AR136" s="44">
        <f t="shared" si="2014"/>
        <v>226513</v>
      </c>
      <c r="AS136" s="44">
        <f t="shared" si="2014"/>
        <v>226513</v>
      </c>
      <c r="AT136" s="44">
        <f>ROUND(AS136*(1+取值表!$D$10)*取值表!$H$10,0)</f>
        <v>227901</v>
      </c>
      <c r="AU136" s="44">
        <f t="shared" ref="AU136:AW136" si="2015">AT136</f>
        <v>227901</v>
      </c>
      <c r="AV136" s="44">
        <f t="shared" si="2015"/>
        <v>227901</v>
      </c>
      <c r="AW136" s="44">
        <f t="shared" si="2015"/>
        <v>227901</v>
      </c>
      <c r="AX136" s="44">
        <f>ROUND(AW136*(1+取值表!$D$10)*取值表!$H$10,0)</f>
        <v>229298</v>
      </c>
      <c r="AY136" s="44">
        <f t="shared" ref="AY136:BA136" si="2016">AX136</f>
        <v>229298</v>
      </c>
      <c r="AZ136" s="44">
        <f t="shared" si="2016"/>
        <v>229298</v>
      </c>
      <c r="BA136" s="44">
        <f t="shared" si="2016"/>
        <v>229298</v>
      </c>
      <c r="BB136" s="44">
        <f>ROUND(BA136*(1+取值表!$D$10)*取值表!$H$10,0)</f>
        <v>230703</v>
      </c>
      <c r="BC136" s="44">
        <f t="shared" ref="BC136:BE136" si="2017">BB136</f>
        <v>230703</v>
      </c>
      <c r="BD136" s="44">
        <f t="shared" si="2017"/>
        <v>230703</v>
      </c>
      <c r="BE136" s="44">
        <f t="shared" si="2017"/>
        <v>230703</v>
      </c>
      <c r="BF136" s="44">
        <f>ROUND(BE136*(1+取值表!$D$10)*取值表!$H$10,0)</f>
        <v>232117</v>
      </c>
      <c r="BG136" s="44">
        <f t="shared" ref="BG136:BI136" si="2018">BF136</f>
        <v>232117</v>
      </c>
      <c r="BH136" s="44">
        <f t="shared" si="2018"/>
        <v>232117</v>
      </c>
      <c r="BI136" s="44">
        <f t="shared" si="2018"/>
        <v>232117</v>
      </c>
      <c r="BJ136" s="44">
        <f>ROUND(BI136*(1+取值表!$D$10)*取值表!$H$10,0)</f>
        <v>233540</v>
      </c>
      <c r="BK136" s="44">
        <f t="shared" ref="BK136:BM136" si="2019">BJ136</f>
        <v>233540</v>
      </c>
      <c r="BL136" s="44">
        <f t="shared" si="2019"/>
        <v>233540</v>
      </c>
      <c r="BM136" s="44">
        <f t="shared" si="2019"/>
        <v>233540</v>
      </c>
      <c r="BN136" s="44">
        <f>ROUND(BM136*(1+取值表!$D$10)*取值表!$H$10,0)</f>
        <v>234971</v>
      </c>
      <c r="BO136" s="44">
        <f t="shared" ref="BO136:BQ136" si="2020">BN136</f>
        <v>234971</v>
      </c>
      <c r="BP136" s="44">
        <f t="shared" si="2020"/>
        <v>234971</v>
      </c>
      <c r="BQ136" s="44">
        <f t="shared" si="2020"/>
        <v>234971</v>
      </c>
      <c r="BR136" s="44">
        <f>ROUND(BQ136*(1+取值表!$D$10)*取值表!$H$10,0)</f>
        <v>236411</v>
      </c>
      <c r="BS136" s="44">
        <f t="shared" ref="BS136:BU136" si="2021">BR136</f>
        <v>236411</v>
      </c>
      <c r="BT136" s="44">
        <f t="shared" si="2021"/>
        <v>236411</v>
      </c>
      <c r="BU136" s="44">
        <f t="shared" si="2021"/>
        <v>236411</v>
      </c>
      <c r="BV136" s="44">
        <f>ROUND(BU136*(1+取值表!$D$10)*取值表!$H$10,0)</f>
        <v>237860</v>
      </c>
      <c r="BW136" s="44">
        <f t="shared" ref="BW136:BY136" si="2022">BV136</f>
        <v>237860</v>
      </c>
      <c r="BX136" s="44">
        <f t="shared" si="2022"/>
        <v>237860</v>
      </c>
      <c r="BY136" s="44">
        <f t="shared" si="2022"/>
        <v>237860</v>
      </c>
      <c r="BZ136" s="44">
        <f>ROUND(BY136*(1+取值表!$D$10)*取值表!$H$10,0)</f>
        <v>239318</v>
      </c>
      <c r="CA136" s="44">
        <f t="shared" ref="CA136:CC136" si="2023">BZ136</f>
        <v>239318</v>
      </c>
      <c r="CB136" s="44">
        <f t="shared" si="2023"/>
        <v>239318</v>
      </c>
      <c r="CC136" s="44">
        <f t="shared" si="2023"/>
        <v>239318</v>
      </c>
      <c r="CD136" s="44">
        <f>ROUND(CC136*(1+取值表!$D$10)*取值表!$H$10,0)</f>
        <v>240785</v>
      </c>
      <c r="CE136" s="44">
        <f t="shared" ref="CE136:CG136" si="2024">CD136</f>
        <v>240785</v>
      </c>
      <c r="CF136" s="44">
        <f t="shared" si="2024"/>
        <v>240785</v>
      </c>
      <c r="CG136" s="44">
        <f t="shared" si="2024"/>
        <v>240785</v>
      </c>
      <c r="CH136" s="44">
        <f>ROUND(CG136*(1+取值表!$D$10)*取值表!$H$10,0)</f>
        <v>242261</v>
      </c>
      <c r="CI136" s="44">
        <f t="shared" ref="CI136:CK136" si="2025">CH136</f>
        <v>242261</v>
      </c>
      <c r="CJ136" s="44">
        <f t="shared" si="2025"/>
        <v>242261</v>
      </c>
      <c r="CK136" s="44">
        <f t="shared" si="2025"/>
        <v>242261</v>
      </c>
      <c r="CL136" s="44">
        <f>ROUND(CK136*(1+取值表!$D$10)*取值表!$H$10,0)</f>
        <v>243746</v>
      </c>
      <c r="CM136" s="44">
        <f t="shared" ref="CM136:CO136" si="2026">CL136</f>
        <v>243746</v>
      </c>
      <c r="CN136" s="44">
        <f t="shared" si="2026"/>
        <v>243746</v>
      </c>
      <c r="CO136" s="44">
        <f t="shared" si="2026"/>
        <v>243746</v>
      </c>
      <c r="CP136" s="44">
        <f>ROUND(CO136*(1+取值表!$D$10)*取值表!$H$10,0)</f>
        <v>245240</v>
      </c>
      <c r="CQ136" s="44">
        <f t="shared" ref="CQ136" si="2027">CP136</f>
        <v>245240</v>
      </c>
      <c r="CR136" s="44">
        <f t="shared" ref="CR136" si="2028">CQ136</f>
        <v>245240</v>
      </c>
      <c r="CS136" s="44">
        <f t="shared" ref="CS136" si="2029">CR136</f>
        <v>245240</v>
      </c>
      <c r="CT136" s="44">
        <f>ROUND(CS136*(1+取值表!$D$10)*取值表!$H$10,0)</f>
        <v>246743</v>
      </c>
      <c r="CU136" s="44">
        <f t="shared" ref="CU136" si="2030">CT136</f>
        <v>246743</v>
      </c>
      <c r="CV136" s="44">
        <f t="shared" ref="CV136" si="2031">CU136</f>
        <v>246743</v>
      </c>
      <c r="CW136" s="44">
        <f t="shared" ref="CW136" si="2032">CV136</f>
        <v>246743</v>
      </c>
      <c r="CX136" s="44">
        <f>ROUND(CW136*(1+取值表!$D$10)*取值表!$H$10,0)</f>
        <v>248255</v>
      </c>
      <c r="CY136" s="44">
        <f t="shared" ref="CY136" si="2033">CX136</f>
        <v>248255</v>
      </c>
      <c r="CZ136" s="44">
        <f t="shared" ref="CZ136" si="2034">CY136</f>
        <v>248255</v>
      </c>
      <c r="DA136" s="44">
        <f t="shared" ref="DA136" si="2035">CZ136</f>
        <v>248255</v>
      </c>
      <c r="DB136" s="44">
        <f>ROUND(DA136*(1+取值表!$D$10)*取值表!$H$10,0)</f>
        <v>249777</v>
      </c>
      <c r="DC136" s="44">
        <f t="shared" ref="DC136" si="2036">DB136</f>
        <v>249777</v>
      </c>
      <c r="DD136" s="44">
        <f t="shared" ref="DD136" si="2037">DC136</f>
        <v>249777</v>
      </c>
      <c r="DE136" s="44">
        <f t="shared" ref="DE136" si="2038">DD136</f>
        <v>249777</v>
      </c>
      <c r="DF136" s="45">
        <f t="shared" si="1976"/>
        <v>23239564</v>
      </c>
    </row>
    <row r="137" spans="1:111" s="40" customFormat="1" ht="12">
      <c r="A137" s="505"/>
      <c r="B137" s="518"/>
      <c r="C137" s="450"/>
      <c r="D137" s="451"/>
      <c r="E137" s="452"/>
      <c r="F137" s="446"/>
      <c r="G137" s="446"/>
      <c r="H137" s="447"/>
      <c r="I137" s="41"/>
      <c r="J137" s="42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5">
        <f t="shared" si="1976"/>
        <v>0</v>
      </c>
    </row>
    <row r="138" spans="1:111" s="40" customFormat="1" ht="12" customHeight="1">
      <c r="A138" s="504">
        <v>69</v>
      </c>
      <c r="B138" s="518" t="s">
        <v>158</v>
      </c>
      <c r="C138" s="450" t="s">
        <v>159</v>
      </c>
      <c r="D138" s="451" t="s">
        <v>160</v>
      </c>
      <c r="E138" s="452" t="s">
        <v>459</v>
      </c>
      <c r="F138" s="446">
        <v>82.05</v>
      </c>
      <c r="G138" s="446">
        <v>27.5</v>
      </c>
      <c r="H138" s="447">
        <f>F138*G138*365</f>
        <v>823576.875</v>
      </c>
      <c r="I138" s="41">
        <v>205894.22</v>
      </c>
      <c r="J138" s="42">
        <f>ROUND(F138*G138*365/4,0)</f>
        <v>205894</v>
      </c>
      <c r="K138" s="44">
        <f t="shared" ref="K138:Q138" si="2039">J138</f>
        <v>205894</v>
      </c>
      <c r="L138" s="44">
        <f t="shared" si="2039"/>
        <v>205894</v>
      </c>
      <c r="M138" s="44">
        <f t="shared" si="2039"/>
        <v>205894</v>
      </c>
      <c r="N138" s="43">
        <f t="shared" si="2039"/>
        <v>205894</v>
      </c>
      <c r="O138" s="44">
        <f t="shared" si="2039"/>
        <v>205894</v>
      </c>
      <c r="P138" s="44">
        <f t="shared" si="2039"/>
        <v>205894</v>
      </c>
      <c r="Q138" s="44">
        <f t="shared" si="2039"/>
        <v>205894</v>
      </c>
      <c r="R138" s="44">
        <f>ROUND(Q138*(1+取值表!$D$10)*取值表!$H$10,0)</f>
        <v>207156</v>
      </c>
      <c r="S138" s="44">
        <f>R138</f>
        <v>207156</v>
      </c>
      <c r="T138" s="44">
        <f>S138</f>
        <v>207156</v>
      </c>
      <c r="U138" s="44">
        <f>T138</f>
        <v>207156</v>
      </c>
      <c r="V138" s="44">
        <f>ROUND(U138*(1+取值表!$D$10)*取值表!$H$10,0)</f>
        <v>208426</v>
      </c>
      <c r="W138" s="44">
        <f t="shared" ref="W138:Y138" si="2040">V138</f>
        <v>208426</v>
      </c>
      <c r="X138" s="44">
        <f t="shared" si="2040"/>
        <v>208426</v>
      </c>
      <c r="Y138" s="44">
        <f t="shared" si="2040"/>
        <v>208426</v>
      </c>
      <c r="Z138" s="44">
        <f>ROUND(Y138*(1+取值表!$D$10)*取值表!$H$10,0)</f>
        <v>209703</v>
      </c>
      <c r="AA138" s="44">
        <f t="shared" ref="AA138:AC138" si="2041">Z138</f>
        <v>209703</v>
      </c>
      <c r="AB138" s="44">
        <f t="shared" si="2041"/>
        <v>209703</v>
      </c>
      <c r="AC138" s="44">
        <f t="shared" si="2041"/>
        <v>209703</v>
      </c>
      <c r="AD138" s="44">
        <f>ROUND(AC138*(1+取值表!$D$10)*取值表!$H$10,0)</f>
        <v>210988</v>
      </c>
      <c r="AE138" s="44">
        <f t="shared" ref="AE138:AG138" si="2042">AD138</f>
        <v>210988</v>
      </c>
      <c r="AF138" s="44">
        <f t="shared" si="2042"/>
        <v>210988</v>
      </c>
      <c r="AG138" s="44">
        <f t="shared" si="2042"/>
        <v>210988</v>
      </c>
      <c r="AH138" s="44">
        <f>ROUND(AG138*(1+取值表!$D$10)*取值表!$H$10,0)</f>
        <v>212281</v>
      </c>
      <c r="AI138" s="44">
        <f t="shared" ref="AI138:AK138" si="2043">AH138</f>
        <v>212281</v>
      </c>
      <c r="AJ138" s="44">
        <f t="shared" si="2043"/>
        <v>212281</v>
      </c>
      <c r="AK138" s="44">
        <f t="shared" si="2043"/>
        <v>212281</v>
      </c>
      <c r="AL138" s="44">
        <f>ROUND(AK138*(1+取值表!$D$10)*取值表!$H$10,0)</f>
        <v>213582</v>
      </c>
      <c r="AM138" s="44">
        <f t="shared" ref="AM138:AO138" si="2044">AL138</f>
        <v>213582</v>
      </c>
      <c r="AN138" s="44">
        <f t="shared" si="2044"/>
        <v>213582</v>
      </c>
      <c r="AO138" s="44">
        <f t="shared" si="2044"/>
        <v>213582</v>
      </c>
      <c r="AP138" s="44">
        <f>ROUND(AO138*(1+取值表!$D$10)*取值表!$H$10,0)</f>
        <v>214891</v>
      </c>
      <c r="AQ138" s="44">
        <f t="shared" ref="AQ138:AS138" si="2045">AP138</f>
        <v>214891</v>
      </c>
      <c r="AR138" s="44">
        <f t="shared" si="2045"/>
        <v>214891</v>
      </c>
      <c r="AS138" s="44">
        <f t="shared" si="2045"/>
        <v>214891</v>
      </c>
      <c r="AT138" s="44">
        <f>ROUND(AS138*(1+取值表!$D$10)*取值表!$H$10,0)</f>
        <v>216208</v>
      </c>
      <c r="AU138" s="44">
        <f t="shared" ref="AU138:AW138" si="2046">AT138</f>
        <v>216208</v>
      </c>
      <c r="AV138" s="44">
        <f t="shared" si="2046"/>
        <v>216208</v>
      </c>
      <c r="AW138" s="44">
        <f t="shared" si="2046"/>
        <v>216208</v>
      </c>
      <c r="AX138" s="44">
        <f>ROUND(AW138*(1+取值表!$D$10)*取值表!$H$10,0)</f>
        <v>217533</v>
      </c>
      <c r="AY138" s="44">
        <f t="shared" ref="AY138:BA138" si="2047">AX138</f>
        <v>217533</v>
      </c>
      <c r="AZ138" s="44">
        <f t="shared" si="2047"/>
        <v>217533</v>
      </c>
      <c r="BA138" s="44">
        <f t="shared" si="2047"/>
        <v>217533</v>
      </c>
      <c r="BB138" s="44">
        <f>ROUND(BA138*(1+取值表!$D$10)*取值表!$H$10,0)</f>
        <v>218866</v>
      </c>
      <c r="BC138" s="44">
        <f t="shared" ref="BC138:BE138" si="2048">BB138</f>
        <v>218866</v>
      </c>
      <c r="BD138" s="44">
        <f t="shared" si="2048"/>
        <v>218866</v>
      </c>
      <c r="BE138" s="44">
        <f t="shared" si="2048"/>
        <v>218866</v>
      </c>
      <c r="BF138" s="44">
        <f>ROUND(BE138*(1+取值表!$D$10)*取值表!$H$10,0)</f>
        <v>220207</v>
      </c>
      <c r="BG138" s="44">
        <f t="shared" ref="BG138:BI138" si="2049">BF138</f>
        <v>220207</v>
      </c>
      <c r="BH138" s="44">
        <f t="shared" si="2049"/>
        <v>220207</v>
      </c>
      <c r="BI138" s="44">
        <f t="shared" si="2049"/>
        <v>220207</v>
      </c>
      <c r="BJ138" s="44">
        <f>ROUND(BI138*(1+取值表!$D$10)*取值表!$H$10,0)</f>
        <v>221557</v>
      </c>
      <c r="BK138" s="44">
        <f t="shared" ref="BK138:BM138" si="2050">BJ138</f>
        <v>221557</v>
      </c>
      <c r="BL138" s="44">
        <f t="shared" si="2050"/>
        <v>221557</v>
      </c>
      <c r="BM138" s="44">
        <f t="shared" si="2050"/>
        <v>221557</v>
      </c>
      <c r="BN138" s="44">
        <f>ROUND(BM138*(1+取值表!$D$10)*取值表!$H$10,0)</f>
        <v>222915</v>
      </c>
      <c r="BO138" s="44">
        <f t="shared" ref="BO138:BQ138" si="2051">BN138</f>
        <v>222915</v>
      </c>
      <c r="BP138" s="44">
        <f t="shared" si="2051"/>
        <v>222915</v>
      </c>
      <c r="BQ138" s="44">
        <f t="shared" si="2051"/>
        <v>222915</v>
      </c>
      <c r="BR138" s="44">
        <f>ROUND(BQ138*(1+取值表!$D$10)*取值表!$H$10,0)</f>
        <v>224281</v>
      </c>
      <c r="BS138" s="44">
        <f t="shared" ref="BS138:BU138" si="2052">BR138</f>
        <v>224281</v>
      </c>
      <c r="BT138" s="44">
        <f t="shared" si="2052"/>
        <v>224281</v>
      </c>
      <c r="BU138" s="44">
        <f t="shared" si="2052"/>
        <v>224281</v>
      </c>
      <c r="BV138" s="44">
        <f>ROUND(BU138*(1+取值表!$D$10)*取值表!$H$10,0)</f>
        <v>225656</v>
      </c>
      <c r="BW138" s="44">
        <f t="shared" ref="BW138:BY138" si="2053">BV138</f>
        <v>225656</v>
      </c>
      <c r="BX138" s="44">
        <f t="shared" si="2053"/>
        <v>225656</v>
      </c>
      <c r="BY138" s="44">
        <f t="shared" si="2053"/>
        <v>225656</v>
      </c>
      <c r="BZ138" s="44">
        <f>ROUND(BY138*(1+取值表!$D$10)*取值表!$H$10,0)</f>
        <v>227039</v>
      </c>
      <c r="CA138" s="44">
        <f t="shared" ref="CA138:CC138" si="2054">BZ138</f>
        <v>227039</v>
      </c>
      <c r="CB138" s="44">
        <f t="shared" si="2054"/>
        <v>227039</v>
      </c>
      <c r="CC138" s="44">
        <f t="shared" si="2054"/>
        <v>227039</v>
      </c>
      <c r="CD138" s="44">
        <f>ROUND(CC138*(1+取值表!$D$10)*取值表!$H$10,0)</f>
        <v>228431</v>
      </c>
      <c r="CE138" s="44">
        <f t="shared" ref="CE138:CG138" si="2055">CD138</f>
        <v>228431</v>
      </c>
      <c r="CF138" s="44">
        <f t="shared" si="2055"/>
        <v>228431</v>
      </c>
      <c r="CG138" s="44">
        <f t="shared" si="2055"/>
        <v>228431</v>
      </c>
      <c r="CH138" s="44">
        <f>ROUND(CG138*(1+取值表!$D$10)*取值表!$H$10,0)</f>
        <v>229831</v>
      </c>
      <c r="CI138" s="44">
        <f t="shared" ref="CI138:CK138" si="2056">CH138</f>
        <v>229831</v>
      </c>
      <c r="CJ138" s="44">
        <f t="shared" si="2056"/>
        <v>229831</v>
      </c>
      <c r="CK138" s="44">
        <f t="shared" si="2056"/>
        <v>229831</v>
      </c>
      <c r="CL138" s="44">
        <f>ROUND(CK138*(1+取值表!$D$10)*取值表!$H$10,0)</f>
        <v>231240</v>
      </c>
      <c r="CM138" s="44">
        <f t="shared" ref="CM138:CO138" si="2057">CL138</f>
        <v>231240</v>
      </c>
      <c r="CN138" s="44">
        <f t="shared" si="2057"/>
        <v>231240</v>
      </c>
      <c r="CO138" s="44">
        <f t="shared" si="2057"/>
        <v>231240</v>
      </c>
      <c r="CP138" s="44">
        <f>ROUND(CO138*(1+取值表!$D$10)*取值表!$H$10,0)</f>
        <v>232657</v>
      </c>
      <c r="CQ138" s="44">
        <f t="shared" ref="CQ138" si="2058">CP138</f>
        <v>232657</v>
      </c>
      <c r="CR138" s="44">
        <f t="shared" ref="CR138" si="2059">CQ138</f>
        <v>232657</v>
      </c>
      <c r="CS138" s="44">
        <f t="shared" ref="CS138" si="2060">CR138</f>
        <v>232657</v>
      </c>
      <c r="CT138" s="44">
        <f>ROUND(CS138*(1+取值表!$D$10)*取值表!$H$10,0)</f>
        <v>234083</v>
      </c>
      <c r="CU138" s="44">
        <f t="shared" ref="CU138" si="2061">CT138</f>
        <v>234083</v>
      </c>
      <c r="CV138" s="44">
        <f t="shared" ref="CV138" si="2062">CU138</f>
        <v>234083</v>
      </c>
      <c r="CW138" s="44">
        <f t="shared" ref="CW138" si="2063">CV138</f>
        <v>234083</v>
      </c>
      <c r="CX138" s="44">
        <f>ROUND(CW138*(1+取值表!$D$10)*取值表!$H$10,0)</f>
        <v>235518</v>
      </c>
      <c r="CY138" s="44">
        <f t="shared" ref="CY138" si="2064">CX138</f>
        <v>235518</v>
      </c>
      <c r="CZ138" s="44">
        <f t="shared" ref="CZ138" si="2065">CY138</f>
        <v>235518</v>
      </c>
      <c r="DA138" s="44">
        <f t="shared" ref="DA138" si="2066">CZ138</f>
        <v>235518</v>
      </c>
      <c r="DB138" s="44">
        <f>ROUND(DA138*(1+取值表!$D$10)*取值表!$H$10,0)</f>
        <v>236962</v>
      </c>
      <c r="DC138" s="44">
        <f t="shared" ref="DC138" si="2067">DB138</f>
        <v>236962</v>
      </c>
      <c r="DD138" s="44">
        <f t="shared" ref="DD138" si="2068">DC138</f>
        <v>236962</v>
      </c>
      <c r="DE138" s="44">
        <f t="shared" ref="DE138" si="2069">DD138</f>
        <v>236962</v>
      </c>
      <c r="DF138" s="45">
        <f t="shared" si="1976"/>
        <v>22047196</v>
      </c>
    </row>
    <row r="139" spans="1:111" s="40" customFormat="1" ht="12">
      <c r="A139" s="505"/>
      <c r="B139" s="518"/>
      <c r="C139" s="450"/>
      <c r="D139" s="451"/>
      <c r="E139" s="452"/>
      <c r="F139" s="446"/>
      <c r="G139" s="446"/>
      <c r="H139" s="447"/>
      <c r="I139" s="41"/>
      <c r="J139" s="42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5">
        <f t="shared" si="1976"/>
        <v>0</v>
      </c>
    </row>
    <row r="140" spans="1:111" s="40" customFormat="1" ht="12" customHeight="1">
      <c r="A140" s="504">
        <v>70</v>
      </c>
      <c r="B140" s="518" t="s">
        <v>161</v>
      </c>
      <c r="C140" s="450" t="s">
        <v>736</v>
      </c>
      <c r="D140" s="451" t="s">
        <v>477</v>
      </c>
      <c r="E140" s="452" t="s">
        <v>459</v>
      </c>
      <c r="F140" s="446">
        <v>166.3</v>
      </c>
      <c r="G140" s="446">
        <v>20</v>
      </c>
      <c r="H140" s="447">
        <f>F140*G140*365</f>
        <v>1213990</v>
      </c>
      <c r="I140" s="41">
        <v>328839.53999999998</v>
      </c>
      <c r="J140" s="42">
        <f>ROUND(F140*G140*365/4,0)</f>
        <v>303498</v>
      </c>
      <c r="K140" s="44">
        <f t="shared" ref="K140:R140" si="2070">J140</f>
        <v>303498</v>
      </c>
      <c r="L140" s="44">
        <f t="shared" si="2070"/>
        <v>303498</v>
      </c>
      <c r="M140" s="44">
        <f t="shared" si="2070"/>
        <v>303498</v>
      </c>
      <c r="N140" s="44">
        <f t="shared" si="2070"/>
        <v>303498</v>
      </c>
      <c r="O140" s="44">
        <f t="shared" si="2070"/>
        <v>303498</v>
      </c>
      <c r="P140" s="44">
        <f t="shared" si="2070"/>
        <v>303498</v>
      </c>
      <c r="Q140" s="44">
        <f t="shared" si="2070"/>
        <v>303498</v>
      </c>
      <c r="R140" s="43">
        <f t="shared" si="2070"/>
        <v>303498</v>
      </c>
      <c r="S140" s="44">
        <f>R140</f>
        <v>303498</v>
      </c>
      <c r="T140" s="42">
        <f>S140</f>
        <v>303498</v>
      </c>
      <c r="U140" s="44">
        <f>T140</f>
        <v>303498</v>
      </c>
      <c r="V140" s="44">
        <f>ROUND(U140*(1+取值表!$D$10)*取值表!$H$10,0)</f>
        <v>305358</v>
      </c>
      <c r="W140" s="44">
        <f>V140</f>
        <v>305358</v>
      </c>
      <c r="X140" s="44">
        <f>W140</f>
        <v>305358</v>
      </c>
      <c r="Y140" s="44">
        <f>X140</f>
        <v>305358</v>
      </c>
      <c r="Z140" s="44">
        <f>ROUND(Y140*(1+取值表!$D$10)*取值表!$H$10,0)</f>
        <v>307230</v>
      </c>
      <c r="AA140" s="44">
        <f t="shared" ref="AA140:AC140" si="2071">Z140</f>
        <v>307230</v>
      </c>
      <c r="AB140" s="44">
        <f t="shared" si="2071"/>
        <v>307230</v>
      </c>
      <c r="AC140" s="44">
        <f t="shared" si="2071"/>
        <v>307230</v>
      </c>
      <c r="AD140" s="44">
        <f>ROUND(AC140*(1+取值表!$D$10)*取值表!$H$10,0)</f>
        <v>309113</v>
      </c>
      <c r="AE140" s="44">
        <f t="shared" ref="AE140:AG140" si="2072">AD140</f>
        <v>309113</v>
      </c>
      <c r="AF140" s="44">
        <f t="shared" si="2072"/>
        <v>309113</v>
      </c>
      <c r="AG140" s="44">
        <f t="shared" si="2072"/>
        <v>309113</v>
      </c>
      <c r="AH140" s="44">
        <f>ROUND(AG140*(1+取值表!$D$10)*取值表!$H$10,0)</f>
        <v>311008</v>
      </c>
      <c r="AI140" s="44">
        <f t="shared" ref="AI140:AK140" si="2073">AH140</f>
        <v>311008</v>
      </c>
      <c r="AJ140" s="44">
        <f t="shared" si="2073"/>
        <v>311008</v>
      </c>
      <c r="AK140" s="44">
        <f t="shared" si="2073"/>
        <v>311008</v>
      </c>
      <c r="AL140" s="44">
        <f>ROUND(AK140*(1+取值表!$D$10)*取值表!$H$10,0)</f>
        <v>312914</v>
      </c>
      <c r="AM140" s="44">
        <f t="shared" ref="AM140:AO140" si="2074">AL140</f>
        <v>312914</v>
      </c>
      <c r="AN140" s="44">
        <f t="shared" si="2074"/>
        <v>312914</v>
      </c>
      <c r="AO140" s="44">
        <f t="shared" si="2074"/>
        <v>312914</v>
      </c>
      <c r="AP140" s="44">
        <f>ROUND(AO140*(1+取值表!$D$10)*取值表!$H$10,0)</f>
        <v>314832</v>
      </c>
      <c r="AQ140" s="44">
        <f t="shared" ref="AQ140:AS140" si="2075">AP140</f>
        <v>314832</v>
      </c>
      <c r="AR140" s="44">
        <f t="shared" si="2075"/>
        <v>314832</v>
      </c>
      <c r="AS140" s="44">
        <f t="shared" si="2075"/>
        <v>314832</v>
      </c>
      <c r="AT140" s="44">
        <f>ROUND(AS140*(1+取值表!$D$10)*取值表!$H$10,0)</f>
        <v>316762</v>
      </c>
      <c r="AU140" s="44">
        <f t="shared" ref="AU140:AW140" si="2076">AT140</f>
        <v>316762</v>
      </c>
      <c r="AV140" s="44">
        <f t="shared" si="2076"/>
        <v>316762</v>
      </c>
      <c r="AW140" s="44">
        <f t="shared" si="2076"/>
        <v>316762</v>
      </c>
      <c r="AX140" s="44">
        <f>ROUND(AW140*(1+取值表!$D$10)*取值表!$H$10,0)</f>
        <v>318703</v>
      </c>
      <c r="AY140" s="44">
        <f t="shared" ref="AY140:BA140" si="2077">AX140</f>
        <v>318703</v>
      </c>
      <c r="AZ140" s="44">
        <f t="shared" si="2077"/>
        <v>318703</v>
      </c>
      <c r="BA140" s="44">
        <f t="shared" si="2077"/>
        <v>318703</v>
      </c>
      <c r="BB140" s="44">
        <f>ROUND(BA140*(1+取值表!$D$10)*取值表!$H$10,0)</f>
        <v>320656</v>
      </c>
      <c r="BC140" s="44">
        <f t="shared" ref="BC140:BE140" si="2078">BB140</f>
        <v>320656</v>
      </c>
      <c r="BD140" s="44">
        <f t="shared" si="2078"/>
        <v>320656</v>
      </c>
      <c r="BE140" s="44">
        <f t="shared" si="2078"/>
        <v>320656</v>
      </c>
      <c r="BF140" s="44">
        <f>ROUND(BE140*(1+取值表!$D$10)*取值表!$H$10,0)</f>
        <v>322621</v>
      </c>
      <c r="BG140" s="44">
        <f t="shared" ref="BG140:BI140" si="2079">BF140</f>
        <v>322621</v>
      </c>
      <c r="BH140" s="44">
        <f t="shared" si="2079"/>
        <v>322621</v>
      </c>
      <c r="BI140" s="44">
        <f t="shared" si="2079"/>
        <v>322621</v>
      </c>
      <c r="BJ140" s="44">
        <f>ROUND(BI140*(1+取值表!$D$10)*取值表!$H$10,0)</f>
        <v>324598</v>
      </c>
      <c r="BK140" s="44">
        <f t="shared" ref="BK140:BM140" si="2080">BJ140</f>
        <v>324598</v>
      </c>
      <c r="BL140" s="44">
        <f t="shared" si="2080"/>
        <v>324598</v>
      </c>
      <c r="BM140" s="44">
        <f t="shared" si="2080"/>
        <v>324598</v>
      </c>
      <c r="BN140" s="44">
        <f>ROUND(BM140*(1+取值表!$D$10)*取值表!$H$10,0)</f>
        <v>326588</v>
      </c>
      <c r="BO140" s="44">
        <f t="shared" ref="BO140:BQ140" si="2081">BN140</f>
        <v>326588</v>
      </c>
      <c r="BP140" s="44">
        <f t="shared" si="2081"/>
        <v>326588</v>
      </c>
      <c r="BQ140" s="44">
        <f t="shared" si="2081"/>
        <v>326588</v>
      </c>
      <c r="BR140" s="44">
        <f>ROUND(BQ140*(1+取值表!$D$10)*取值表!$H$10,0)</f>
        <v>328590</v>
      </c>
      <c r="BS140" s="44">
        <f t="shared" ref="BS140:BU140" si="2082">BR140</f>
        <v>328590</v>
      </c>
      <c r="BT140" s="44">
        <f t="shared" si="2082"/>
        <v>328590</v>
      </c>
      <c r="BU140" s="44">
        <f t="shared" si="2082"/>
        <v>328590</v>
      </c>
      <c r="BV140" s="44">
        <f>ROUND(BU140*(1+取值表!$D$10)*取值表!$H$10,0)</f>
        <v>330604</v>
      </c>
      <c r="BW140" s="44">
        <f t="shared" ref="BW140:BY140" si="2083">BV140</f>
        <v>330604</v>
      </c>
      <c r="BX140" s="44">
        <f t="shared" si="2083"/>
        <v>330604</v>
      </c>
      <c r="BY140" s="44">
        <f t="shared" si="2083"/>
        <v>330604</v>
      </c>
      <c r="BZ140" s="44">
        <f>ROUND(BY140*(1+取值表!$D$10)*取值表!$H$10,0)</f>
        <v>332630</v>
      </c>
      <c r="CA140" s="44">
        <f t="shared" ref="CA140:CC140" si="2084">BZ140</f>
        <v>332630</v>
      </c>
      <c r="CB140" s="44">
        <f t="shared" si="2084"/>
        <v>332630</v>
      </c>
      <c r="CC140" s="44">
        <f t="shared" si="2084"/>
        <v>332630</v>
      </c>
      <c r="CD140" s="44">
        <f>ROUND(CC140*(1+取值表!$D$10)*取值表!$H$10,0)</f>
        <v>334669</v>
      </c>
      <c r="CE140" s="44">
        <f t="shared" ref="CE140:CG140" si="2085">CD140</f>
        <v>334669</v>
      </c>
      <c r="CF140" s="44">
        <f t="shared" si="2085"/>
        <v>334669</v>
      </c>
      <c r="CG140" s="44">
        <f t="shared" si="2085"/>
        <v>334669</v>
      </c>
      <c r="CH140" s="44">
        <f>ROUND(CG140*(1+取值表!$D$10)*取值表!$H$10,0)</f>
        <v>336720</v>
      </c>
      <c r="CI140" s="44">
        <f t="shared" ref="CI140:CK140" si="2086">CH140</f>
        <v>336720</v>
      </c>
      <c r="CJ140" s="44">
        <f t="shared" si="2086"/>
        <v>336720</v>
      </c>
      <c r="CK140" s="44">
        <f t="shared" si="2086"/>
        <v>336720</v>
      </c>
      <c r="CL140" s="44">
        <f>ROUND(CK140*(1+取值表!$D$10)*取值表!$H$10,0)</f>
        <v>338784</v>
      </c>
      <c r="CM140" s="44">
        <f t="shared" ref="CM140:CO140" si="2087">CL140</f>
        <v>338784</v>
      </c>
      <c r="CN140" s="44">
        <f t="shared" si="2087"/>
        <v>338784</v>
      </c>
      <c r="CO140" s="44">
        <f t="shared" si="2087"/>
        <v>338784</v>
      </c>
      <c r="CP140" s="44">
        <f>ROUND(CO140*(1+取值表!$D$10)*取值表!$H$10,0)</f>
        <v>340860</v>
      </c>
      <c r="CQ140" s="44">
        <f t="shared" ref="CQ140" si="2088">CP140</f>
        <v>340860</v>
      </c>
      <c r="CR140" s="44">
        <f t="shared" ref="CR140" si="2089">CQ140</f>
        <v>340860</v>
      </c>
      <c r="CS140" s="44">
        <f t="shared" ref="CS140" si="2090">CR140</f>
        <v>340860</v>
      </c>
      <c r="CT140" s="44">
        <f>ROUND(CS140*(1+取值表!$D$10)*取值表!$H$10,0)</f>
        <v>342949</v>
      </c>
      <c r="CU140" s="44">
        <f t="shared" ref="CU140" si="2091">CT140</f>
        <v>342949</v>
      </c>
      <c r="CV140" s="44">
        <f t="shared" ref="CV140" si="2092">CU140</f>
        <v>342949</v>
      </c>
      <c r="CW140" s="44">
        <f t="shared" ref="CW140" si="2093">CV140</f>
        <v>342949</v>
      </c>
      <c r="CX140" s="44">
        <f>ROUND(CW140*(1+取值表!$D$10)*取值表!$H$10,0)</f>
        <v>345051</v>
      </c>
      <c r="CY140" s="44">
        <f t="shared" ref="CY140" si="2094">CX140</f>
        <v>345051</v>
      </c>
      <c r="CZ140" s="44">
        <f t="shared" ref="CZ140" si="2095">CY140</f>
        <v>345051</v>
      </c>
      <c r="DA140" s="44">
        <f t="shared" ref="DA140" si="2096">CZ140</f>
        <v>345051</v>
      </c>
      <c r="DB140" s="44">
        <f>ROUND(DA140*(1+取值表!$D$10)*取值表!$H$10,0)</f>
        <v>347166</v>
      </c>
      <c r="DC140" s="44">
        <f t="shared" ref="DC140" si="2097">DB140</f>
        <v>347166</v>
      </c>
      <c r="DD140" s="44">
        <f t="shared" ref="DD140" si="2098">DC140</f>
        <v>347166</v>
      </c>
      <c r="DE140" s="44">
        <f t="shared" ref="DE140" si="2099">DD140</f>
        <v>347166</v>
      </c>
      <c r="DF140" s="45">
        <f t="shared" si="1976"/>
        <v>32315600</v>
      </c>
    </row>
    <row r="141" spans="1:111" s="40" customFormat="1" ht="12">
      <c r="A141" s="505"/>
      <c r="B141" s="518"/>
      <c r="C141" s="450"/>
      <c r="D141" s="451"/>
      <c r="E141" s="452"/>
      <c r="F141" s="446"/>
      <c r="G141" s="446"/>
      <c r="H141" s="447"/>
      <c r="I141" s="41"/>
      <c r="J141" s="42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5">
        <f t="shared" si="1976"/>
        <v>0</v>
      </c>
    </row>
    <row r="142" spans="1:111" s="40" customFormat="1" ht="12" customHeight="1">
      <c r="A142" s="504">
        <v>71</v>
      </c>
      <c r="B142" s="518" t="s">
        <v>162</v>
      </c>
      <c r="C142" s="450" t="s">
        <v>163</v>
      </c>
      <c r="D142" s="451" t="s">
        <v>478</v>
      </c>
      <c r="E142" s="452" t="s">
        <v>459</v>
      </c>
      <c r="F142" s="446">
        <v>287.75</v>
      </c>
      <c r="G142" s="446">
        <v>12</v>
      </c>
      <c r="H142" s="447">
        <f>F142*G142*365</f>
        <v>1260345</v>
      </c>
      <c r="I142" s="41">
        <v>451623.63</v>
      </c>
      <c r="J142" s="42">
        <f>ROUND(F142*G142*365/4,0)</f>
        <v>315086</v>
      </c>
      <c r="K142" s="44">
        <f>J142</f>
        <v>315086</v>
      </c>
      <c r="L142" s="44">
        <f>K142</f>
        <v>315086</v>
      </c>
      <c r="M142" s="44">
        <f t="shared" ref="M142:Z142" si="2100">L142</f>
        <v>315086</v>
      </c>
      <c r="N142" s="44">
        <f t="shared" si="2100"/>
        <v>315086</v>
      </c>
      <c r="O142" s="44">
        <f t="shared" si="2100"/>
        <v>315086</v>
      </c>
      <c r="P142" s="44">
        <f t="shared" si="2100"/>
        <v>315086</v>
      </c>
      <c r="Q142" s="44">
        <f t="shared" si="2100"/>
        <v>315086</v>
      </c>
      <c r="R142" s="44">
        <f t="shared" si="2100"/>
        <v>315086</v>
      </c>
      <c r="S142" s="44">
        <f t="shared" si="2100"/>
        <v>315086</v>
      </c>
      <c r="T142" s="44">
        <f t="shared" si="2100"/>
        <v>315086</v>
      </c>
      <c r="U142" s="44">
        <f t="shared" si="2100"/>
        <v>315086</v>
      </c>
      <c r="V142" s="44">
        <f t="shared" si="2100"/>
        <v>315086</v>
      </c>
      <c r="W142" s="44">
        <f t="shared" si="2100"/>
        <v>315086</v>
      </c>
      <c r="X142" s="44">
        <f t="shared" si="2100"/>
        <v>315086</v>
      </c>
      <c r="Y142" s="44">
        <f t="shared" si="2100"/>
        <v>315086</v>
      </c>
      <c r="Z142" s="43">
        <f t="shared" si="2100"/>
        <v>315086</v>
      </c>
      <c r="AA142" s="44">
        <f>Z142</f>
        <v>315086</v>
      </c>
      <c r="AB142" s="44">
        <f>AA142</f>
        <v>315086</v>
      </c>
      <c r="AC142" s="44">
        <f>AB142</f>
        <v>315086</v>
      </c>
      <c r="AD142" s="44">
        <f>ROUND(AC142*(1+取值表!$D$10)*取值表!$H$10,0)</f>
        <v>317017</v>
      </c>
      <c r="AE142" s="44">
        <f>AD142</f>
        <v>317017</v>
      </c>
      <c r="AF142" s="44">
        <f>AE142</f>
        <v>317017</v>
      </c>
      <c r="AG142" s="44">
        <f>AF142</f>
        <v>317017</v>
      </c>
      <c r="AH142" s="44">
        <f>ROUND(AG142*(1+取值表!$D$10)*取值表!$H$10,0)</f>
        <v>318960</v>
      </c>
      <c r="AI142" s="44">
        <f t="shared" ref="AI142:AK142" si="2101">AH142</f>
        <v>318960</v>
      </c>
      <c r="AJ142" s="44">
        <f t="shared" si="2101"/>
        <v>318960</v>
      </c>
      <c r="AK142" s="44">
        <f t="shared" si="2101"/>
        <v>318960</v>
      </c>
      <c r="AL142" s="44">
        <f>ROUND(AK142*(1+取值表!$D$10)*取值表!$H$10,0)</f>
        <v>320915</v>
      </c>
      <c r="AM142" s="44">
        <f t="shared" ref="AM142:AO142" si="2102">AL142</f>
        <v>320915</v>
      </c>
      <c r="AN142" s="44">
        <f t="shared" si="2102"/>
        <v>320915</v>
      </c>
      <c r="AO142" s="44">
        <f t="shared" si="2102"/>
        <v>320915</v>
      </c>
      <c r="AP142" s="44">
        <f>ROUND(AO142*(1+取值表!$D$10)*取值表!$H$10,0)</f>
        <v>322882</v>
      </c>
      <c r="AQ142" s="44">
        <f t="shared" ref="AQ142:AS142" si="2103">AP142</f>
        <v>322882</v>
      </c>
      <c r="AR142" s="44">
        <f t="shared" si="2103"/>
        <v>322882</v>
      </c>
      <c r="AS142" s="44">
        <f t="shared" si="2103"/>
        <v>322882</v>
      </c>
      <c r="AT142" s="44">
        <f>ROUND(AS142*(1+取值表!$D$10)*取值表!$H$10,0)</f>
        <v>324861</v>
      </c>
      <c r="AU142" s="44">
        <f t="shared" ref="AU142:AW142" si="2104">AT142</f>
        <v>324861</v>
      </c>
      <c r="AV142" s="44">
        <f t="shared" si="2104"/>
        <v>324861</v>
      </c>
      <c r="AW142" s="44">
        <f t="shared" si="2104"/>
        <v>324861</v>
      </c>
      <c r="AX142" s="44">
        <f>ROUND(AW142*(1+取值表!$D$10)*取值表!$H$10,0)</f>
        <v>326852</v>
      </c>
      <c r="AY142" s="44">
        <f t="shared" ref="AY142:BA142" si="2105">AX142</f>
        <v>326852</v>
      </c>
      <c r="AZ142" s="44">
        <f t="shared" si="2105"/>
        <v>326852</v>
      </c>
      <c r="BA142" s="44">
        <f t="shared" si="2105"/>
        <v>326852</v>
      </c>
      <c r="BB142" s="44">
        <f>ROUND(BA142*(1+取值表!$D$10)*取值表!$H$10,0)</f>
        <v>328855</v>
      </c>
      <c r="BC142" s="44">
        <f t="shared" ref="BC142:BE142" si="2106">BB142</f>
        <v>328855</v>
      </c>
      <c r="BD142" s="44">
        <f t="shared" si="2106"/>
        <v>328855</v>
      </c>
      <c r="BE142" s="44">
        <f t="shared" si="2106"/>
        <v>328855</v>
      </c>
      <c r="BF142" s="44">
        <f>ROUND(BE142*(1+取值表!$D$10)*取值表!$H$10,0)</f>
        <v>330871</v>
      </c>
      <c r="BG142" s="44">
        <f t="shared" ref="BG142:BI142" si="2107">BF142</f>
        <v>330871</v>
      </c>
      <c r="BH142" s="44">
        <f t="shared" si="2107"/>
        <v>330871</v>
      </c>
      <c r="BI142" s="44">
        <f t="shared" si="2107"/>
        <v>330871</v>
      </c>
      <c r="BJ142" s="44">
        <f>ROUND(BI142*(1+取值表!$D$10)*取值表!$H$10,0)</f>
        <v>332899</v>
      </c>
      <c r="BK142" s="44">
        <f t="shared" ref="BK142:BM142" si="2108">BJ142</f>
        <v>332899</v>
      </c>
      <c r="BL142" s="44">
        <f t="shared" si="2108"/>
        <v>332899</v>
      </c>
      <c r="BM142" s="44">
        <f t="shared" si="2108"/>
        <v>332899</v>
      </c>
      <c r="BN142" s="44">
        <f>ROUND(BM142*(1+取值表!$D$10)*取值表!$H$10,0)</f>
        <v>334939</v>
      </c>
      <c r="BO142" s="44">
        <f t="shared" ref="BO142:BQ142" si="2109">BN142</f>
        <v>334939</v>
      </c>
      <c r="BP142" s="44">
        <f t="shared" si="2109"/>
        <v>334939</v>
      </c>
      <c r="BQ142" s="44">
        <f t="shared" si="2109"/>
        <v>334939</v>
      </c>
      <c r="BR142" s="44">
        <f>ROUND(BQ142*(1+取值表!$D$10)*取值表!$H$10,0)</f>
        <v>336992</v>
      </c>
      <c r="BS142" s="44">
        <f t="shared" ref="BS142:BU142" si="2110">BR142</f>
        <v>336992</v>
      </c>
      <c r="BT142" s="44">
        <f t="shared" si="2110"/>
        <v>336992</v>
      </c>
      <c r="BU142" s="44">
        <f t="shared" si="2110"/>
        <v>336992</v>
      </c>
      <c r="BV142" s="44">
        <f>ROUND(BU142*(1+取值表!$D$10)*取值表!$H$10,0)</f>
        <v>339057</v>
      </c>
      <c r="BW142" s="44">
        <f t="shared" ref="BW142:BY142" si="2111">BV142</f>
        <v>339057</v>
      </c>
      <c r="BX142" s="44">
        <f t="shared" si="2111"/>
        <v>339057</v>
      </c>
      <c r="BY142" s="44">
        <f t="shared" si="2111"/>
        <v>339057</v>
      </c>
      <c r="BZ142" s="44">
        <f>ROUND(BY142*(1+取值表!$D$10)*取值表!$H$10,0)</f>
        <v>341135</v>
      </c>
      <c r="CA142" s="44">
        <f t="shared" ref="CA142:CC142" si="2112">BZ142</f>
        <v>341135</v>
      </c>
      <c r="CB142" s="44">
        <f t="shared" si="2112"/>
        <v>341135</v>
      </c>
      <c r="CC142" s="44">
        <f t="shared" si="2112"/>
        <v>341135</v>
      </c>
      <c r="CD142" s="44">
        <f>ROUND(CC142*(1+取值表!$D$10)*取值表!$H$10,0)</f>
        <v>343226</v>
      </c>
      <c r="CE142" s="44">
        <f t="shared" ref="CE142:CG142" si="2113">CD142</f>
        <v>343226</v>
      </c>
      <c r="CF142" s="44">
        <f t="shared" si="2113"/>
        <v>343226</v>
      </c>
      <c r="CG142" s="44">
        <f t="shared" si="2113"/>
        <v>343226</v>
      </c>
      <c r="CH142" s="44">
        <f>ROUND(CG142*(1+取值表!$D$10)*取值表!$H$10,0)</f>
        <v>345330</v>
      </c>
      <c r="CI142" s="44">
        <f t="shared" ref="CI142:CK142" si="2114">CH142</f>
        <v>345330</v>
      </c>
      <c r="CJ142" s="44">
        <f t="shared" si="2114"/>
        <v>345330</v>
      </c>
      <c r="CK142" s="44">
        <f t="shared" si="2114"/>
        <v>345330</v>
      </c>
      <c r="CL142" s="44">
        <f>ROUND(CK142*(1+取值表!$D$10)*取值表!$H$10,0)</f>
        <v>347447</v>
      </c>
      <c r="CM142" s="44">
        <f t="shared" ref="CM142:CO142" si="2115">CL142</f>
        <v>347447</v>
      </c>
      <c r="CN142" s="44">
        <f t="shared" si="2115"/>
        <v>347447</v>
      </c>
      <c r="CO142" s="44">
        <f t="shared" si="2115"/>
        <v>347447</v>
      </c>
      <c r="CP142" s="44">
        <f>ROUND(CO142*(1+取值表!$D$10)*取值表!$H$10,0)</f>
        <v>349577</v>
      </c>
      <c r="CQ142" s="44">
        <f t="shared" ref="CQ142" si="2116">CP142</f>
        <v>349577</v>
      </c>
      <c r="CR142" s="44">
        <f t="shared" ref="CR142" si="2117">CQ142</f>
        <v>349577</v>
      </c>
      <c r="CS142" s="44">
        <f t="shared" ref="CS142" si="2118">CR142</f>
        <v>349577</v>
      </c>
      <c r="CT142" s="44">
        <f>ROUND(CS142*(1+取值表!$D$10)*取值表!$H$10,0)</f>
        <v>351720</v>
      </c>
      <c r="CU142" s="44">
        <f t="shared" ref="CU142" si="2119">CT142</f>
        <v>351720</v>
      </c>
      <c r="CV142" s="44">
        <f t="shared" ref="CV142" si="2120">CU142</f>
        <v>351720</v>
      </c>
      <c r="CW142" s="44">
        <f t="shared" ref="CW142" si="2121">CV142</f>
        <v>351720</v>
      </c>
      <c r="CX142" s="44">
        <f>ROUND(CW142*(1+取值表!$D$10)*取值表!$H$10,0)</f>
        <v>353876</v>
      </c>
      <c r="CY142" s="44">
        <f t="shared" ref="CY142" si="2122">CX142</f>
        <v>353876</v>
      </c>
      <c r="CZ142" s="44">
        <f t="shared" ref="CZ142" si="2123">CY142</f>
        <v>353876</v>
      </c>
      <c r="DA142" s="44">
        <f t="shared" ref="DA142" si="2124">CZ142</f>
        <v>353876</v>
      </c>
      <c r="DB142" s="44">
        <f>ROUND(DA142*(1+取值表!$D$10)*取值表!$H$10,0)</f>
        <v>356045</v>
      </c>
      <c r="DC142" s="44">
        <f t="shared" ref="DC142" si="2125">DB142</f>
        <v>356045</v>
      </c>
      <c r="DD142" s="44">
        <f t="shared" ref="DD142" si="2126">DC142</f>
        <v>356045</v>
      </c>
      <c r="DE142" s="44">
        <f t="shared" ref="DE142" si="2127">DD142</f>
        <v>356045</v>
      </c>
      <c r="DF142" s="45">
        <f t="shared" si="1976"/>
        <v>33195544</v>
      </c>
    </row>
    <row r="143" spans="1:111" s="40" customFormat="1" ht="12">
      <c r="A143" s="505"/>
      <c r="B143" s="518"/>
      <c r="C143" s="450"/>
      <c r="D143" s="451"/>
      <c r="E143" s="452"/>
      <c r="F143" s="446"/>
      <c r="G143" s="446"/>
      <c r="H143" s="447"/>
      <c r="I143" s="41"/>
      <c r="J143" s="42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  <c r="CO143" s="44"/>
      <c r="CP143" s="44"/>
      <c r="CQ143" s="44"/>
      <c r="CR143" s="44"/>
      <c r="CS143" s="44"/>
      <c r="CT143" s="44"/>
      <c r="CU143" s="44"/>
      <c r="CV143" s="44"/>
      <c r="CW143" s="44"/>
      <c r="CX143" s="44"/>
      <c r="CY143" s="44"/>
      <c r="CZ143" s="44"/>
      <c r="DA143" s="44"/>
      <c r="DB143" s="44"/>
      <c r="DC143" s="44"/>
      <c r="DD143" s="44"/>
      <c r="DE143" s="44"/>
      <c r="DF143" s="45">
        <f t="shared" si="1976"/>
        <v>0</v>
      </c>
    </row>
    <row r="144" spans="1:111" s="40" customFormat="1" ht="12" customHeight="1">
      <c r="A144" s="504">
        <v>72</v>
      </c>
      <c r="B144" s="518" t="s">
        <v>164</v>
      </c>
      <c r="C144" s="450" t="s">
        <v>15</v>
      </c>
      <c r="D144" s="451" t="s">
        <v>479</v>
      </c>
      <c r="E144" s="452" t="s">
        <v>459</v>
      </c>
      <c r="F144" s="446">
        <v>374.5</v>
      </c>
      <c r="G144" s="446">
        <f>AVERAGE(12,13,14)</f>
        <v>13</v>
      </c>
      <c r="H144" s="447">
        <f>F144*G144*365</f>
        <v>1777002.5</v>
      </c>
      <c r="I144" s="41">
        <v>451085.25</v>
      </c>
      <c r="J144" s="42">
        <f t="shared" ref="J144:O144" si="2128">K144</f>
        <v>444251</v>
      </c>
      <c r="K144" s="44">
        <f t="shared" si="2128"/>
        <v>444251</v>
      </c>
      <c r="L144" s="44">
        <f t="shared" si="2128"/>
        <v>444251</v>
      </c>
      <c r="M144" s="44">
        <f t="shared" si="2128"/>
        <v>444251</v>
      </c>
      <c r="N144" s="44">
        <f t="shared" si="2128"/>
        <v>444251</v>
      </c>
      <c r="O144" s="44">
        <f t="shared" si="2128"/>
        <v>444251</v>
      </c>
      <c r="P144" s="44">
        <f>ROUND(13*F144*365/4,0)</f>
        <v>444251</v>
      </c>
      <c r="Q144" s="44">
        <f t="shared" ref="Q144:W144" si="2129">R144</f>
        <v>478424</v>
      </c>
      <c r="R144" s="44">
        <f t="shared" si="2129"/>
        <v>478424</v>
      </c>
      <c r="S144" s="44">
        <f t="shared" si="2129"/>
        <v>478424</v>
      </c>
      <c r="T144" s="44">
        <f t="shared" si="2129"/>
        <v>478424</v>
      </c>
      <c r="U144" s="44">
        <f t="shared" si="2129"/>
        <v>478424</v>
      </c>
      <c r="V144" s="44">
        <f t="shared" si="2129"/>
        <v>478424</v>
      </c>
      <c r="W144" s="44">
        <f t="shared" si="2129"/>
        <v>478424</v>
      </c>
      <c r="X144" s="43">
        <f>ROUND(14*365*F144/4,0)</f>
        <v>478424</v>
      </c>
      <c r="Y144" s="44">
        <f>X144</f>
        <v>478424</v>
      </c>
      <c r="Z144" s="44">
        <f>ROUND(Y144*(1+取值表!$D$10)*取值表!$H$10,0)</f>
        <v>481356</v>
      </c>
      <c r="AA144" s="44">
        <f>Z144</f>
        <v>481356</v>
      </c>
      <c r="AB144" s="44">
        <f>AA144</f>
        <v>481356</v>
      </c>
      <c r="AC144" s="44">
        <f>AB144</f>
        <v>481356</v>
      </c>
      <c r="AD144" s="44">
        <f>ROUND(AC144*(1+取值表!$D$10)*取值表!$H$10,0)</f>
        <v>484306</v>
      </c>
      <c r="AE144" s="44">
        <f t="shared" ref="AE144:AG144" si="2130">AD144</f>
        <v>484306</v>
      </c>
      <c r="AF144" s="44">
        <f t="shared" si="2130"/>
        <v>484306</v>
      </c>
      <c r="AG144" s="44">
        <f t="shared" si="2130"/>
        <v>484306</v>
      </c>
      <c r="AH144" s="44">
        <f>ROUND(AG144*(1+取值表!$D$10)*取值表!$H$10,0)</f>
        <v>487274</v>
      </c>
      <c r="AI144" s="44">
        <f t="shared" ref="AI144:AK144" si="2131">AH144</f>
        <v>487274</v>
      </c>
      <c r="AJ144" s="44">
        <f t="shared" si="2131"/>
        <v>487274</v>
      </c>
      <c r="AK144" s="44">
        <f t="shared" si="2131"/>
        <v>487274</v>
      </c>
      <c r="AL144" s="44">
        <f>ROUND(AK144*(1+取值表!$D$10)*取值表!$H$10,0)</f>
        <v>490261</v>
      </c>
      <c r="AM144" s="44">
        <f t="shared" ref="AM144:AO144" si="2132">AL144</f>
        <v>490261</v>
      </c>
      <c r="AN144" s="44">
        <f t="shared" si="2132"/>
        <v>490261</v>
      </c>
      <c r="AO144" s="44">
        <f t="shared" si="2132"/>
        <v>490261</v>
      </c>
      <c r="AP144" s="44">
        <f>ROUND(AO144*(1+取值表!$D$10)*取值表!$H$10,0)</f>
        <v>493266</v>
      </c>
      <c r="AQ144" s="44">
        <f t="shared" ref="AQ144:AS144" si="2133">AP144</f>
        <v>493266</v>
      </c>
      <c r="AR144" s="44">
        <f t="shared" si="2133"/>
        <v>493266</v>
      </c>
      <c r="AS144" s="44">
        <f t="shared" si="2133"/>
        <v>493266</v>
      </c>
      <c r="AT144" s="44">
        <f>ROUND(AS144*(1+取值表!$D$10)*取值表!$H$10,0)</f>
        <v>496289</v>
      </c>
      <c r="AU144" s="44">
        <f t="shared" ref="AU144:AW144" si="2134">AT144</f>
        <v>496289</v>
      </c>
      <c r="AV144" s="44">
        <f t="shared" si="2134"/>
        <v>496289</v>
      </c>
      <c r="AW144" s="44">
        <f t="shared" si="2134"/>
        <v>496289</v>
      </c>
      <c r="AX144" s="44">
        <f>ROUND(AW144*(1+取值表!$D$10)*取值表!$H$10,0)</f>
        <v>499331</v>
      </c>
      <c r="AY144" s="44">
        <f t="shared" ref="AY144:BA144" si="2135">AX144</f>
        <v>499331</v>
      </c>
      <c r="AZ144" s="44">
        <f t="shared" si="2135"/>
        <v>499331</v>
      </c>
      <c r="BA144" s="44">
        <f t="shared" si="2135"/>
        <v>499331</v>
      </c>
      <c r="BB144" s="44">
        <f>ROUND(BA144*(1+取值表!$D$10)*取值表!$H$10,0)</f>
        <v>502391</v>
      </c>
      <c r="BC144" s="44">
        <f t="shared" ref="BC144:BE144" si="2136">BB144</f>
        <v>502391</v>
      </c>
      <c r="BD144" s="44">
        <f t="shared" si="2136"/>
        <v>502391</v>
      </c>
      <c r="BE144" s="44">
        <f t="shared" si="2136"/>
        <v>502391</v>
      </c>
      <c r="BF144" s="44">
        <f>ROUND(BE144*(1+取值表!$D$10)*取值表!$H$10,0)</f>
        <v>505470</v>
      </c>
      <c r="BG144" s="44">
        <f t="shared" ref="BG144:BI144" si="2137">BF144</f>
        <v>505470</v>
      </c>
      <c r="BH144" s="44">
        <f t="shared" si="2137"/>
        <v>505470</v>
      </c>
      <c r="BI144" s="44">
        <f t="shared" si="2137"/>
        <v>505470</v>
      </c>
      <c r="BJ144" s="44">
        <f>ROUND(BI144*(1+取值表!$D$10)*取值表!$H$10,0)</f>
        <v>508568</v>
      </c>
      <c r="BK144" s="44">
        <f t="shared" ref="BK144:BM144" si="2138">BJ144</f>
        <v>508568</v>
      </c>
      <c r="BL144" s="44">
        <f t="shared" si="2138"/>
        <v>508568</v>
      </c>
      <c r="BM144" s="44">
        <f t="shared" si="2138"/>
        <v>508568</v>
      </c>
      <c r="BN144" s="44">
        <f>ROUND(BM144*(1+取值表!$D$10)*取值表!$H$10,0)</f>
        <v>511685</v>
      </c>
      <c r="BO144" s="44">
        <f t="shared" ref="BO144:BQ144" si="2139">BN144</f>
        <v>511685</v>
      </c>
      <c r="BP144" s="44">
        <f t="shared" si="2139"/>
        <v>511685</v>
      </c>
      <c r="BQ144" s="44">
        <f t="shared" si="2139"/>
        <v>511685</v>
      </c>
      <c r="BR144" s="44">
        <f>ROUND(BQ144*(1+取值表!$D$10)*取值表!$H$10,0)</f>
        <v>514821</v>
      </c>
      <c r="BS144" s="44">
        <f t="shared" ref="BS144:BU144" si="2140">BR144</f>
        <v>514821</v>
      </c>
      <c r="BT144" s="44">
        <f t="shared" si="2140"/>
        <v>514821</v>
      </c>
      <c r="BU144" s="44">
        <f t="shared" si="2140"/>
        <v>514821</v>
      </c>
      <c r="BV144" s="44">
        <f>ROUND(BU144*(1+取值表!$D$10)*取值表!$H$10,0)</f>
        <v>517976</v>
      </c>
      <c r="BW144" s="44">
        <f t="shared" ref="BW144:BY144" si="2141">BV144</f>
        <v>517976</v>
      </c>
      <c r="BX144" s="44">
        <f t="shared" si="2141"/>
        <v>517976</v>
      </c>
      <c r="BY144" s="44">
        <f t="shared" si="2141"/>
        <v>517976</v>
      </c>
      <c r="BZ144" s="44">
        <f>ROUND(BY144*(1+取值表!$D$10)*取值表!$H$10,0)</f>
        <v>521151</v>
      </c>
      <c r="CA144" s="44">
        <f t="shared" ref="CA144:CC144" si="2142">BZ144</f>
        <v>521151</v>
      </c>
      <c r="CB144" s="44">
        <f t="shared" si="2142"/>
        <v>521151</v>
      </c>
      <c r="CC144" s="44">
        <f t="shared" si="2142"/>
        <v>521151</v>
      </c>
      <c r="CD144" s="44">
        <f>ROUND(CC144*(1+取值表!$D$10)*取值表!$H$10,0)</f>
        <v>524345</v>
      </c>
      <c r="CE144" s="44">
        <f t="shared" ref="CE144:CG144" si="2143">CD144</f>
        <v>524345</v>
      </c>
      <c r="CF144" s="44">
        <f t="shared" si="2143"/>
        <v>524345</v>
      </c>
      <c r="CG144" s="44">
        <f t="shared" si="2143"/>
        <v>524345</v>
      </c>
      <c r="CH144" s="44">
        <f>ROUND(CG144*(1+取值表!$D$10)*取值表!$H$10,0)</f>
        <v>527559</v>
      </c>
      <c r="CI144" s="44">
        <f t="shared" ref="CI144:CK144" si="2144">CH144</f>
        <v>527559</v>
      </c>
      <c r="CJ144" s="44">
        <f t="shared" si="2144"/>
        <v>527559</v>
      </c>
      <c r="CK144" s="44">
        <f t="shared" si="2144"/>
        <v>527559</v>
      </c>
      <c r="CL144" s="44">
        <f>ROUND(CK144*(1+取值表!$D$10)*取值表!$H$10,0)</f>
        <v>530792</v>
      </c>
      <c r="CM144" s="44">
        <f t="shared" ref="CM144:CO144" si="2145">CL144</f>
        <v>530792</v>
      </c>
      <c r="CN144" s="44">
        <f t="shared" si="2145"/>
        <v>530792</v>
      </c>
      <c r="CO144" s="44">
        <f t="shared" si="2145"/>
        <v>530792</v>
      </c>
      <c r="CP144" s="44">
        <f>ROUND(CO144*(1+取值表!$D$10)*取值表!$H$10,0)</f>
        <v>534045</v>
      </c>
      <c r="CQ144" s="44">
        <f t="shared" ref="CQ144" si="2146">CP144</f>
        <v>534045</v>
      </c>
      <c r="CR144" s="44">
        <f t="shared" ref="CR144" si="2147">CQ144</f>
        <v>534045</v>
      </c>
      <c r="CS144" s="44">
        <f t="shared" ref="CS144" si="2148">CR144</f>
        <v>534045</v>
      </c>
      <c r="CT144" s="44">
        <f>ROUND(CS144*(1+取值表!$D$10)*取值表!$H$10,0)</f>
        <v>537318</v>
      </c>
      <c r="CU144" s="44">
        <f t="shared" ref="CU144" si="2149">CT144</f>
        <v>537318</v>
      </c>
      <c r="CV144" s="44">
        <f t="shared" ref="CV144" si="2150">CU144</f>
        <v>537318</v>
      </c>
      <c r="CW144" s="44">
        <f t="shared" ref="CW144" si="2151">CV144</f>
        <v>537318</v>
      </c>
      <c r="CX144" s="44">
        <f>ROUND(CW144*(1+取值表!$D$10)*取值表!$H$10,0)</f>
        <v>540611</v>
      </c>
      <c r="CY144" s="44">
        <f t="shared" ref="CY144" si="2152">CX144</f>
        <v>540611</v>
      </c>
      <c r="CZ144" s="44">
        <f t="shared" ref="CZ144" si="2153">CY144</f>
        <v>540611</v>
      </c>
      <c r="DA144" s="44">
        <f t="shared" ref="DA144" si="2154">CZ144</f>
        <v>540611</v>
      </c>
      <c r="DB144" s="44">
        <f>ROUND(DA144*(1+取值表!$D$10)*取值表!$H$10,0)</f>
        <v>543924</v>
      </c>
      <c r="DC144" s="44">
        <f t="shared" ref="DC144" si="2155">DB144</f>
        <v>543924</v>
      </c>
      <c r="DD144" s="44">
        <f t="shared" ref="DD144" si="2156">DC144</f>
        <v>543924</v>
      </c>
      <c r="DE144" s="44">
        <f t="shared" ref="DE144" si="2157">DD144</f>
        <v>543924</v>
      </c>
      <c r="DF144" s="45">
        <f t="shared" si="1976"/>
        <v>50426529</v>
      </c>
    </row>
    <row r="145" spans="1:110" s="40" customFormat="1" ht="12">
      <c r="A145" s="505"/>
      <c r="B145" s="518"/>
      <c r="C145" s="450"/>
      <c r="D145" s="451"/>
      <c r="E145" s="452"/>
      <c r="F145" s="446"/>
      <c r="G145" s="446"/>
      <c r="H145" s="447"/>
      <c r="I145" s="41"/>
      <c r="J145" s="42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5">
        <f t="shared" si="1976"/>
        <v>0</v>
      </c>
    </row>
    <row r="146" spans="1:110" s="40" customFormat="1" ht="12" customHeight="1">
      <c r="A146" s="504">
        <v>73</v>
      </c>
      <c r="B146" s="518" t="s">
        <v>165</v>
      </c>
      <c r="C146" s="450" t="s">
        <v>166</v>
      </c>
      <c r="D146" s="451" t="s">
        <v>167</v>
      </c>
      <c r="E146" s="452" t="s">
        <v>459</v>
      </c>
      <c r="F146" s="446">
        <v>424</v>
      </c>
      <c r="G146" s="446">
        <f>AVERAGE(13.5,14,14.5)</f>
        <v>14</v>
      </c>
      <c r="H146" s="447">
        <f>F146*G146*365</f>
        <v>2166640</v>
      </c>
      <c r="I146" s="41">
        <v>531987.5</v>
      </c>
      <c r="J146" s="42">
        <f>K146</f>
        <v>522315</v>
      </c>
      <c r="K146" s="44">
        <f>ROUND(13.5*365*F146/4,0)</f>
        <v>522315</v>
      </c>
      <c r="L146" s="44">
        <f>M146</f>
        <v>541660</v>
      </c>
      <c r="M146" s="44">
        <f>N146</f>
        <v>541660</v>
      </c>
      <c r="N146" s="44">
        <f>O146</f>
        <v>541660</v>
      </c>
      <c r="O146" s="44">
        <f>ROUND(14*365*F146/4,0)</f>
        <v>541660</v>
      </c>
      <c r="P146" s="44">
        <f>Q146</f>
        <v>561005</v>
      </c>
      <c r="Q146" s="44">
        <f>R146</f>
        <v>561005</v>
      </c>
      <c r="R146" s="44">
        <f>S146</f>
        <v>561005</v>
      </c>
      <c r="S146" s="43">
        <f>ROUND(14.5*365*F146/4,0)</f>
        <v>561005</v>
      </c>
      <c r="T146" s="44">
        <f>S146</f>
        <v>561005</v>
      </c>
      <c r="U146" s="44">
        <f>T146</f>
        <v>561005</v>
      </c>
      <c r="V146" s="44">
        <f>ROUND(U146*(1+取值表!$D$10)*取值表!$H$10,0)</f>
        <v>564443</v>
      </c>
      <c r="W146" s="44">
        <f>V146</f>
        <v>564443</v>
      </c>
      <c r="X146" s="44">
        <f>W146</f>
        <v>564443</v>
      </c>
      <c r="Y146" s="44">
        <f>X146</f>
        <v>564443</v>
      </c>
      <c r="Z146" s="44">
        <f>ROUND(Y146*(1+取值表!$D$10)*取值表!$H$10,0)</f>
        <v>567903</v>
      </c>
      <c r="AA146" s="44">
        <f t="shared" ref="AA146:AC146" si="2158">Z146</f>
        <v>567903</v>
      </c>
      <c r="AB146" s="44">
        <f t="shared" si="2158"/>
        <v>567903</v>
      </c>
      <c r="AC146" s="44">
        <f t="shared" si="2158"/>
        <v>567903</v>
      </c>
      <c r="AD146" s="44">
        <f>ROUND(AC146*(1+取值表!$D$10)*取值表!$H$10,0)</f>
        <v>571384</v>
      </c>
      <c r="AE146" s="44">
        <f t="shared" ref="AE146:AG146" si="2159">AD146</f>
        <v>571384</v>
      </c>
      <c r="AF146" s="44">
        <f t="shared" si="2159"/>
        <v>571384</v>
      </c>
      <c r="AG146" s="44">
        <f t="shared" si="2159"/>
        <v>571384</v>
      </c>
      <c r="AH146" s="44">
        <f>ROUND(AG146*(1+取值表!$D$10)*取值表!$H$10,0)</f>
        <v>574886</v>
      </c>
      <c r="AI146" s="44">
        <f t="shared" ref="AI146:AK146" si="2160">AH146</f>
        <v>574886</v>
      </c>
      <c r="AJ146" s="44">
        <f t="shared" si="2160"/>
        <v>574886</v>
      </c>
      <c r="AK146" s="44">
        <f t="shared" si="2160"/>
        <v>574886</v>
      </c>
      <c r="AL146" s="44">
        <f>ROUND(AK146*(1+取值表!$D$10)*取值表!$H$10,0)</f>
        <v>578410</v>
      </c>
      <c r="AM146" s="44">
        <f t="shared" ref="AM146:AO146" si="2161">AL146</f>
        <v>578410</v>
      </c>
      <c r="AN146" s="44">
        <f t="shared" si="2161"/>
        <v>578410</v>
      </c>
      <c r="AO146" s="44">
        <f t="shared" si="2161"/>
        <v>578410</v>
      </c>
      <c r="AP146" s="44">
        <f>ROUND(AO146*(1+取值表!$D$10)*取值表!$H$10,0)</f>
        <v>581955</v>
      </c>
      <c r="AQ146" s="44">
        <f t="shared" ref="AQ146:AS146" si="2162">AP146</f>
        <v>581955</v>
      </c>
      <c r="AR146" s="44">
        <f t="shared" si="2162"/>
        <v>581955</v>
      </c>
      <c r="AS146" s="44">
        <f t="shared" si="2162"/>
        <v>581955</v>
      </c>
      <c r="AT146" s="44">
        <f>ROUND(AS146*(1+取值表!$D$10)*取值表!$H$10,0)</f>
        <v>585522</v>
      </c>
      <c r="AU146" s="44">
        <f t="shared" ref="AU146:AW146" si="2163">AT146</f>
        <v>585522</v>
      </c>
      <c r="AV146" s="44">
        <f t="shared" si="2163"/>
        <v>585522</v>
      </c>
      <c r="AW146" s="44">
        <f t="shared" si="2163"/>
        <v>585522</v>
      </c>
      <c r="AX146" s="44">
        <f>ROUND(AW146*(1+取值表!$D$10)*取值表!$H$10,0)</f>
        <v>589111</v>
      </c>
      <c r="AY146" s="44">
        <f t="shared" ref="AY146:BA146" si="2164">AX146</f>
        <v>589111</v>
      </c>
      <c r="AZ146" s="44">
        <f t="shared" si="2164"/>
        <v>589111</v>
      </c>
      <c r="BA146" s="44">
        <f t="shared" si="2164"/>
        <v>589111</v>
      </c>
      <c r="BB146" s="44">
        <f>ROUND(BA146*(1+取值表!$D$10)*取值表!$H$10,0)</f>
        <v>592722</v>
      </c>
      <c r="BC146" s="44">
        <f t="shared" ref="BC146:BE146" si="2165">BB146</f>
        <v>592722</v>
      </c>
      <c r="BD146" s="44">
        <f t="shared" si="2165"/>
        <v>592722</v>
      </c>
      <c r="BE146" s="44">
        <f t="shared" si="2165"/>
        <v>592722</v>
      </c>
      <c r="BF146" s="44">
        <f>ROUND(BE146*(1+取值表!$D$10)*取值表!$H$10,0)</f>
        <v>596355</v>
      </c>
      <c r="BG146" s="44">
        <f t="shared" ref="BG146:BI146" si="2166">BF146</f>
        <v>596355</v>
      </c>
      <c r="BH146" s="44">
        <f t="shared" si="2166"/>
        <v>596355</v>
      </c>
      <c r="BI146" s="44">
        <f t="shared" si="2166"/>
        <v>596355</v>
      </c>
      <c r="BJ146" s="44">
        <f>ROUND(BI146*(1+取值表!$D$10)*取值表!$H$10,0)</f>
        <v>600010</v>
      </c>
      <c r="BK146" s="44">
        <f t="shared" ref="BK146:BM146" si="2167">BJ146</f>
        <v>600010</v>
      </c>
      <c r="BL146" s="44">
        <f t="shared" si="2167"/>
        <v>600010</v>
      </c>
      <c r="BM146" s="44">
        <f t="shared" si="2167"/>
        <v>600010</v>
      </c>
      <c r="BN146" s="44">
        <f>ROUND(BM146*(1+取值表!$D$10)*取值表!$H$10,0)</f>
        <v>603688</v>
      </c>
      <c r="BO146" s="44">
        <f t="shared" ref="BO146:BQ146" si="2168">BN146</f>
        <v>603688</v>
      </c>
      <c r="BP146" s="44">
        <f t="shared" si="2168"/>
        <v>603688</v>
      </c>
      <c r="BQ146" s="44">
        <f t="shared" si="2168"/>
        <v>603688</v>
      </c>
      <c r="BR146" s="44">
        <f>ROUND(BQ146*(1+取值表!$D$10)*取值表!$H$10,0)</f>
        <v>607388</v>
      </c>
      <c r="BS146" s="44">
        <f t="shared" ref="BS146:BU146" si="2169">BR146</f>
        <v>607388</v>
      </c>
      <c r="BT146" s="44">
        <f t="shared" si="2169"/>
        <v>607388</v>
      </c>
      <c r="BU146" s="44">
        <f t="shared" si="2169"/>
        <v>607388</v>
      </c>
      <c r="BV146" s="44">
        <f>ROUND(BU146*(1+取值表!$D$10)*取值表!$H$10,0)</f>
        <v>611111</v>
      </c>
      <c r="BW146" s="44">
        <f t="shared" ref="BW146:BY146" si="2170">BV146</f>
        <v>611111</v>
      </c>
      <c r="BX146" s="44">
        <f t="shared" si="2170"/>
        <v>611111</v>
      </c>
      <c r="BY146" s="44">
        <f t="shared" si="2170"/>
        <v>611111</v>
      </c>
      <c r="BZ146" s="44">
        <f>ROUND(BY146*(1+取值表!$D$10)*取值表!$H$10,0)</f>
        <v>614857</v>
      </c>
      <c r="CA146" s="44">
        <f t="shared" ref="CA146:CC146" si="2171">BZ146</f>
        <v>614857</v>
      </c>
      <c r="CB146" s="44">
        <f t="shared" si="2171"/>
        <v>614857</v>
      </c>
      <c r="CC146" s="44">
        <f t="shared" si="2171"/>
        <v>614857</v>
      </c>
      <c r="CD146" s="44">
        <f>ROUND(CC146*(1+取值表!$D$10)*取值表!$H$10,0)</f>
        <v>618626</v>
      </c>
      <c r="CE146" s="44">
        <f t="shared" ref="CE146:CG146" si="2172">CD146</f>
        <v>618626</v>
      </c>
      <c r="CF146" s="44">
        <f t="shared" si="2172"/>
        <v>618626</v>
      </c>
      <c r="CG146" s="44">
        <f t="shared" si="2172"/>
        <v>618626</v>
      </c>
      <c r="CH146" s="44">
        <f>ROUND(CG146*(1+取值表!$D$10)*取值表!$H$10,0)</f>
        <v>622418</v>
      </c>
      <c r="CI146" s="44">
        <f t="shared" ref="CI146:CK146" si="2173">CH146</f>
        <v>622418</v>
      </c>
      <c r="CJ146" s="44">
        <f t="shared" si="2173"/>
        <v>622418</v>
      </c>
      <c r="CK146" s="44">
        <f t="shared" si="2173"/>
        <v>622418</v>
      </c>
      <c r="CL146" s="44">
        <f>ROUND(CK146*(1+取值表!$D$10)*取值表!$H$10,0)</f>
        <v>626233</v>
      </c>
      <c r="CM146" s="44">
        <f t="shared" ref="CM146:CN146" si="2174">CL146</f>
        <v>626233</v>
      </c>
      <c r="CN146" s="44">
        <f t="shared" si="2174"/>
        <v>626233</v>
      </c>
      <c r="CO146" s="44">
        <f>CN146</f>
        <v>626233</v>
      </c>
      <c r="CP146" s="44">
        <f>ROUND(CO146*(1+取值表!$D$10)*取值表!$H$10,0)</f>
        <v>630071</v>
      </c>
      <c r="CQ146" s="44">
        <f t="shared" ref="CQ146" si="2175">CP146</f>
        <v>630071</v>
      </c>
      <c r="CR146" s="44">
        <f t="shared" ref="CR146:CS146" si="2176">CQ146</f>
        <v>630071</v>
      </c>
      <c r="CS146" s="44">
        <f t="shared" si="2176"/>
        <v>630071</v>
      </c>
      <c r="CT146" s="44">
        <f>ROUND(CS146*(1+取值表!$D$10)*取值表!$H$10,0)</f>
        <v>633933</v>
      </c>
      <c r="CU146" s="44">
        <f t="shared" ref="CU146" si="2177">CT146</f>
        <v>633933</v>
      </c>
      <c r="CV146" s="44">
        <f t="shared" ref="CV146:CW146" si="2178">CU146</f>
        <v>633933</v>
      </c>
      <c r="CW146" s="44">
        <f t="shared" si="2178"/>
        <v>633933</v>
      </c>
      <c r="CX146" s="44">
        <f>ROUND(CW146*(1+取值表!$D$10)*取值表!$H$10,0)</f>
        <v>637818</v>
      </c>
      <c r="CY146" s="44">
        <f t="shared" ref="CY146" si="2179">CX146</f>
        <v>637818</v>
      </c>
      <c r="CZ146" s="44">
        <f t="shared" ref="CZ146:DA146" si="2180">CY146</f>
        <v>637818</v>
      </c>
      <c r="DA146" s="44">
        <f t="shared" si="2180"/>
        <v>637818</v>
      </c>
      <c r="DB146" s="44">
        <f>ROUND(DA146*(1+取值表!$D$10)*取值表!$H$10,0)</f>
        <v>641727</v>
      </c>
      <c r="DC146" s="44">
        <f t="shared" ref="DC146" si="2181">DB146</f>
        <v>641727</v>
      </c>
      <c r="DD146" s="44">
        <f t="shared" ref="DD146" si="2182">DC146</f>
        <v>641727</v>
      </c>
      <c r="DE146" s="44">
        <f t="shared" ref="DE146" si="2183">DD146</f>
        <v>641727</v>
      </c>
      <c r="DF146" s="45">
        <f t="shared" si="1976"/>
        <v>59579584</v>
      </c>
    </row>
    <row r="147" spans="1:110" s="40" customFormat="1" ht="12">
      <c r="A147" s="505"/>
      <c r="B147" s="518"/>
      <c r="C147" s="450"/>
      <c r="D147" s="451"/>
      <c r="E147" s="452"/>
      <c r="F147" s="446"/>
      <c r="G147" s="446"/>
      <c r="H147" s="447"/>
      <c r="I147" s="41">
        <v>0</v>
      </c>
      <c r="J147" s="42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5">
        <f t="shared" si="1976"/>
        <v>0</v>
      </c>
    </row>
    <row r="148" spans="1:110" s="40" customFormat="1" ht="12" customHeight="1">
      <c r="A148" s="504">
        <v>74</v>
      </c>
      <c r="B148" s="518" t="s">
        <v>168</v>
      </c>
      <c r="C148" s="450" t="s">
        <v>30</v>
      </c>
      <c r="D148" s="451" t="s">
        <v>480</v>
      </c>
      <c r="E148" s="452" t="s">
        <v>459</v>
      </c>
      <c r="F148" s="446">
        <v>447</v>
      </c>
      <c r="G148" s="446">
        <f>AVERAGE(11,12,13)</f>
        <v>12</v>
      </c>
      <c r="H148" s="447">
        <f>F148*G148*365</f>
        <v>1957860</v>
      </c>
      <c r="I148" s="41">
        <v>489465</v>
      </c>
      <c r="J148" s="42">
        <f>K148</f>
        <v>448676</v>
      </c>
      <c r="K148" s="44">
        <f>ROUND(11*365*F148/4,0)</f>
        <v>448676</v>
      </c>
      <c r="L148" s="44">
        <f>M148</f>
        <v>489465</v>
      </c>
      <c r="M148" s="44">
        <f>N148</f>
        <v>489465</v>
      </c>
      <c r="N148" s="44">
        <f>O148</f>
        <v>489465</v>
      </c>
      <c r="O148" s="44">
        <f>ROUND(12*365*F148/4,0)</f>
        <v>489465</v>
      </c>
      <c r="P148" s="44">
        <f>Q148</f>
        <v>530254</v>
      </c>
      <c r="Q148" s="44">
        <f>R148</f>
        <v>530254</v>
      </c>
      <c r="R148" s="44">
        <f>S148</f>
        <v>530254</v>
      </c>
      <c r="S148" s="43">
        <f>ROUND(13*365*F148/4,0)</f>
        <v>530254</v>
      </c>
      <c r="T148" s="44">
        <f>S148</f>
        <v>530254</v>
      </c>
      <c r="U148" s="44">
        <f>T148</f>
        <v>530254</v>
      </c>
      <c r="V148" s="44">
        <f>ROUND(U148*(1+取值表!$D$10)*取值表!$H$10,0)</f>
        <v>533504</v>
      </c>
      <c r="W148" s="44">
        <f>V148</f>
        <v>533504</v>
      </c>
      <c r="X148" s="44">
        <f>W148</f>
        <v>533504</v>
      </c>
      <c r="Y148" s="44">
        <f>X148</f>
        <v>533504</v>
      </c>
      <c r="Z148" s="44">
        <f>ROUND(Y148*(1+取值表!$D$10)*取值表!$H$10,0)</f>
        <v>536774</v>
      </c>
      <c r="AA148" s="44">
        <f t="shared" ref="AA148:AC148" si="2184">Z148</f>
        <v>536774</v>
      </c>
      <c r="AB148" s="44">
        <f t="shared" si="2184"/>
        <v>536774</v>
      </c>
      <c r="AC148" s="44">
        <f t="shared" si="2184"/>
        <v>536774</v>
      </c>
      <c r="AD148" s="44">
        <f>ROUND(AC148*(1+取值表!$D$10)*取值表!$H$10,0)</f>
        <v>540064</v>
      </c>
      <c r="AE148" s="44">
        <f t="shared" ref="AE148:AG148" si="2185">AD148</f>
        <v>540064</v>
      </c>
      <c r="AF148" s="44">
        <f t="shared" si="2185"/>
        <v>540064</v>
      </c>
      <c r="AG148" s="44">
        <f t="shared" si="2185"/>
        <v>540064</v>
      </c>
      <c r="AH148" s="44">
        <f>ROUND(AG148*(1+取值表!$D$10)*取值表!$H$10,0)</f>
        <v>543374</v>
      </c>
      <c r="AI148" s="44">
        <f t="shared" ref="AI148:AK148" si="2186">AH148</f>
        <v>543374</v>
      </c>
      <c r="AJ148" s="44">
        <f t="shared" si="2186"/>
        <v>543374</v>
      </c>
      <c r="AK148" s="44">
        <f t="shared" si="2186"/>
        <v>543374</v>
      </c>
      <c r="AL148" s="44">
        <f>ROUND(AK148*(1+取值表!$D$10)*取值表!$H$10,0)</f>
        <v>546704</v>
      </c>
      <c r="AM148" s="44">
        <f t="shared" ref="AM148:AO148" si="2187">AL148</f>
        <v>546704</v>
      </c>
      <c r="AN148" s="44">
        <f t="shared" si="2187"/>
        <v>546704</v>
      </c>
      <c r="AO148" s="44">
        <f t="shared" si="2187"/>
        <v>546704</v>
      </c>
      <c r="AP148" s="44">
        <f>ROUND(AO148*(1+取值表!$D$10)*取值表!$H$10,0)</f>
        <v>550055</v>
      </c>
      <c r="AQ148" s="44">
        <f t="shared" ref="AQ148:AS148" si="2188">AP148</f>
        <v>550055</v>
      </c>
      <c r="AR148" s="44">
        <f t="shared" si="2188"/>
        <v>550055</v>
      </c>
      <c r="AS148" s="44">
        <f t="shared" si="2188"/>
        <v>550055</v>
      </c>
      <c r="AT148" s="44">
        <f>ROUND(AS148*(1+取值表!$D$10)*取值表!$H$10,0)</f>
        <v>553426</v>
      </c>
      <c r="AU148" s="44">
        <f t="shared" ref="AU148:AW148" si="2189">AT148</f>
        <v>553426</v>
      </c>
      <c r="AV148" s="44">
        <f t="shared" si="2189"/>
        <v>553426</v>
      </c>
      <c r="AW148" s="44">
        <f t="shared" si="2189"/>
        <v>553426</v>
      </c>
      <c r="AX148" s="44">
        <f>ROUND(AW148*(1+取值表!$D$10)*取值表!$H$10,0)</f>
        <v>556818</v>
      </c>
      <c r="AY148" s="44">
        <f t="shared" ref="AY148:BA148" si="2190">AX148</f>
        <v>556818</v>
      </c>
      <c r="AZ148" s="44">
        <f t="shared" si="2190"/>
        <v>556818</v>
      </c>
      <c r="BA148" s="44">
        <f t="shared" si="2190"/>
        <v>556818</v>
      </c>
      <c r="BB148" s="44">
        <f>ROUND(BA148*(1+取值表!$D$10)*取值表!$H$10,0)</f>
        <v>560231</v>
      </c>
      <c r="BC148" s="44">
        <f t="shared" ref="BC148:BE148" si="2191">BB148</f>
        <v>560231</v>
      </c>
      <c r="BD148" s="44">
        <f t="shared" si="2191"/>
        <v>560231</v>
      </c>
      <c r="BE148" s="44">
        <f t="shared" si="2191"/>
        <v>560231</v>
      </c>
      <c r="BF148" s="44">
        <f>ROUND(BE148*(1+取值表!$D$10)*取值表!$H$10,0)</f>
        <v>563665</v>
      </c>
      <c r="BG148" s="44">
        <f t="shared" ref="BG148:BI148" si="2192">BF148</f>
        <v>563665</v>
      </c>
      <c r="BH148" s="44">
        <f t="shared" si="2192"/>
        <v>563665</v>
      </c>
      <c r="BI148" s="44">
        <f t="shared" si="2192"/>
        <v>563665</v>
      </c>
      <c r="BJ148" s="44">
        <f>ROUND(BI148*(1+取值表!$D$10)*取值表!$H$10,0)</f>
        <v>567120</v>
      </c>
      <c r="BK148" s="44">
        <f t="shared" ref="BK148:BM148" si="2193">BJ148</f>
        <v>567120</v>
      </c>
      <c r="BL148" s="44">
        <f t="shared" si="2193"/>
        <v>567120</v>
      </c>
      <c r="BM148" s="44">
        <f t="shared" si="2193"/>
        <v>567120</v>
      </c>
      <c r="BN148" s="44">
        <f>ROUND(BM148*(1+取值表!$D$10)*取值表!$H$10,0)</f>
        <v>570596</v>
      </c>
      <c r="BO148" s="44">
        <f t="shared" ref="BO148:BQ148" si="2194">BN148</f>
        <v>570596</v>
      </c>
      <c r="BP148" s="44">
        <f t="shared" si="2194"/>
        <v>570596</v>
      </c>
      <c r="BQ148" s="44">
        <f t="shared" si="2194"/>
        <v>570596</v>
      </c>
      <c r="BR148" s="44">
        <f>ROUND(BQ148*(1+取值表!$D$10)*取值表!$H$10,0)</f>
        <v>574093</v>
      </c>
      <c r="BS148" s="44">
        <f t="shared" ref="BS148:BU148" si="2195">BR148</f>
        <v>574093</v>
      </c>
      <c r="BT148" s="44">
        <f t="shared" si="2195"/>
        <v>574093</v>
      </c>
      <c r="BU148" s="44">
        <f t="shared" si="2195"/>
        <v>574093</v>
      </c>
      <c r="BV148" s="44">
        <f>ROUND(BU148*(1+取值表!$D$10)*取值表!$H$10,0)</f>
        <v>577612</v>
      </c>
      <c r="BW148" s="44">
        <f t="shared" ref="BW148:BY148" si="2196">BV148</f>
        <v>577612</v>
      </c>
      <c r="BX148" s="44">
        <f t="shared" si="2196"/>
        <v>577612</v>
      </c>
      <c r="BY148" s="44">
        <f t="shared" si="2196"/>
        <v>577612</v>
      </c>
      <c r="BZ148" s="44">
        <f>ROUND(BY148*(1+取值表!$D$10)*取值表!$H$10,0)</f>
        <v>581152</v>
      </c>
      <c r="CA148" s="44">
        <f t="shared" ref="CA148:CC148" si="2197">BZ148</f>
        <v>581152</v>
      </c>
      <c r="CB148" s="44">
        <f t="shared" si="2197"/>
        <v>581152</v>
      </c>
      <c r="CC148" s="44">
        <f t="shared" si="2197"/>
        <v>581152</v>
      </c>
      <c r="CD148" s="44">
        <f>ROUND(CC148*(1+取值表!$D$10)*取值表!$H$10,0)</f>
        <v>584714</v>
      </c>
      <c r="CE148" s="44">
        <f t="shared" ref="CE148:CG148" si="2198">CD148</f>
        <v>584714</v>
      </c>
      <c r="CF148" s="44">
        <f t="shared" si="2198"/>
        <v>584714</v>
      </c>
      <c r="CG148" s="44">
        <f t="shared" si="2198"/>
        <v>584714</v>
      </c>
      <c r="CH148" s="44">
        <f>ROUND(CG148*(1+取值表!$D$10)*取值表!$H$10,0)</f>
        <v>588298</v>
      </c>
      <c r="CI148" s="44">
        <f t="shared" ref="CI148:CK148" si="2199">CH148</f>
        <v>588298</v>
      </c>
      <c r="CJ148" s="44">
        <f t="shared" si="2199"/>
        <v>588298</v>
      </c>
      <c r="CK148" s="44">
        <f t="shared" si="2199"/>
        <v>588298</v>
      </c>
      <c r="CL148" s="44">
        <f>ROUND(CK148*(1+取值表!$D$10)*取值表!$H$10,0)</f>
        <v>591904</v>
      </c>
      <c r="CM148" s="44">
        <f t="shared" ref="CM148:CO148" si="2200">CL148</f>
        <v>591904</v>
      </c>
      <c r="CN148" s="44">
        <f t="shared" si="2200"/>
        <v>591904</v>
      </c>
      <c r="CO148" s="44">
        <f t="shared" si="2200"/>
        <v>591904</v>
      </c>
      <c r="CP148" s="44">
        <f>ROUND(CO148*(1+取值表!$D$10)*取值表!$H$10,0)</f>
        <v>595532</v>
      </c>
      <c r="CQ148" s="44">
        <f t="shared" ref="CQ148" si="2201">CP148</f>
        <v>595532</v>
      </c>
      <c r="CR148" s="44">
        <f t="shared" ref="CR148" si="2202">CQ148</f>
        <v>595532</v>
      </c>
      <c r="CS148" s="44">
        <f t="shared" ref="CS148" si="2203">CR148</f>
        <v>595532</v>
      </c>
      <c r="CT148" s="44">
        <f>ROUND(CS148*(1+取值表!$D$10)*取值表!$H$10,0)</f>
        <v>599182</v>
      </c>
      <c r="CU148" s="44">
        <f t="shared" ref="CU148" si="2204">CT148</f>
        <v>599182</v>
      </c>
      <c r="CV148" s="44">
        <f t="shared" ref="CV148" si="2205">CU148</f>
        <v>599182</v>
      </c>
      <c r="CW148" s="44">
        <f t="shared" ref="CW148" si="2206">CV148</f>
        <v>599182</v>
      </c>
      <c r="CX148" s="44">
        <f>ROUND(CW148*(1+取值表!$D$10)*取值表!$H$10,0)</f>
        <v>602854</v>
      </c>
      <c r="CY148" s="44">
        <f t="shared" ref="CY148" si="2207">CX148</f>
        <v>602854</v>
      </c>
      <c r="CZ148" s="44">
        <f t="shared" ref="CZ148" si="2208">CY148</f>
        <v>602854</v>
      </c>
      <c r="DA148" s="44">
        <f t="shared" ref="DA148" si="2209">CZ148</f>
        <v>602854</v>
      </c>
      <c r="DB148" s="44">
        <f>ROUND(DA148*(1+取值表!$D$10)*取值表!$H$10,0)</f>
        <v>606549</v>
      </c>
      <c r="DC148" s="44">
        <f t="shared" ref="DC148" si="2210">DB148</f>
        <v>606549</v>
      </c>
      <c r="DD148" s="44">
        <f t="shared" ref="DD148" si="2211">DC148</f>
        <v>606549</v>
      </c>
      <c r="DE148" s="44">
        <f t="shared" ref="DE148" si="2212">DD148</f>
        <v>606549</v>
      </c>
      <c r="DF148" s="45">
        <f t="shared" si="1976"/>
        <v>56133620</v>
      </c>
    </row>
    <row r="149" spans="1:110" s="40" customFormat="1" ht="12">
      <c r="A149" s="505"/>
      <c r="B149" s="518"/>
      <c r="C149" s="450"/>
      <c r="D149" s="451"/>
      <c r="E149" s="452"/>
      <c r="F149" s="446"/>
      <c r="G149" s="446"/>
      <c r="H149" s="447"/>
      <c r="I149" s="41"/>
      <c r="J149" s="42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5">
        <f t="shared" si="1976"/>
        <v>0</v>
      </c>
    </row>
    <row r="150" spans="1:110" s="40" customFormat="1" ht="12">
      <c r="A150" s="504">
        <v>75</v>
      </c>
      <c r="B150" s="518" t="s">
        <v>169</v>
      </c>
      <c r="C150" s="450" t="s">
        <v>170</v>
      </c>
      <c r="D150" s="451" t="s">
        <v>481</v>
      </c>
      <c r="E150" s="452" t="s">
        <v>459</v>
      </c>
      <c r="F150" s="446">
        <v>13</v>
      </c>
      <c r="G150" s="446">
        <v>30</v>
      </c>
      <c r="H150" s="447">
        <f>F150*G150*365</f>
        <v>142350</v>
      </c>
      <c r="I150" s="41">
        <v>35587.5</v>
      </c>
      <c r="J150" s="42">
        <f>ROUND(F150*G150*365/4,0)</f>
        <v>35588</v>
      </c>
      <c r="K150" s="44">
        <f>J150</f>
        <v>35588</v>
      </c>
      <c r="L150" s="43">
        <f>K150</f>
        <v>35588</v>
      </c>
      <c r="M150" s="44">
        <f>L150</f>
        <v>35588</v>
      </c>
      <c r="N150" s="44">
        <f>ROUND(M150*(1+取值表!$D$10)*取值表!$H$10,0)</f>
        <v>35806</v>
      </c>
      <c r="O150" s="44">
        <f>N150</f>
        <v>35806</v>
      </c>
      <c r="P150" s="44">
        <f>O150</f>
        <v>35806</v>
      </c>
      <c r="Q150" s="44">
        <f>P150</f>
        <v>35806</v>
      </c>
      <c r="R150" s="44">
        <f>ROUND(Q150*(1+取值表!$D$10)*取值表!$H$10,0)</f>
        <v>36025</v>
      </c>
      <c r="S150" s="44">
        <f t="shared" ref="S150:U150" si="2213">R150</f>
        <v>36025</v>
      </c>
      <c r="T150" s="44">
        <f t="shared" si="2213"/>
        <v>36025</v>
      </c>
      <c r="U150" s="44">
        <f t="shared" si="2213"/>
        <v>36025</v>
      </c>
      <c r="V150" s="44">
        <f>ROUND(U150*(1+取值表!$D$10)*取值表!$H$10,0)</f>
        <v>36246</v>
      </c>
      <c r="W150" s="44">
        <f t="shared" ref="W150:Y150" si="2214">V150</f>
        <v>36246</v>
      </c>
      <c r="X150" s="44">
        <f t="shared" si="2214"/>
        <v>36246</v>
      </c>
      <c r="Y150" s="44">
        <f t="shared" si="2214"/>
        <v>36246</v>
      </c>
      <c r="Z150" s="44">
        <f>ROUND(Y150*(1+取值表!$D$10)*取值表!$H$10,0)</f>
        <v>36468</v>
      </c>
      <c r="AA150" s="44">
        <f t="shared" ref="AA150:AC150" si="2215">Z150</f>
        <v>36468</v>
      </c>
      <c r="AB150" s="44">
        <f t="shared" si="2215"/>
        <v>36468</v>
      </c>
      <c r="AC150" s="44">
        <f t="shared" si="2215"/>
        <v>36468</v>
      </c>
      <c r="AD150" s="44">
        <f>ROUND(AC150*(1+取值表!$D$10)*取值表!$H$10,0)</f>
        <v>36692</v>
      </c>
      <c r="AE150" s="44">
        <f t="shared" ref="AE150:AG150" si="2216">AD150</f>
        <v>36692</v>
      </c>
      <c r="AF150" s="44">
        <f t="shared" si="2216"/>
        <v>36692</v>
      </c>
      <c r="AG150" s="44">
        <f t="shared" si="2216"/>
        <v>36692</v>
      </c>
      <c r="AH150" s="44">
        <f>ROUND(AG150*(1+取值表!$D$10)*取值表!$H$10,0)</f>
        <v>36917</v>
      </c>
      <c r="AI150" s="44">
        <f t="shared" ref="AI150:AK150" si="2217">AH150</f>
        <v>36917</v>
      </c>
      <c r="AJ150" s="44">
        <f t="shared" si="2217"/>
        <v>36917</v>
      </c>
      <c r="AK150" s="44">
        <f t="shared" si="2217"/>
        <v>36917</v>
      </c>
      <c r="AL150" s="44">
        <f>ROUND(AK150*(1+取值表!$D$10)*取值表!$H$10,0)</f>
        <v>37143</v>
      </c>
      <c r="AM150" s="44">
        <f t="shared" ref="AM150:AO150" si="2218">AL150</f>
        <v>37143</v>
      </c>
      <c r="AN150" s="44">
        <f t="shared" si="2218"/>
        <v>37143</v>
      </c>
      <c r="AO150" s="44">
        <f t="shared" si="2218"/>
        <v>37143</v>
      </c>
      <c r="AP150" s="44">
        <f>ROUND(AO150*(1+取值表!$D$10)*取值表!$H$10,0)</f>
        <v>37371</v>
      </c>
      <c r="AQ150" s="44">
        <f t="shared" ref="AQ150:AS150" si="2219">AP150</f>
        <v>37371</v>
      </c>
      <c r="AR150" s="44">
        <f t="shared" si="2219"/>
        <v>37371</v>
      </c>
      <c r="AS150" s="44">
        <f t="shared" si="2219"/>
        <v>37371</v>
      </c>
      <c r="AT150" s="44">
        <f>ROUND(AS150*(1+取值表!$D$10)*取值表!$H$10,0)</f>
        <v>37600</v>
      </c>
      <c r="AU150" s="44">
        <f t="shared" ref="AU150:AW150" si="2220">AT150</f>
        <v>37600</v>
      </c>
      <c r="AV150" s="44">
        <f t="shared" si="2220"/>
        <v>37600</v>
      </c>
      <c r="AW150" s="44">
        <f t="shared" si="2220"/>
        <v>37600</v>
      </c>
      <c r="AX150" s="44">
        <f>ROUND(AW150*(1+取值表!$D$10)*取值表!$H$10,0)</f>
        <v>37830</v>
      </c>
      <c r="AY150" s="44">
        <f t="shared" ref="AY150:BA150" si="2221">AX150</f>
        <v>37830</v>
      </c>
      <c r="AZ150" s="44">
        <f t="shared" si="2221"/>
        <v>37830</v>
      </c>
      <c r="BA150" s="44">
        <f t="shared" si="2221"/>
        <v>37830</v>
      </c>
      <c r="BB150" s="44">
        <f>ROUND(BA150*(1+取值表!$D$10)*取值表!$H$10,0)</f>
        <v>38062</v>
      </c>
      <c r="BC150" s="44">
        <f t="shared" ref="BC150:BE150" si="2222">BB150</f>
        <v>38062</v>
      </c>
      <c r="BD150" s="44">
        <f t="shared" si="2222"/>
        <v>38062</v>
      </c>
      <c r="BE150" s="44">
        <f t="shared" si="2222"/>
        <v>38062</v>
      </c>
      <c r="BF150" s="44">
        <f>ROUND(BE150*(1+取值表!$D$10)*取值表!$H$10,0)</f>
        <v>38295</v>
      </c>
      <c r="BG150" s="44">
        <f t="shared" ref="BG150:BI150" si="2223">BF150</f>
        <v>38295</v>
      </c>
      <c r="BH150" s="44">
        <f t="shared" si="2223"/>
        <v>38295</v>
      </c>
      <c r="BI150" s="44">
        <f t="shared" si="2223"/>
        <v>38295</v>
      </c>
      <c r="BJ150" s="44">
        <f>ROUND(BI150*(1+取值表!$D$10)*取值表!$H$10,0)</f>
        <v>38530</v>
      </c>
      <c r="BK150" s="44">
        <f t="shared" ref="BK150:BM150" si="2224">BJ150</f>
        <v>38530</v>
      </c>
      <c r="BL150" s="44">
        <f t="shared" si="2224"/>
        <v>38530</v>
      </c>
      <c r="BM150" s="44">
        <f t="shared" si="2224"/>
        <v>38530</v>
      </c>
      <c r="BN150" s="44">
        <f>ROUND(BM150*(1+取值表!$D$10)*取值表!$H$10,0)</f>
        <v>38766</v>
      </c>
      <c r="BO150" s="44">
        <f t="shared" ref="BO150:BQ150" si="2225">BN150</f>
        <v>38766</v>
      </c>
      <c r="BP150" s="44">
        <f t="shared" si="2225"/>
        <v>38766</v>
      </c>
      <c r="BQ150" s="44">
        <f t="shared" si="2225"/>
        <v>38766</v>
      </c>
      <c r="BR150" s="44">
        <f>ROUND(BQ150*(1+取值表!$D$10)*取值表!$H$10,0)</f>
        <v>39004</v>
      </c>
      <c r="BS150" s="44">
        <f t="shared" ref="BS150:BU150" si="2226">BR150</f>
        <v>39004</v>
      </c>
      <c r="BT150" s="44">
        <f t="shared" si="2226"/>
        <v>39004</v>
      </c>
      <c r="BU150" s="44">
        <f t="shared" si="2226"/>
        <v>39004</v>
      </c>
      <c r="BV150" s="44">
        <f>ROUND(BU150*(1+取值表!$D$10)*取值表!$H$10,0)</f>
        <v>39243</v>
      </c>
      <c r="BW150" s="44">
        <f t="shared" ref="BW150:BY150" si="2227">BV150</f>
        <v>39243</v>
      </c>
      <c r="BX150" s="44">
        <f t="shared" si="2227"/>
        <v>39243</v>
      </c>
      <c r="BY150" s="44">
        <f t="shared" si="2227"/>
        <v>39243</v>
      </c>
      <c r="BZ150" s="44">
        <f>ROUND(BY150*(1+取值表!$D$10)*取值表!$H$10,0)</f>
        <v>39484</v>
      </c>
      <c r="CA150" s="44">
        <f t="shared" ref="CA150:CC150" si="2228">BZ150</f>
        <v>39484</v>
      </c>
      <c r="CB150" s="44">
        <f t="shared" si="2228"/>
        <v>39484</v>
      </c>
      <c r="CC150" s="44">
        <f t="shared" si="2228"/>
        <v>39484</v>
      </c>
      <c r="CD150" s="44">
        <f>ROUND(CC150*(1+取值表!$D$10)*取值表!$H$10,0)</f>
        <v>39726</v>
      </c>
      <c r="CE150" s="44">
        <f t="shared" ref="CE150:CG150" si="2229">CD150</f>
        <v>39726</v>
      </c>
      <c r="CF150" s="44">
        <f t="shared" si="2229"/>
        <v>39726</v>
      </c>
      <c r="CG150" s="44">
        <f t="shared" si="2229"/>
        <v>39726</v>
      </c>
      <c r="CH150" s="44">
        <f>ROUND(CG150*(1+取值表!$D$10)*取值表!$H$10,0)</f>
        <v>39969</v>
      </c>
      <c r="CI150" s="44">
        <f t="shared" ref="CI150:CK150" si="2230">CH150</f>
        <v>39969</v>
      </c>
      <c r="CJ150" s="44">
        <f t="shared" si="2230"/>
        <v>39969</v>
      </c>
      <c r="CK150" s="44">
        <f t="shared" si="2230"/>
        <v>39969</v>
      </c>
      <c r="CL150" s="44">
        <f>ROUND(CK150*(1+取值表!$D$10)*取值表!$H$10,0)</f>
        <v>40214</v>
      </c>
      <c r="CM150" s="44">
        <f t="shared" ref="CM150:CO150" si="2231">CL150</f>
        <v>40214</v>
      </c>
      <c r="CN150" s="44">
        <f t="shared" si="2231"/>
        <v>40214</v>
      </c>
      <c r="CO150" s="44">
        <f t="shared" si="2231"/>
        <v>40214</v>
      </c>
      <c r="CP150" s="44">
        <f>ROUND(CO150*(1+取值表!$D$10)*取值表!$H$10,0)</f>
        <v>40460</v>
      </c>
      <c r="CQ150" s="44">
        <f t="shared" ref="CQ150" si="2232">CP150</f>
        <v>40460</v>
      </c>
      <c r="CR150" s="44">
        <f t="shared" ref="CR150" si="2233">CQ150</f>
        <v>40460</v>
      </c>
      <c r="CS150" s="44">
        <f t="shared" ref="CS150" si="2234">CR150</f>
        <v>40460</v>
      </c>
      <c r="CT150" s="44">
        <f>ROUND(CS150*(1+取值表!$D$10)*取值表!$H$10,0)</f>
        <v>40708</v>
      </c>
      <c r="CU150" s="44">
        <f t="shared" ref="CU150" si="2235">CT150</f>
        <v>40708</v>
      </c>
      <c r="CV150" s="44">
        <f t="shared" ref="CV150" si="2236">CU150</f>
        <v>40708</v>
      </c>
      <c r="CW150" s="44">
        <f t="shared" ref="CW150" si="2237">CV150</f>
        <v>40708</v>
      </c>
      <c r="CX150" s="44">
        <f>ROUND(CW150*(1+取值表!$D$10)*取值表!$H$10,0)</f>
        <v>40958</v>
      </c>
      <c r="CY150" s="44">
        <f t="shared" ref="CY150" si="2238">CX150</f>
        <v>40958</v>
      </c>
      <c r="CZ150" s="44">
        <f t="shared" ref="CZ150" si="2239">CY150</f>
        <v>40958</v>
      </c>
      <c r="DA150" s="44">
        <f t="shared" ref="DA150" si="2240">CZ150</f>
        <v>40958</v>
      </c>
      <c r="DB150" s="44">
        <f>ROUND(DA150*(1+取值表!$D$10)*取值表!$H$10,0)</f>
        <v>41209</v>
      </c>
      <c r="DC150" s="44">
        <f t="shared" ref="DC150" si="2241">DB150</f>
        <v>41209</v>
      </c>
      <c r="DD150" s="44">
        <f t="shared" ref="DD150" si="2242">DC150</f>
        <v>41209</v>
      </c>
      <c r="DE150" s="44">
        <f t="shared" ref="DE150" si="2243">DD150</f>
        <v>41209</v>
      </c>
      <c r="DF150" s="45">
        <f t="shared" si="1976"/>
        <v>3833256</v>
      </c>
    </row>
    <row r="151" spans="1:110" s="40" customFormat="1" ht="12">
      <c r="A151" s="505"/>
      <c r="B151" s="518"/>
      <c r="C151" s="450"/>
      <c r="D151" s="451"/>
      <c r="E151" s="452"/>
      <c r="F151" s="446"/>
      <c r="G151" s="446"/>
      <c r="H151" s="447"/>
      <c r="I151" s="41"/>
      <c r="J151" s="42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5">
        <f t="shared" si="1976"/>
        <v>0</v>
      </c>
    </row>
    <row r="152" spans="1:110" s="40" customFormat="1" ht="12">
      <c r="A152" s="504">
        <v>76</v>
      </c>
      <c r="B152" s="518" t="s">
        <v>171</v>
      </c>
      <c r="C152" s="450" t="s">
        <v>172</v>
      </c>
      <c r="D152" s="451" t="s">
        <v>482</v>
      </c>
      <c r="E152" s="452" t="s">
        <v>459</v>
      </c>
      <c r="F152" s="446">
        <v>36</v>
      </c>
      <c r="G152" s="446">
        <v>35</v>
      </c>
      <c r="H152" s="447">
        <f>F152*G152*365</f>
        <v>459900</v>
      </c>
      <c r="I152" s="41">
        <v>114975</v>
      </c>
      <c r="J152" s="42">
        <f>ROUND(F152*G152*365/4,0)</f>
        <v>114975</v>
      </c>
      <c r="K152" s="43">
        <f>J152</f>
        <v>114975</v>
      </c>
      <c r="L152" s="44">
        <f>K152</f>
        <v>114975</v>
      </c>
      <c r="M152" s="44">
        <f>L152</f>
        <v>114975</v>
      </c>
      <c r="N152" s="44">
        <f>ROUND(M152*(1+取值表!$D$10)*取值表!$H$10,0)</f>
        <v>115680</v>
      </c>
      <c r="O152" s="44">
        <f>N152</f>
        <v>115680</v>
      </c>
      <c r="P152" s="44">
        <f>O152</f>
        <v>115680</v>
      </c>
      <c r="Q152" s="44">
        <f>P152</f>
        <v>115680</v>
      </c>
      <c r="R152" s="44">
        <f>ROUND(Q152*(1+取值表!$D$10)*取值表!$H$10,0)</f>
        <v>116389</v>
      </c>
      <c r="S152" s="44">
        <f t="shared" ref="S152:U152" si="2244">R152</f>
        <v>116389</v>
      </c>
      <c r="T152" s="44">
        <f t="shared" si="2244"/>
        <v>116389</v>
      </c>
      <c r="U152" s="44">
        <f t="shared" si="2244"/>
        <v>116389</v>
      </c>
      <c r="V152" s="44">
        <f>ROUND(U152*(1+取值表!$D$10)*取值表!$H$10,0)</f>
        <v>117102</v>
      </c>
      <c r="W152" s="44">
        <f t="shared" ref="W152:Y152" si="2245">V152</f>
        <v>117102</v>
      </c>
      <c r="X152" s="44">
        <f t="shared" si="2245"/>
        <v>117102</v>
      </c>
      <c r="Y152" s="44">
        <f t="shared" si="2245"/>
        <v>117102</v>
      </c>
      <c r="Z152" s="44">
        <f>ROUND(Y152*(1+取值表!$D$10)*取值表!$H$10,0)</f>
        <v>117820</v>
      </c>
      <c r="AA152" s="44">
        <f t="shared" ref="AA152:AC152" si="2246">Z152</f>
        <v>117820</v>
      </c>
      <c r="AB152" s="44">
        <f t="shared" si="2246"/>
        <v>117820</v>
      </c>
      <c r="AC152" s="44">
        <f t="shared" si="2246"/>
        <v>117820</v>
      </c>
      <c r="AD152" s="44">
        <f>ROUND(AC152*(1+取值表!$D$10)*取值表!$H$10,0)</f>
        <v>118542</v>
      </c>
      <c r="AE152" s="44">
        <f t="shared" ref="AE152:AG152" si="2247">AD152</f>
        <v>118542</v>
      </c>
      <c r="AF152" s="44">
        <f t="shared" si="2247"/>
        <v>118542</v>
      </c>
      <c r="AG152" s="44">
        <f t="shared" si="2247"/>
        <v>118542</v>
      </c>
      <c r="AH152" s="44">
        <f>ROUND(AG152*(1+取值表!$D$10)*取值表!$H$10,0)</f>
        <v>119269</v>
      </c>
      <c r="AI152" s="44">
        <f t="shared" ref="AI152:AK152" si="2248">AH152</f>
        <v>119269</v>
      </c>
      <c r="AJ152" s="44">
        <f t="shared" si="2248"/>
        <v>119269</v>
      </c>
      <c r="AK152" s="44">
        <f t="shared" si="2248"/>
        <v>119269</v>
      </c>
      <c r="AL152" s="44">
        <f>ROUND(AK152*(1+取值表!$D$10)*取值表!$H$10,0)</f>
        <v>120000</v>
      </c>
      <c r="AM152" s="44">
        <f t="shared" ref="AM152:AO152" si="2249">AL152</f>
        <v>120000</v>
      </c>
      <c r="AN152" s="44">
        <f t="shared" si="2249"/>
        <v>120000</v>
      </c>
      <c r="AO152" s="44">
        <f t="shared" si="2249"/>
        <v>120000</v>
      </c>
      <c r="AP152" s="44">
        <f>ROUND(AO152*(1+取值表!$D$10)*取值表!$H$10,0)</f>
        <v>120735</v>
      </c>
      <c r="AQ152" s="44">
        <f t="shared" ref="AQ152:AS152" si="2250">AP152</f>
        <v>120735</v>
      </c>
      <c r="AR152" s="44">
        <f t="shared" si="2250"/>
        <v>120735</v>
      </c>
      <c r="AS152" s="44">
        <f t="shared" si="2250"/>
        <v>120735</v>
      </c>
      <c r="AT152" s="44">
        <f>ROUND(AS152*(1+取值表!$D$10)*取值表!$H$10,0)</f>
        <v>121475</v>
      </c>
      <c r="AU152" s="44">
        <f t="shared" ref="AU152:AW152" si="2251">AT152</f>
        <v>121475</v>
      </c>
      <c r="AV152" s="44">
        <f t="shared" si="2251"/>
        <v>121475</v>
      </c>
      <c r="AW152" s="44">
        <f t="shared" si="2251"/>
        <v>121475</v>
      </c>
      <c r="AX152" s="44">
        <f>ROUND(AW152*(1+取值表!$D$10)*取值表!$H$10,0)</f>
        <v>122220</v>
      </c>
      <c r="AY152" s="44">
        <f t="shared" ref="AY152:BA152" si="2252">AX152</f>
        <v>122220</v>
      </c>
      <c r="AZ152" s="44">
        <f t="shared" si="2252"/>
        <v>122220</v>
      </c>
      <c r="BA152" s="44">
        <f t="shared" si="2252"/>
        <v>122220</v>
      </c>
      <c r="BB152" s="44">
        <f>ROUND(BA152*(1+取值表!$D$10)*取值表!$H$10,0)</f>
        <v>122969</v>
      </c>
      <c r="BC152" s="44">
        <f t="shared" ref="BC152:BE152" si="2253">BB152</f>
        <v>122969</v>
      </c>
      <c r="BD152" s="44">
        <f t="shared" si="2253"/>
        <v>122969</v>
      </c>
      <c r="BE152" s="44">
        <f t="shared" si="2253"/>
        <v>122969</v>
      </c>
      <c r="BF152" s="44">
        <f>ROUND(BE152*(1+取值表!$D$10)*取值表!$H$10,0)</f>
        <v>123723</v>
      </c>
      <c r="BG152" s="44">
        <f t="shared" ref="BG152:BI152" si="2254">BF152</f>
        <v>123723</v>
      </c>
      <c r="BH152" s="44">
        <f t="shared" si="2254"/>
        <v>123723</v>
      </c>
      <c r="BI152" s="44">
        <f t="shared" si="2254"/>
        <v>123723</v>
      </c>
      <c r="BJ152" s="44">
        <f>ROUND(BI152*(1+取值表!$D$10)*取值表!$H$10,0)</f>
        <v>124481</v>
      </c>
      <c r="BK152" s="44">
        <f t="shared" ref="BK152:BM152" si="2255">BJ152</f>
        <v>124481</v>
      </c>
      <c r="BL152" s="44">
        <f t="shared" si="2255"/>
        <v>124481</v>
      </c>
      <c r="BM152" s="44">
        <f t="shared" si="2255"/>
        <v>124481</v>
      </c>
      <c r="BN152" s="44">
        <f>ROUND(BM152*(1+取值表!$D$10)*取值表!$H$10,0)</f>
        <v>125244</v>
      </c>
      <c r="BO152" s="44">
        <f t="shared" ref="BO152:BQ152" si="2256">BN152</f>
        <v>125244</v>
      </c>
      <c r="BP152" s="44">
        <f t="shared" si="2256"/>
        <v>125244</v>
      </c>
      <c r="BQ152" s="44">
        <f t="shared" si="2256"/>
        <v>125244</v>
      </c>
      <c r="BR152" s="44">
        <f>ROUND(BQ152*(1+取值表!$D$10)*取值表!$H$10,0)</f>
        <v>126012</v>
      </c>
      <c r="BS152" s="44">
        <f t="shared" ref="BS152:BU152" si="2257">BR152</f>
        <v>126012</v>
      </c>
      <c r="BT152" s="44">
        <f t="shared" si="2257"/>
        <v>126012</v>
      </c>
      <c r="BU152" s="44">
        <f t="shared" si="2257"/>
        <v>126012</v>
      </c>
      <c r="BV152" s="44">
        <f>ROUND(BU152*(1+取值表!$D$10)*取值表!$H$10,0)</f>
        <v>126784</v>
      </c>
      <c r="BW152" s="44">
        <f t="shared" ref="BW152:BY152" si="2258">BV152</f>
        <v>126784</v>
      </c>
      <c r="BX152" s="44">
        <f t="shared" si="2258"/>
        <v>126784</v>
      </c>
      <c r="BY152" s="44">
        <f t="shared" si="2258"/>
        <v>126784</v>
      </c>
      <c r="BZ152" s="44">
        <f>ROUND(BY152*(1+取值表!$D$10)*取值表!$H$10,0)</f>
        <v>127561</v>
      </c>
      <c r="CA152" s="44">
        <f t="shared" ref="CA152:CC152" si="2259">BZ152</f>
        <v>127561</v>
      </c>
      <c r="CB152" s="44">
        <f t="shared" si="2259"/>
        <v>127561</v>
      </c>
      <c r="CC152" s="44">
        <f t="shared" si="2259"/>
        <v>127561</v>
      </c>
      <c r="CD152" s="44">
        <f>ROUND(CC152*(1+取值表!$D$10)*取值表!$H$10,0)</f>
        <v>128343</v>
      </c>
      <c r="CE152" s="44">
        <f t="shared" ref="CE152:CG152" si="2260">CD152</f>
        <v>128343</v>
      </c>
      <c r="CF152" s="44">
        <f t="shared" si="2260"/>
        <v>128343</v>
      </c>
      <c r="CG152" s="44">
        <f t="shared" si="2260"/>
        <v>128343</v>
      </c>
      <c r="CH152" s="44">
        <f>ROUND(CG152*(1+取值表!$D$10)*取值表!$H$10,0)</f>
        <v>129130</v>
      </c>
      <c r="CI152" s="44">
        <f t="shared" ref="CI152:CK152" si="2261">CH152</f>
        <v>129130</v>
      </c>
      <c r="CJ152" s="44">
        <f t="shared" si="2261"/>
        <v>129130</v>
      </c>
      <c r="CK152" s="44">
        <f t="shared" si="2261"/>
        <v>129130</v>
      </c>
      <c r="CL152" s="44">
        <f>ROUND(CK152*(1+取值表!$D$10)*取值表!$H$10,0)</f>
        <v>129921</v>
      </c>
      <c r="CM152" s="44">
        <f t="shared" ref="CM152:CO152" si="2262">CL152</f>
        <v>129921</v>
      </c>
      <c r="CN152" s="44">
        <f t="shared" si="2262"/>
        <v>129921</v>
      </c>
      <c r="CO152" s="44">
        <f t="shared" si="2262"/>
        <v>129921</v>
      </c>
      <c r="CP152" s="44">
        <f>ROUND(CO152*(1+取值表!$D$10)*取值表!$H$10,0)</f>
        <v>130717</v>
      </c>
      <c r="CQ152" s="44">
        <f t="shared" ref="CQ152" si="2263">CP152</f>
        <v>130717</v>
      </c>
      <c r="CR152" s="44">
        <f t="shared" ref="CR152" si="2264">CQ152</f>
        <v>130717</v>
      </c>
      <c r="CS152" s="44">
        <f t="shared" ref="CS152" si="2265">CR152</f>
        <v>130717</v>
      </c>
      <c r="CT152" s="44">
        <f>ROUND(CS152*(1+取值表!$D$10)*取值表!$H$10,0)</f>
        <v>131518</v>
      </c>
      <c r="CU152" s="44">
        <f t="shared" ref="CU152" si="2266">CT152</f>
        <v>131518</v>
      </c>
      <c r="CV152" s="44">
        <f t="shared" ref="CV152" si="2267">CU152</f>
        <v>131518</v>
      </c>
      <c r="CW152" s="44">
        <f t="shared" ref="CW152" si="2268">CV152</f>
        <v>131518</v>
      </c>
      <c r="CX152" s="44">
        <f>ROUND(CW152*(1+取值表!$D$10)*取值表!$H$10,0)</f>
        <v>132324</v>
      </c>
      <c r="CY152" s="44">
        <f t="shared" ref="CY152" si="2269">CX152</f>
        <v>132324</v>
      </c>
      <c r="CZ152" s="44">
        <f t="shared" ref="CZ152" si="2270">CY152</f>
        <v>132324</v>
      </c>
      <c r="DA152" s="44">
        <f t="shared" ref="DA152" si="2271">CZ152</f>
        <v>132324</v>
      </c>
      <c r="DB152" s="44">
        <f>ROUND(DA152*(1+取值表!$D$10)*取值表!$H$10,0)</f>
        <v>133135</v>
      </c>
      <c r="DC152" s="44">
        <f t="shared" ref="DC152" si="2272">DB152</f>
        <v>133135</v>
      </c>
      <c r="DD152" s="44">
        <f t="shared" ref="DD152" si="2273">DC152</f>
        <v>133135</v>
      </c>
      <c r="DE152" s="44">
        <f t="shared" ref="DE152" si="2274">DD152</f>
        <v>133135</v>
      </c>
      <c r="DF152" s="45">
        <f t="shared" si="1976"/>
        <v>12384276</v>
      </c>
    </row>
    <row r="153" spans="1:110" s="40" customFormat="1" ht="12">
      <c r="A153" s="505"/>
      <c r="B153" s="518"/>
      <c r="C153" s="450"/>
      <c r="D153" s="451"/>
      <c r="E153" s="452"/>
      <c r="F153" s="446"/>
      <c r="G153" s="446"/>
      <c r="H153" s="447"/>
      <c r="I153" s="41"/>
      <c r="J153" s="42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5">
        <f t="shared" si="1976"/>
        <v>0</v>
      </c>
    </row>
    <row r="154" spans="1:110" s="40" customFormat="1" ht="12">
      <c r="A154" s="504">
        <v>77</v>
      </c>
      <c r="B154" s="518" t="s">
        <v>173</v>
      </c>
      <c r="C154" s="450" t="s">
        <v>737</v>
      </c>
      <c r="D154" s="451" t="s">
        <v>483</v>
      </c>
      <c r="E154" s="452" t="s">
        <v>459</v>
      </c>
      <c r="F154" s="446">
        <v>19.38</v>
      </c>
      <c r="G154" s="446">
        <v>34</v>
      </c>
      <c r="H154" s="447">
        <f>F154*G154*365</f>
        <v>240505.8</v>
      </c>
      <c r="I154" s="41">
        <v>58358.03</v>
      </c>
      <c r="J154" s="42">
        <f>ROUND(F154*G154*365/4,0)</f>
        <v>60126</v>
      </c>
      <c r="K154" s="43">
        <f>J154</f>
        <v>60126</v>
      </c>
      <c r="L154" s="44">
        <f>K154</f>
        <v>60126</v>
      </c>
      <c r="M154" s="44">
        <f>L154</f>
        <v>60126</v>
      </c>
      <c r="N154" s="44">
        <f>ROUND(M154*(1+取值表!$D$10)*取值表!$H$10,0)</f>
        <v>60495</v>
      </c>
      <c r="O154" s="44">
        <f>N154</f>
        <v>60495</v>
      </c>
      <c r="P154" s="44">
        <f>O154</f>
        <v>60495</v>
      </c>
      <c r="Q154" s="44">
        <f>P154</f>
        <v>60495</v>
      </c>
      <c r="R154" s="44">
        <f>ROUND(Q154*(1+取值表!$D$10)*取值表!$H$10,0)</f>
        <v>60866</v>
      </c>
      <c r="S154" s="44">
        <f t="shared" ref="S154:U154" si="2275">R154</f>
        <v>60866</v>
      </c>
      <c r="T154" s="44">
        <f t="shared" si="2275"/>
        <v>60866</v>
      </c>
      <c r="U154" s="44">
        <f t="shared" si="2275"/>
        <v>60866</v>
      </c>
      <c r="V154" s="44">
        <f>ROUND(U154*(1+取值表!$D$10)*取值表!$H$10,0)</f>
        <v>61239</v>
      </c>
      <c r="W154" s="44">
        <f t="shared" ref="W154:Y154" si="2276">V154</f>
        <v>61239</v>
      </c>
      <c r="X154" s="44">
        <f t="shared" si="2276"/>
        <v>61239</v>
      </c>
      <c r="Y154" s="44">
        <f t="shared" si="2276"/>
        <v>61239</v>
      </c>
      <c r="Z154" s="44">
        <f>ROUND(Y154*(1+取值表!$D$10)*取值表!$H$10,0)</f>
        <v>61614</v>
      </c>
      <c r="AA154" s="44">
        <f t="shared" ref="AA154:AC154" si="2277">Z154</f>
        <v>61614</v>
      </c>
      <c r="AB154" s="44">
        <f t="shared" si="2277"/>
        <v>61614</v>
      </c>
      <c r="AC154" s="44">
        <f t="shared" si="2277"/>
        <v>61614</v>
      </c>
      <c r="AD154" s="44">
        <f>ROUND(AC154*(1+取值表!$D$10)*取值表!$H$10,0)</f>
        <v>61992</v>
      </c>
      <c r="AE154" s="44">
        <f t="shared" ref="AE154:AG154" si="2278">AD154</f>
        <v>61992</v>
      </c>
      <c r="AF154" s="44">
        <f t="shared" si="2278"/>
        <v>61992</v>
      </c>
      <c r="AG154" s="44">
        <f t="shared" si="2278"/>
        <v>61992</v>
      </c>
      <c r="AH154" s="44">
        <f>ROUND(AG154*(1+取值表!$D$10)*取值表!$H$10,0)</f>
        <v>62372</v>
      </c>
      <c r="AI154" s="44">
        <f t="shared" ref="AI154:AK154" si="2279">AH154</f>
        <v>62372</v>
      </c>
      <c r="AJ154" s="44">
        <f t="shared" si="2279"/>
        <v>62372</v>
      </c>
      <c r="AK154" s="44">
        <f t="shared" si="2279"/>
        <v>62372</v>
      </c>
      <c r="AL154" s="44">
        <f>ROUND(AK154*(1+取值表!$D$10)*取值表!$H$10,0)</f>
        <v>62754</v>
      </c>
      <c r="AM154" s="44">
        <f t="shared" ref="AM154:AO154" si="2280">AL154</f>
        <v>62754</v>
      </c>
      <c r="AN154" s="44">
        <f t="shared" si="2280"/>
        <v>62754</v>
      </c>
      <c r="AO154" s="44">
        <f t="shared" si="2280"/>
        <v>62754</v>
      </c>
      <c r="AP154" s="44">
        <f>ROUND(AO154*(1+取值表!$D$10)*取值表!$H$10,0)</f>
        <v>63139</v>
      </c>
      <c r="AQ154" s="44">
        <f t="shared" ref="AQ154:AS154" si="2281">AP154</f>
        <v>63139</v>
      </c>
      <c r="AR154" s="44">
        <f t="shared" si="2281"/>
        <v>63139</v>
      </c>
      <c r="AS154" s="44">
        <f t="shared" si="2281"/>
        <v>63139</v>
      </c>
      <c r="AT154" s="44">
        <f>ROUND(AS154*(1+取值表!$D$10)*取值表!$H$10,0)</f>
        <v>63526</v>
      </c>
      <c r="AU154" s="44">
        <f t="shared" ref="AU154:AW154" si="2282">AT154</f>
        <v>63526</v>
      </c>
      <c r="AV154" s="44">
        <f t="shared" si="2282"/>
        <v>63526</v>
      </c>
      <c r="AW154" s="44">
        <f t="shared" si="2282"/>
        <v>63526</v>
      </c>
      <c r="AX154" s="44">
        <f>ROUND(AW154*(1+取值表!$D$10)*取值表!$H$10,0)</f>
        <v>63915</v>
      </c>
      <c r="AY154" s="44">
        <f t="shared" ref="AY154:BA154" si="2283">AX154</f>
        <v>63915</v>
      </c>
      <c r="AZ154" s="44">
        <f t="shared" si="2283"/>
        <v>63915</v>
      </c>
      <c r="BA154" s="44">
        <f t="shared" si="2283"/>
        <v>63915</v>
      </c>
      <c r="BB154" s="44">
        <f>ROUND(BA154*(1+取值表!$D$10)*取值表!$H$10,0)</f>
        <v>64307</v>
      </c>
      <c r="BC154" s="44">
        <f t="shared" ref="BC154:BE154" si="2284">BB154</f>
        <v>64307</v>
      </c>
      <c r="BD154" s="44">
        <f t="shared" si="2284"/>
        <v>64307</v>
      </c>
      <c r="BE154" s="44">
        <f t="shared" si="2284"/>
        <v>64307</v>
      </c>
      <c r="BF154" s="44">
        <f>ROUND(BE154*(1+取值表!$D$10)*取值表!$H$10,0)</f>
        <v>64701</v>
      </c>
      <c r="BG154" s="44">
        <f t="shared" ref="BG154:BI154" si="2285">BF154</f>
        <v>64701</v>
      </c>
      <c r="BH154" s="44">
        <f t="shared" si="2285"/>
        <v>64701</v>
      </c>
      <c r="BI154" s="44">
        <f t="shared" si="2285"/>
        <v>64701</v>
      </c>
      <c r="BJ154" s="44">
        <f>ROUND(BI154*(1+取值表!$D$10)*取值表!$H$10,0)</f>
        <v>65098</v>
      </c>
      <c r="BK154" s="44">
        <f t="shared" ref="BK154:BM154" si="2286">BJ154</f>
        <v>65098</v>
      </c>
      <c r="BL154" s="44">
        <f t="shared" si="2286"/>
        <v>65098</v>
      </c>
      <c r="BM154" s="44">
        <f t="shared" si="2286"/>
        <v>65098</v>
      </c>
      <c r="BN154" s="44">
        <f>ROUND(BM154*(1+取值表!$D$10)*取值表!$H$10,0)</f>
        <v>65497</v>
      </c>
      <c r="BO154" s="44">
        <f t="shared" ref="BO154:BQ154" si="2287">BN154</f>
        <v>65497</v>
      </c>
      <c r="BP154" s="44">
        <f t="shared" si="2287"/>
        <v>65497</v>
      </c>
      <c r="BQ154" s="44">
        <f t="shared" si="2287"/>
        <v>65497</v>
      </c>
      <c r="BR154" s="44">
        <f>ROUND(BQ154*(1+取值表!$D$10)*取值表!$H$10,0)</f>
        <v>65898</v>
      </c>
      <c r="BS154" s="44">
        <f t="shared" ref="BS154:BU154" si="2288">BR154</f>
        <v>65898</v>
      </c>
      <c r="BT154" s="44">
        <f t="shared" si="2288"/>
        <v>65898</v>
      </c>
      <c r="BU154" s="44">
        <f t="shared" si="2288"/>
        <v>65898</v>
      </c>
      <c r="BV154" s="44">
        <f>ROUND(BU154*(1+取值表!$D$10)*取值表!$H$10,0)</f>
        <v>66302</v>
      </c>
      <c r="BW154" s="44">
        <f t="shared" ref="BW154:BY154" si="2289">BV154</f>
        <v>66302</v>
      </c>
      <c r="BX154" s="44">
        <f t="shared" si="2289"/>
        <v>66302</v>
      </c>
      <c r="BY154" s="44">
        <f t="shared" si="2289"/>
        <v>66302</v>
      </c>
      <c r="BZ154" s="44">
        <f>ROUND(BY154*(1+取值表!$D$10)*取值表!$H$10,0)</f>
        <v>66708</v>
      </c>
      <c r="CA154" s="44">
        <f t="shared" ref="CA154:CC154" si="2290">BZ154</f>
        <v>66708</v>
      </c>
      <c r="CB154" s="44">
        <f t="shared" si="2290"/>
        <v>66708</v>
      </c>
      <c r="CC154" s="44">
        <f t="shared" si="2290"/>
        <v>66708</v>
      </c>
      <c r="CD154" s="44">
        <f>ROUND(CC154*(1+取值表!$D$10)*取值表!$H$10,0)</f>
        <v>67117</v>
      </c>
      <c r="CE154" s="44">
        <f t="shared" ref="CE154:CG154" si="2291">CD154</f>
        <v>67117</v>
      </c>
      <c r="CF154" s="44">
        <f t="shared" si="2291"/>
        <v>67117</v>
      </c>
      <c r="CG154" s="44">
        <f t="shared" si="2291"/>
        <v>67117</v>
      </c>
      <c r="CH154" s="44">
        <f>ROUND(CG154*(1+取值表!$D$10)*取值表!$H$10,0)</f>
        <v>67528</v>
      </c>
      <c r="CI154" s="44">
        <f t="shared" ref="CI154:CK154" si="2292">CH154</f>
        <v>67528</v>
      </c>
      <c r="CJ154" s="44">
        <f t="shared" si="2292"/>
        <v>67528</v>
      </c>
      <c r="CK154" s="44">
        <f t="shared" si="2292"/>
        <v>67528</v>
      </c>
      <c r="CL154" s="44">
        <f>ROUND(CK154*(1+取值表!$D$10)*取值表!$H$10,0)</f>
        <v>67942</v>
      </c>
      <c r="CM154" s="44">
        <f t="shared" ref="CM154:CO154" si="2293">CL154</f>
        <v>67942</v>
      </c>
      <c r="CN154" s="44">
        <f t="shared" si="2293"/>
        <v>67942</v>
      </c>
      <c r="CO154" s="44">
        <f t="shared" si="2293"/>
        <v>67942</v>
      </c>
      <c r="CP154" s="44">
        <f>ROUND(CO154*(1+取值表!$D$10)*取值表!$H$10,0)</f>
        <v>68358</v>
      </c>
      <c r="CQ154" s="44">
        <f t="shared" ref="CQ154" si="2294">CP154</f>
        <v>68358</v>
      </c>
      <c r="CR154" s="44">
        <f t="shared" ref="CR154" si="2295">CQ154</f>
        <v>68358</v>
      </c>
      <c r="CS154" s="44">
        <f t="shared" ref="CS154" si="2296">CR154</f>
        <v>68358</v>
      </c>
      <c r="CT154" s="44">
        <f>ROUND(CS154*(1+取值表!$D$10)*取值表!$H$10,0)</f>
        <v>68777</v>
      </c>
      <c r="CU154" s="44">
        <f t="shared" ref="CU154" si="2297">CT154</f>
        <v>68777</v>
      </c>
      <c r="CV154" s="44">
        <f t="shared" ref="CV154" si="2298">CU154</f>
        <v>68777</v>
      </c>
      <c r="CW154" s="44">
        <f t="shared" ref="CW154" si="2299">CV154</f>
        <v>68777</v>
      </c>
      <c r="CX154" s="44">
        <f>ROUND(CW154*(1+取值表!$D$10)*取值表!$H$10,0)</f>
        <v>69199</v>
      </c>
      <c r="CY154" s="44">
        <f t="shared" ref="CY154" si="2300">CX154</f>
        <v>69199</v>
      </c>
      <c r="CZ154" s="44">
        <f t="shared" ref="CZ154" si="2301">CY154</f>
        <v>69199</v>
      </c>
      <c r="DA154" s="44">
        <f t="shared" ref="DA154" si="2302">CZ154</f>
        <v>69199</v>
      </c>
      <c r="DB154" s="44">
        <f>ROUND(DA154*(1+取值表!$D$10)*取值表!$H$10,0)</f>
        <v>69623</v>
      </c>
      <c r="DC154" s="44">
        <f t="shared" ref="DC154" si="2303">DB154</f>
        <v>69623</v>
      </c>
      <c r="DD154" s="44">
        <f t="shared" ref="DD154" si="2304">DC154</f>
        <v>69623</v>
      </c>
      <c r="DE154" s="44">
        <f t="shared" ref="DE154" si="2305">DD154</f>
        <v>69623</v>
      </c>
      <c r="DF154" s="45">
        <f t="shared" si="1976"/>
        <v>6476372</v>
      </c>
    </row>
    <row r="155" spans="1:110" s="40" customFormat="1" ht="12">
      <c r="A155" s="505"/>
      <c r="B155" s="518"/>
      <c r="C155" s="450"/>
      <c r="D155" s="451"/>
      <c r="E155" s="452"/>
      <c r="F155" s="446"/>
      <c r="G155" s="446"/>
      <c r="H155" s="447"/>
      <c r="I155" s="41"/>
      <c r="J155" s="42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5">
        <f t="shared" si="1976"/>
        <v>0</v>
      </c>
    </row>
    <row r="156" spans="1:110" s="40" customFormat="1" ht="12">
      <c r="A156" s="504">
        <v>78</v>
      </c>
      <c r="B156" s="518" t="s">
        <v>174</v>
      </c>
      <c r="C156" s="450" t="s">
        <v>175</v>
      </c>
      <c r="D156" s="451" t="s">
        <v>176</v>
      </c>
      <c r="E156" s="452" t="s">
        <v>459</v>
      </c>
      <c r="F156" s="446">
        <v>12.6</v>
      </c>
      <c r="G156" s="446">
        <v>30</v>
      </c>
      <c r="H156" s="447">
        <f>F156*G156*365</f>
        <v>137970</v>
      </c>
      <c r="I156" s="41">
        <v>34492.5</v>
      </c>
      <c r="J156" s="42">
        <f>ROUND(F156*G156*365/4,0)</f>
        <v>34493</v>
      </c>
      <c r="K156" s="43">
        <f>J156</f>
        <v>34493</v>
      </c>
      <c r="L156" s="44">
        <f>K156</f>
        <v>34493</v>
      </c>
      <c r="M156" s="44">
        <f>L156</f>
        <v>34493</v>
      </c>
      <c r="N156" s="44">
        <f>ROUND(M156*(1+取值表!$D$10)*取值表!$H$10,0)</f>
        <v>34704</v>
      </c>
      <c r="O156" s="44">
        <f>N156</f>
        <v>34704</v>
      </c>
      <c r="P156" s="44">
        <f>O156</f>
        <v>34704</v>
      </c>
      <c r="Q156" s="44">
        <f>P156</f>
        <v>34704</v>
      </c>
      <c r="R156" s="44">
        <f>ROUND(Q156*(1+取值表!$D$10)*取值表!$H$10,0)</f>
        <v>34917</v>
      </c>
      <c r="S156" s="44">
        <f t="shared" ref="S156:U156" si="2306">R156</f>
        <v>34917</v>
      </c>
      <c r="T156" s="44">
        <f t="shared" si="2306"/>
        <v>34917</v>
      </c>
      <c r="U156" s="44">
        <f t="shared" si="2306"/>
        <v>34917</v>
      </c>
      <c r="V156" s="44">
        <f>ROUND(U156*(1+取值表!$D$10)*取值表!$H$10,0)</f>
        <v>35131</v>
      </c>
      <c r="W156" s="44">
        <f t="shared" ref="W156:Y156" si="2307">V156</f>
        <v>35131</v>
      </c>
      <c r="X156" s="44">
        <f t="shared" si="2307"/>
        <v>35131</v>
      </c>
      <c r="Y156" s="44">
        <f t="shared" si="2307"/>
        <v>35131</v>
      </c>
      <c r="Z156" s="44">
        <f>ROUND(Y156*(1+取值表!$D$10)*取值表!$H$10,0)</f>
        <v>35346</v>
      </c>
      <c r="AA156" s="44">
        <f t="shared" ref="AA156:AC156" si="2308">Z156</f>
        <v>35346</v>
      </c>
      <c r="AB156" s="44">
        <f t="shared" si="2308"/>
        <v>35346</v>
      </c>
      <c r="AC156" s="44">
        <f t="shared" si="2308"/>
        <v>35346</v>
      </c>
      <c r="AD156" s="44">
        <f>ROUND(AC156*(1+取值表!$D$10)*取值表!$H$10,0)</f>
        <v>35563</v>
      </c>
      <c r="AE156" s="44">
        <f t="shared" ref="AE156:AG156" si="2309">AD156</f>
        <v>35563</v>
      </c>
      <c r="AF156" s="44">
        <f t="shared" si="2309"/>
        <v>35563</v>
      </c>
      <c r="AG156" s="44">
        <f t="shared" si="2309"/>
        <v>35563</v>
      </c>
      <c r="AH156" s="44">
        <f>ROUND(AG156*(1+取值表!$D$10)*取值表!$H$10,0)</f>
        <v>35781</v>
      </c>
      <c r="AI156" s="44">
        <f t="shared" ref="AI156:AK156" si="2310">AH156</f>
        <v>35781</v>
      </c>
      <c r="AJ156" s="44">
        <f t="shared" si="2310"/>
        <v>35781</v>
      </c>
      <c r="AK156" s="44">
        <f t="shared" si="2310"/>
        <v>35781</v>
      </c>
      <c r="AL156" s="44">
        <f>ROUND(AK156*(1+取值表!$D$10)*取值表!$H$10,0)</f>
        <v>36000</v>
      </c>
      <c r="AM156" s="44">
        <f t="shared" ref="AM156:AO156" si="2311">AL156</f>
        <v>36000</v>
      </c>
      <c r="AN156" s="44">
        <f t="shared" si="2311"/>
        <v>36000</v>
      </c>
      <c r="AO156" s="44">
        <f t="shared" si="2311"/>
        <v>36000</v>
      </c>
      <c r="AP156" s="44">
        <f>ROUND(AO156*(1+取值表!$D$10)*取值表!$H$10,0)</f>
        <v>36221</v>
      </c>
      <c r="AQ156" s="44">
        <f t="shared" ref="AQ156:AS156" si="2312">AP156</f>
        <v>36221</v>
      </c>
      <c r="AR156" s="44">
        <f t="shared" si="2312"/>
        <v>36221</v>
      </c>
      <c r="AS156" s="44">
        <f t="shared" si="2312"/>
        <v>36221</v>
      </c>
      <c r="AT156" s="44">
        <f>ROUND(AS156*(1+取值表!$D$10)*取值表!$H$10,0)</f>
        <v>36443</v>
      </c>
      <c r="AU156" s="44">
        <f t="shared" ref="AU156:AW156" si="2313">AT156</f>
        <v>36443</v>
      </c>
      <c r="AV156" s="44">
        <f t="shared" si="2313"/>
        <v>36443</v>
      </c>
      <c r="AW156" s="44">
        <f t="shared" si="2313"/>
        <v>36443</v>
      </c>
      <c r="AX156" s="44">
        <f>ROUND(AW156*(1+取值表!$D$10)*取值表!$H$10,0)</f>
        <v>36666</v>
      </c>
      <c r="AY156" s="44">
        <f t="shared" ref="AY156:BA156" si="2314">AX156</f>
        <v>36666</v>
      </c>
      <c r="AZ156" s="44">
        <f t="shared" si="2314"/>
        <v>36666</v>
      </c>
      <c r="BA156" s="44">
        <f t="shared" si="2314"/>
        <v>36666</v>
      </c>
      <c r="BB156" s="44">
        <f>ROUND(BA156*(1+取值表!$D$10)*取值表!$H$10,0)</f>
        <v>36891</v>
      </c>
      <c r="BC156" s="44">
        <f t="shared" ref="BC156:BE156" si="2315">BB156</f>
        <v>36891</v>
      </c>
      <c r="BD156" s="44">
        <f t="shared" si="2315"/>
        <v>36891</v>
      </c>
      <c r="BE156" s="44">
        <f t="shared" si="2315"/>
        <v>36891</v>
      </c>
      <c r="BF156" s="44">
        <f>ROUND(BE156*(1+取值表!$D$10)*取值表!$H$10,0)</f>
        <v>37117</v>
      </c>
      <c r="BG156" s="44">
        <f t="shared" ref="BG156:BI156" si="2316">BF156</f>
        <v>37117</v>
      </c>
      <c r="BH156" s="44">
        <f t="shared" si="2316"/>
        <v>37117</v>
      </c>
      <c r="BI156" s="44">
        <f t="shared" si="2316"/>
        <v>37117</v>
      </c>
      <c r="BJ156" s="44">
        <f>ROUND(BI156*(1+取值表!$D$10)*取值表!$H$10,0)</f>
        <v>37344</v>
      </c>
      <c r="BK156" s="44">
        <f t="shared" ref="BK156:BM156" si="2317">BJ156</f>
        <v>37344</v>
      </c>
      <c r="BL156" s="44">
        <f t="shared" si="2317"/>
        <v>37344</v>
      </c>
      <c r="BM156" s="44">
        <f t="shared" si="2317"/>
        <v>37344</v>
      </c>
      <c r="BN156" s="44">
        <f>ROUND(BM156*(1+取值表!$D$10)*取值表!$H$10,0)</f>
        <v>37573</v>
      </c>
      <c r="BO156" s="44">
        <f t="shared" ref="BO156:BQ156" si="2318">BN156</f>
        <v>37573</v>
      </c>
      <c r="BP156" s="44">
        <f t="shared" si="2318"/>
        <v>37573</v>
      </c>
      <c r="BQ156" s="44">
        <f t="shared" si="2318"/>
        <v>37573</v>
      </c>
      <c r="BR156" s="44">
        <f>ROUND(BQ156*(1+取值表!$D$10)*取值表!$H$10,0)</f>
        <v>37803</v>
      </c>
      <c r="BS156" s="44">
        <f t="shared" ref="BS156:BU156" si="2319">BR156</f>
        <v>37803</v>
      </c>
      <c r="BT156" s="44">
        <f t="shared" si="2319"/>
        <v>37803</v>
      </c>
      <c r="BU156" s="44">
        <f t="shared" si="2319"/>
        <v>37803</v>
      </c>
      <c r="BV156" s="44">
        <f>ROUND(BU156*(1+取值表!$D$10)*取值表!$H$10,0)</f>
        <v>38035</v>
      </c>
      <c r="BW156" s="44">
        <f t="shared" ref="BW156:BY156" si="2320">BV156</f>
        <v>38035</v>
      </c>
      <c r="BX156" s="44">
        <f t="shared" si="2320"/>
        <v>38035</v>
      </c>
      <c r="BY156" s="44">
        <f t="shared" si="2320"/>
        <v>38035</v>
      </c>
      <c r="BZ156" s="44">
        <f>ROUND(BY156*(1+取值表!$D$10)*取值表!$H$10,0)</f>
        <v>38268</v>
      </c>
      <c r="CA156" s="44">
        <f t="shared" ref="CA156:CC156" si="2321">BZ156</f>
        <v>38268</v>
      </c>
      <c r="CB156" s="44">
        <f t="shared" si="2321"/>
        <v>38268</v>
      </c>
      <c r="CC156" s="44">
        <f t="shared" si="2321"/>
        <v>38268</v>
      </c>
      <c r="CD156" s="44">
        <f>ROUND(CC156*(1+取值表!$D$10)*取值表!$H$10,0)</f>
        <v>38503</v>
      </c>
      <c r="CE156" s="44">
        <f t="shared" ref="CE156:CG156" si="2322">CD156</f>
        <v>38503</v>
      </c>
      <c r="CF156" s="44">
        <f t="shared" si="2322"/>
        <v>38503</v>
      </c>
      <c r="CG156" s="44">
        <f t="shared" si="2322"/>
        <v>38503</v>
      </c>
      <c r="CH156" s="44">
        <f>ROUND(CG156*(1+取值表!$D$10)*取值表!$H$10,0)</f>
        <v>38739</v>
      </c>
      <c r="CI156" s="44">
        <f t="shared" ref="CI156:CK156" si="2323">CH156</f>
        <v>38739</v>
      </c>
      <c r="CJ156" s="44">
        <f t="shared" si="2323"/>
        <v>38739</v>
      </c>
      <c r="CK156" s="44">
        <f t="shared" si="2323"/>
        <v>38739</v>
      </c>
      <c r="CL156" s="44">
        <f>ROUND(CK156*(1+取值表!$D$10)*取值表!$H$10,0)</f>
        <v>38976</v>
      </c>
      <c r="CM156" s="44">
        <f t="shared" ref="CM156:CO156" si="2324">CL156</f>
        <v>38976</v>
      </c>
      <c r="CN156" s="44">
        <f t="shared" si="2324"/>
        <v>38976</v>
      </c>
      <c r="CO156" s="44">
        <f t="shared" si="2324"/>
        <v>38976</v>
      </c>
      <c r="CP156" s="44">
        <f>ROUND(CO156*(1+取值表!$D$10)*取值表!$H$10,0)</f>
        <v>39215</v>
      </c>
      <c r="CQ156" s="44">
        <f t="shared" ref="CQ156" si="2325">CP156</f>
        <v>39215</v>
      </c>
      <c r="CR156" s="44">
        <f t="shared" ref="CR156" si="2326">CQ156</f>
        <v>39215</v>
      </c>
      <c r="CS156" s="44">
        <f t="shared" ref="CS156" si="2327">CR156</f>
        <v>39215</v>
      </c>
      <c r="CT156" s="44">
        <f>ROUND(CS156*(1+取值表!$D$10)*取值表!$H$10,0)</f>
        <v>39455</v>
      </c>
      <c r="CU156" s="44">
        <f t="shared" ref="CU156" si="2328">CT156</f>
        <v>39455</v>
      </c>
      <c r="CV156" s="44">
        <f t="shared" ref="CV156" si="2329">CU156</f>
        <v>39455</v>
      </c>
      <c r="CW156" s="44">
        <f t="shared" ref="CW156" si="2330">CV156</f>
        <v>39455</v>
      </c>
      <c r="CX156" s="44">
        <f>ROUND(CW156*(1+取值表!$D$10)*取值表!$H$10,0)</f>
        <v>39697</v>
      </c>
      <c r="CY156" s="44">
        <f t="shared" ref="CY156" si="2331">CX156</f>
        <v>39697</v>
      </c>
      <c r="CZ156" s="44">
        <f t="shared" ref="CZ156" si="2332">CY156</f>
        <v>39697</v>
      </c>
      <c r="DA156" s="44">
        <f t="shared" ref="DA156" si="2333">CZ156</f>
        <v>39697</v>
      </c>
      <c r="DB156" s="44">
        <f>ROUND(DA156*(1+取值表!$D$10)*取值表!$H$10,0)</f>
        <v>39940</v>
      </c>
      <c r="DC156" s="44">
        <f t="shared" ref="DC156" si="2334">DB156</f>
        <v>39940</v>
      </c>
      <c r="DD156" s="44">
        <f t="shared" ref="DD156" si="2335">DC156</f>
        <v>39940</v>
      </c>
      <c r="DE156" s="44">
        <f t="shared" ref="DE156" si="2336">DD156</f>
        <v>39940</v>
      </c>
      <c r="DF156" s="45">
        <f t="shared" si="1976"/>
        <v>3715284</v>
      </c>
    </row>
    <row r="157" spans="1:110" s="40" customFormat="1" ht="12">
      <c r="A157" s="505"/>
      <c r="B157" s="518"/>
      <c r="C157" s="450"/>
      <c r="D157" s="451"/>
      <c r="E157" s="452"/>
      <c r="F157" s="446"/>
      <c r="G157" s="446"/>
      <c r="H157" s="447"/>
      <c r="I157" s="41"/>
      <c r="J157" s="42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5">
        <f t="shared" si="1976"/>
        <v>0</v>
      </c>
    </row>
    <row r="158" spans="1:110" s="40" customFormat="1" ht="12">
      <c r="A158" s="504">
        <v>79</v>
      </c>
      <c r="B158" s="518" t="s">
        <v>177</v>
      </c>
      <c r="C158" s="450" t="s">
        <v>178</v>
      </c>
      <c r="D158" s="451" t="s">
        <v>484</v>
      </c>
      <c r="E158" s="452" t="s">
        <v>459</v>
      </c>
      <c r="F158" s="446">
        <v>12.24</v>
      </c>
      <c r="G158" s="446">
        <v>38</v>
      </c>
      <c r="H158" s="447">
        <f>F158*G158*365</f>
        <v>169768.8</v>
      </c>
      <c r="I158" s="41">
        <v>42442.2</v>
      </c>
      <c r="J158" s="43">
        <f>ROUND(F158*G158*365/4,0)</f>
        <v>42442</v>
      </c>
      <c r="K158" s="235">
        <f>J158</f>
        <v>42442</v>
      </c>
      <c r="L158" s="235">
        <f>K158</f>
        <v>42442</v>
      </c>
      <c r="M158" s="44">
        <f>L158</f>
        <v>42442</v>
      </c>
      <c r="N158" s="44">
        <f>ROUND(M158*(1+取值表!$D$10)*取值表!$H$10,0)</f>
        <v>42702</v>
      </c>
      <c r="O158" s="44">
        <f>N158</f>
        <v>42702</v>
      </c>
      <c r="P158" s="44">
        <f>O158</f>
        <v>42702</v>
      </c>
      <c r="Q158" s="44">
        <f>P158</f>
        <v>42702</v>
      </c>
      <c r="R158" s="44">
        <f>ROUND(Q158*(1+取值表!$D$10)*取值表!$H$10,0)</f>
        <v>42964</v>
      </c>
      <c r="S158" s="44">
        <f t="shared" ref="S158:U158" si="2337">R158</f>
        <v>42964</v>
      </c>
      <c r="T158" s="44">
        <f t="shared" si="2337"/>
        <v>42964</v>
      </c>
      <c r="U158" s="44">
        <f t="shared" si="2337"/>
        <v>42964</v>
      </c>
      <c r="V158" s="44">
        <f>ROUND(U158*(1+取值表!$D$10)*取值表!$H$10,0)</f>
        <v>43227</v>
      </c>
      <c r="W158" s="44">
        <f t="shared" ref="W158:Y158" si="2338">V158</f>
        <v>43227</v>
      </c>
      <c r="X158" s="44">
        <f t="shared" si="2338"/>
        <v>43227</v>
      </c>
      <c r="Y158" s="44">
        <f t="shared" si="2338"/>
        <v>43227</v>
      </c>
      <c r="Z158" s="44">
        <f>ROUND(Y158*(1+取值表!$D$10)*取值表!$H$10,0)</f>
        <v>43492</v>
      </c>
      <c r="AA158" s="44">
        <f t="shared" ref="AA158:AC158" si="2339">Z158</f>
        <v>43492</v>
      </c>
      <c r="AB158" s="44">
        <f t="shared" si="2339"/>
        <v>43492</v>
      </c>
      <c r="AC158" s="44">
        <f t="shared" si="2339"/>
        <v>43492</v>
      </c>
      <c r="AD158" s="44">
        <f>ROUND(AC158*(1+取值表!$D$10)*取值表!$H$10,0)</f>
        <v>43759</v>
      </c>
      <c r="AE158" s="44">
        <f t="shared" ref="AE158:AG158" si="2340">AD158</f>
        <v>43759</v>
      </c>
      <c r="AF158" s="44">
        <f t="shared" si="2340"/>
        <v>43759</v>
      </c>
      <c r="AG158" s="44">
        <f t="shared" si="2340"/>
        <v>43759</v>
      </c>
      <c r="AH158" s="44">
        <f>ROUND(AG158*(1+取值表!$D$10)*取值表!$H$10,0)</f>
        <v>44027</v>
      </c>
      <c r="AI158" s="44">
        <f t="shared" ref="AI158:AK158" si="2341">AH158</f>
        <v>44027</v>
      </c>
      <c r="AJ158" s="44">
        <f t="shared" si="2341"/>
        <v>44027</v>
      </c>
      <c r="AK158" s="44">
        <f t="shared" si="2341"/>
        <v>44027</v>
      </c>
      <c r="AL158" s="44">
        <f>ROUND(AK158*(1+取值表!$D$10)*取值表!$H$10,0)</f>
        <v>44297</v>
      </c>
      <c r="AM158" s="44">
        <f t="shared" ref="AM158:AO158" si="2342">AL158</f>
        <v>44297</v>
      </c>
      <c r="AN158" s="44">
        <f t="shared" si="2342"/>
        <v>44297</v>
      </c>
      <c r="AO158" s="44">
        <f t="shared" si="2342"/>
        <v>44297</v>
      </c>
      <c r="AP158" s="44">
        <f>ROUND(AO158*(1+取值表!$D$10)*取值表!$H$10,0)</f>
        <v>44569</v>
      </c>
      <c r="AQ158" s="44">
        <f t="shared" ref="AQ158:AS158" si="2343">AP158</f>
        <v>44569</v>
      </c>
      <c r="AR158" s="44">
        <f t="shared" si="2343"/>
        <v>44569</v>
      </c>
      <c r="AS158" s="44">
        <f t="shared" si="2343"/>
        <v>44569</v>
      </c>
      <c r="AT158" s="44">
        <f>ROUND(AS158*(1+取值表!$D$10)*取值表!$H$10,0)</f>
        <v>44842</v>
      </c>
      <c r="AU158" s="44">
        <f t="shared" ref="AU158:AW158" si="2344">AT158</f>
        <v>44842</v>
      </c>
      <c r="AV158" s="44">
        <f t="shared" si="2344"/>
        <v>44842</v>
      </c>
      <c r="AW158" s="44">
        <f t="shared" si="2344"/>
        <v>44842</v>
      </c>
      <c r="AX158" s="44">
        <f>ROUND(AW158*(1+取值表!$D$10)*取值表!$H$10,0)</f>
        <v>45117</v>
      </c>
      <c r="AY158" s="44">
        <f t="shared" ref="AY158:BA158" si="2345">AX158</f>
        <v>45117</v>
      </c>
      <c r="AZ158" s="44">
        <f t="shared" si="2345"/>
        <v>45117</v>
      </c>
      <c r="BA158" s="44">
        <f t="shared" si="2345"/>
        <v>45117</v>
      </c>
      <c r="BB158" s="44">
        <f>ROUND(BA158*(1+取值表!$D$10)*取值表!$H$10,0)</f>
        <v>45394</v>
      </c>
      <c r="BC158" s="44">
        <f t="shared" ref="BC158:BE158" si="2346">BB158</f>
        <v>45394</v>
      </c>
      <c r="BD158" s="44">
        <f t="shared" si="2346"/>
        <v>45394</v>
      </c>
      <c r="BE158" s="44">
        <f t="shared" si="2346"/>
        <v>45394</v>
      </c>
      <c r="BF158" s="44">
        <f>ROUND(BE158*(1+取值表!$D$10)*取值表!$H$10,0)</f>
        <v>45672</v>
      </c>
      <c r="BG158" s="44">
        <f t="shared" ref="BG158:BI158" si="2347">BF158</f>
        <v>45672</v>
      </c>
      <c r="BH158" s="44">
        <f t="shared" si="2347"/>
        <v>45672</v>
      </c>
      <c r="BI158" s="44">
        <f t="shared" si="2347"/>
        <v>45672</v>
      </c>
      <c r="BJ158" s="44">
        <f>ROUND(BI158*(1+取值表!$D$10)*取值表!$H$10,0)</f>
        <v>45952</v>
      </c>
      <c r="BK158" s="44">
        <f t="shared" ref="BK158:BM158" si="2348">BJ158</f>
        <v>45952</v>
      </c>
      <c r="BL158" s="44">
        <f t="shared" si="2348"/>
        <v>45952</v>
      </c>
      <c r="BM158" s="44">
        <f t="shared" si="2348"/>
        <v>45952</v>
      </c>
      <c r="BN158" s="44">
        <f>ROUND(BM158*(1+取值表!$D$10)*取值表!$H$10,0)</f>
        <v>46234</v>
      </c>
      <c r="BO158" s="44">
        <f t="shared" ref="BO158:BQ158" si="2349">BN158</f>
        <v>46234</v>
      </c>
      <c r="BP158" s="44">
        <f t="shared" si="2349"/>
        <v>46234</v>
      </c>
      <c r="BQ158" s="44">
        <f t="shared" si="2349"/>
        <v>46234</v>
      </c>
      <c r="BR158" s="44">
        <f>ROUND(BQ158*(1+取值表!$D$10)*取值表!$H$10,0)</f>
        <v>46517</v>
      </c>
      <c r="BS158" s="44">
        <f t="shared" ref="BS158:BU158" si="2350">BR158</f>
        <v>46517</v>
      </c>
      <c r="BT158" s="44">
        <f t="shared" si="2350"/>
        <v>46517</v>
      </c>
      <c r="BU158" s="44">
        <f t="shared" si="2350"/>
        <v>46517</v>
      </c>
      <c r="BV158" s="44">
        <f>ROUND(BU158*(1+取值表!$D$10)*取值表!$H$10,0)</f>
        <v>46802</v>
      </c>
      <c r="BW158" s="44">
        <f t="shared" ref="BW158:BY158" si="2351">BV158</f>
        <v>46802</v>
      </c>
      <c r="BX158" s="44">
        <f t="shared" si="2351"/>
        <v>46802</v>
      </c>
      <c r="BY158" s="44">
        <f t="shared" si="2351"/>
        <v>46802</v>
      </c>
      <c r="BZ158" s="44">
        <f>ROUND(BY158*(1+取值表!$D$10)*取值表!$H$10,0)</f>
        <v>47089</v>
      </c>
      <c r="CA158" s="44">
        <f t="shared" ref="CA158:CC158" si="2352">BZ158</f>
        <v>47089</v>
      </c>
      <c r="CB158" s="44">
        <f t="shared" si="2352"/>
        <v>47089</v>
      </c>
      <c r="CC158" s="44">
        <f t="shared" si="2352"/>
        <v>47089</v>
      </c>
      <c r="CD158" s="44">
        <f>ROUND(CC158*(1+取值表!$D$10)*取值表!$H$10,0)</f>
        <v>47378</v>
      </c>
      <c r="CE158" s="44">
        <f t="shared" ref="CE158:CG158" si="2353">CD158</f>
        <v>47378</v>
      </c>
      <c r="CF158" s="44">
        <f t="shared" si="2353"/>
        <v>47378</v>
      </c>
      <c r="CG158" s="44">
        <f t="shared" si="2353"/>
        <v>47378</v>
      </c>
      <c r="CH158" s="44">
        <f>ROUND(CG158*(1+取值表!$D$10)*取值表!$H$10,0)</f>
        <v>47668</v>
      </c>
      <c r="CI158" s="44">
        <f t="shared" ref="CI158:CK158" si="2354">CH158</f>
        <v>47668</v>
      </c>
      <c r="CJ158" s="44">
        <f t="shared" si="2354"/>
        <v>47668</v>
      </c>
      <c r="CK158" s="44">
        <f t="shared" si="2354"/>
        <v>47668</v>
      </c>
      <c r="CL158" s="44">
        <f>ROUND(CK158*(1+取值表!$D$10)*取值表!$H$10,0)</f>
        <v>47960</v>
      </c>
      <c r="CM158" s="44">
        <f t="shared" ref="CM158:CO158" si="2355">CL158</f>
        <v>47960</v>
      </c>
      <c r="CN158" s="44">
        <f t="shared" si="2355"/>
        <v>47960</v>
      </c>
      <c r="CO158" s="44">
        <f t="shared" si="2355"/>
        <v>47960</v>
      </c>
      <c r="CP158" s="44">
        <f>ROUND(CO158*(1+取值表!$D$10)*取值表!$H$10,0)</f>
        <v>48254</v>
      </c>
      <c r="CQ158" s="44">
        <f t="shared" ref="CQ158" si="2356">CP158</f>
        <v>48254</v>
      </c>
      <c r="CR158" s="44">
        <f t="shared" ref="CR158" si="2357">CQ158</f>
        <v>48254</v>
      </c>
      <c r="CS158" s="44">
        <f t="shared" ref="CS158" si="2358">CR158</f>
        <v>48254</v>
      </c>
      <c r="CT158" s="44">
        <f>ROUND(CS158*(1+取值表!$D$10)*取值表!$H$10,0)</f>
        <v>48550</v>
      </c>
      <c r="CU158" s="44">
        <f t="shared" ref="CU158" si="2359">CT158</f>
        <v>48550</v>
      </c>
      <c r="CV158" s="44">
        <f t="shared" ref="CV158" si="2360">CU158</f>
        <v>48550</v>
      </c>
      <c r="CW158" s="44">
        <f t="shared" ref="CW158" si="2361">CV158</f>
        <v>48550</v>
      </c>
      <c r="CX158" s="44">
        <f>ROUND(CW158*(1+取值表!$D$10)*取值表!$H$10,0)</f>
        <v>48848</v>
      </c>
      <c r="CY158" s="44">
        <f t="shared" ref="CY158" si="2362">CX158</f>
        <v>48848</v>
      </c>
      <c r="CZ158" s="44">
        <f t="shared" ref="CZ158" si="2363">CY158</f>
        <v>48848</v>
      </c>
      <c r="DA158" s="44">
        <f t="shared" ref="DA158" si="2364">CZ158</f>
        <v>48848</v>
      </c>
      <c r="DB158" s="44">
        <f>ROUND(DA158*(1+取值表!$D$10)*取值表!$H$10,0)</f>
        <v>49147</v>
      </c>
      <c r="DC158" s="44">
        <f t="shared" ref="DC158" si="2365">DB158</f>
        <v>49147</v>
      </c>
      <c r="DD158" s="44">
        <f t="shared" ref="DD158" si="2366">DC158</f>
        <v>49147</v>
      </c>
      <c r="DE158" s="44">
        <f t="shared" ref="DE158" si="2367">DD158</f>
        <v>49147</v>
      </c>
      <c r="DF158" s="45">
        <f t="shared" si="1976"/>
        <v>4571612</v>
      </c>
    </row>
    <row r="159" spans="1:110" s="40" customFormat="1" ht="15" customHeight="1">
      <c r="A159" s="505"/>
      <c r="B159" s="518"/>
      <c r="C159" s="450"/>
      <c r="D159" s="451"/>
      <c r="E159" s="452"/>
      <c r="F159" s="446"/>
      <c r="G159" s="446"/>
      <c r="H159" s="447"/>
      <c r="I159" s="41"/>
      <c r="J159" s="42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5">
        <f t="shared" si="1976"/>
        <v>0</v>
      </c>
    </row>
    <row r="160" spans="1:110" s="40" customFormat="1" ht="12" customHeight="1">
      <c r="A160" s="504">
        <v>80</v>
      </c>
      <c r="B160" s="518" t="s">
        <v>179</v>
      </c>
      <c r="C160" s="450" t="s">
        <v>180</v>
      </c>
      <c r="D160" s="451" t="s">
        <v>446</v>
      </c>
      <c r="E160" s="452" t="s">
        <v>459</v>
      </c>
      <c r="F160" s="446">
        <v>12.96</v>
      </c>
      <c r="G160" s="446">
        <v>39</v>
      </c>
      <c r="H160" s="447">
        <f>F160*G160*365</f>
        <v>184485.6</v>
      </c>
      <c r="I160" s="41">
        <v>46121.4</v>
      </c>
      <c r="J160" s="42">
        <f>ROUND(F160*G160*365/4,0)</f>
        <v>46121</v>
      </c>
      <c r="K160" s="43">
        <f>J160</f>
        <v>46121</v>
      </c>
      <c r="L160" s="44">
        <f>K160</f>
        <v>46121</v>
      </c>
      <c r="M160" s="44">
        <f>L160</f>
        <v>46121</v>
      </c>
      <c r="N160" s="44">
        <f>ROUND(M160*(1+取值表!$D$10)*取值表!$H$10,0)</f>
        <v>46404</v>
      </c>
      <c r="O160" s="44">
        <f>N160</f>
        <v>46404</v>
      </c>
      <c r="P160" s="44">
        <f>O160</f>
        <v>46404</v>
      </c>
      <c r="Q160" s="44">
        <f>P160</f>
        <v>46404</v>
      </c>
      <c r="R160" s="44">
        <f>ROUND(Q160*(1+取值表!$D$10)*取值表!$H$10,0)</f>
        <v>46688</v>
      </c>
      <c r="S160" s="44">
        <f t="shared" ref="S160:U160" si="2368">R160</f>
        <v>46688</v>
      </c>
      <c r="T160" s="44">
        <f t="shared" si="2368"/>
        <v>46688</v>
      </c>
      <c r="U160" s="44">
        <f t="shared" si="2368"/>
        <v>46688</v>
      </c>
      <c r="V160" s="44">
        <f>ROUND(U160*(1+取值表!$D$10)*取值表!$H$10,0)</f>
        <v>46974</v>
      </c>
      <c r="W160" s="44">
        <f t="shared" ref="W160:Y160" si="2369">V160</f>
        <v>46974</v>
      </c>
      <c r="X160" s="44">
        <f t="shared" si="2369"/>
        <v>46974</v>
      </c>
      <c r="Y160" s="44">
        <f t="shared" si="2369"/>
        <v>46974</v>
      </c>
      <c r="Z160" s="44">
        <f>ROUND(Y160*(1+取值表!$D$10)*取值表!$H$10,0)</f>
        <v>47262</v>
      </c>
      <c r="AA160" s="44">
        <f t="shared" ref="AA160:AC160" si="2370">Z160</f>
        <v>47262</v>
      </c>
      <c r="AB160" s="44">
        <f t="shared" si="2370"/>
        <v>47262</v>
      </c>
      <c r="AC160" s="44">
        <f t="shared" si="2370"/>
        <v>47262</v>
      </c>
      <c r="AD160" s="44">
        <f>ROUND(AC160*(1+取值表!$D$10)*取值表!$H$10,0)</f>
        <v>47552</v>
      </c>
      <c r="AE160" s="44">
        <f t="shared" ref="AE160:AG160" si="2371">AD160</f>
        <v>47552</v>
      </c>
      <c r="AF160" s="44">
        <f t="shared" si="2371"/>
        <v>47552</v>
      </c>
      <c r="AG160" s="44">
        <f t="shared" si="2371"/>
        <v>47552</v>
      </c>
      <c r="AH160" s="44">
        <f>ROUND(AG160*(1+取值表!$D$10)*取值表!$H$10,0)</f>
        <v>47843</v>
      </c>
      <c r="AI160" s="44">
        <f t="shared" ref="AI160:AK160" si="2372">AH160</f>
        <v>47843</v>
      </c>
      <c r="AJ160" s="44">
        <f t="shared" si="2372"/>
        <v>47843</v>
      </c>
      <c r="AK160" s="44">
        <f t="shared" si="2372"/>
        <v>47843</v>
      </c>
      <c r="AL160" s="44">
        <f>ROUND(AK160*(1+取值表!$D$10)*取值表!$H$10,0)</f>
        <v>48136</v>
      </c>
      <c r="AM160" s="44">
        <f t="shared" ref="AM160:AO160" si="2373">AL160</f>
        <v>48136</v>
      </c>
      <c r="AN160" s="44">
        <f t="shared" si="2373"/>
        <v>48136</v>
      </c>
      <c r="AO160" s="44">
        <f t="shared" si="2373"/>
        <v>48136</v>
      </c>
      <c r="AP160" s="44">
        <f>ROUND(AO160*(1+取值表!$D$10)*取值表!$H$10,0)</f>
        <v>48431</v>
      </c>
      <c r="AQ160" s="44">
        <f t="shared" ref="AQ160:AS160" si="2374">AP160</f>
        <v>48431</v>
      </c>
      <c r="AR160" s="44">
        <f t="shared" si="2374"/>
        <v>48431</v>
      </c>
      <c r="AS160" s="44">
        <f t="shared" si="2374"/>
        <v>48431</v>
      </c>
      <c r="AT160" s="44">
        <f>ROUND(AS160*(1+取值表!$D$10)*取值表!$H$10,0)</f>
        <v>48728</v>
      </c>
      <c r="AU160" s="44">
        <f t="shared" ref="AU160:AW160" si="2375">AT160</f>
        <v>48728</v>
      </c>
      <c r="AV160" s="44">
        <f t="shared" si="2375"/>
        <v>48728</v>
      </c>
      <c r="AW160" s="44">
        <f t="shared" si="2375"/>
        <v>48728</v>
      </c>
      <c r="AX160" s="44">
        <f>ROUND(AW160*(1+取值表!$D$10)*取值表!$H$10,0)</f>
        <v>49027</v>
      </c>
      <c r="AY160" s="44">
        <f t="shared" ref="AY160:BA160" si="2376">AX160</f>
        <v>49027</v>
      </c>
      <c r="AZ160" s="44">
        <f t="shared" si="2376"/>
        <v>49027</v>
      </c>
      <c r="BA160" s="44">
        <f t="shared" si="2376"/>
        <v>49027</v>
      </c>
      <c r="BB160" s="44">
        <f>ROUND(BA160*(1+取值表!$D$10)*取值表!$H$10,0)</f>
        <v>49327</v>
      </c>
      <c r="BC160" s="44">
        <f t="shared" ref="BC160:BE160" si="2377">BB160</f>
        <v>49327</v>
      </c>
      <c r="BD160" s="44">
        <f t="shared" si="2377"/>
        <v>49327</v>
      </c>
      <c r="BE160" s="44">
        <f t="shared" si="2377"/>
        <v>49327</v>
      </c>
      <c r="BF160" s="44">
        <f>ROUND(BE160*(1+取值表!$D$10)*取值表!$H$10,0)</f>
        <v>49629</v>
      </c>
      <c r="BG160" s="44">
        <f t="shared" ref="BG160:BI160" si="2378">BF160</f>
        <v>49629</v>
      </c>
      <c r="BH160" s="44">
        <f t="shared" si="2378"/>
        <v>49629</v>
      </c>
      <c r="BI160" s="44">
        <f t="shared" si="2378"/>
        <v>49629</v>
      </c>
      <c r="BJ160" s="44">
        <f>ROUND(BI160*(1+取值表!$D$10)*取值表!$H$10,0)</f>
        <v>49933</v>
      </c>
      <c r="BK160" s="44">
        <f t="shared" ref="BK160:BM160" si="2379">BJ160</f>
        <v>49933</v>
      </c>
      <c r="BL160" s="44">
        <f t="shared" si="2379"/>
        <v>49933</v>
      </c>
      <c r="BM160" s="44">
        <f t="shared" si="2379"/>
        <v>49933</v>
      </c>
      <c r="BN160" s="44">
        <f>ROUND(BM160*(1+取值表!$D$10)*取值表!$H$10,0)</f>
        <v>50239</v>
      </c>
      <c r="BO160" s="44">
        <f t="shared" ref="BO160:BQ160" si="2380">BN160</f>
        <v>50239</v>
      </c>
      <c r="BP160" s="44">
        <f t="shared" si="2380"/>
        <v>50239</v>
      </c>
      <c r="BQ160" s="44">
        <f t="shared" si="2380"/>
        <v>50239</v>
      </c>
      <c r="BR160" s="44">
        <f>ROUND(BQ160*(1+取值表!$D$10)*取值表!$H$10,0)</f>
        <v>50547</v>
      </c>
      <c r="BS160" s="44">
        <f t="shared" ref="BS160:BU160" si="2381">BR160</f>
        <v>50547</v>
      </c>
      <c r="BT160" s="44">
        <f t="shared" si="2381"/>
        <v>50547</v>
      </c>
      <c r="BU160" s="44">
        <f t="shared" si="2381"/>
        <v>50547</v>
      </c>
      <c r="BV160" s="44">
        <f>ROUND(BU160*(1+取值表!$D$10)*取值表!$H$10,0)</f>
        <v>50857</v>
      </c>
      <c r="BW160" s="44">
        <f t="shared" ref="BW160:BY160" si="2382">BV160</f>
        <v>50857</v>
      </c>
      <c r="BX160" s="44">
        <f t="shared" si="2382"/>
        <v>50857</v>
      </c>
      <c r="BY160" s="44">
        <f t="shared" si="2382"/>
        <v>50857</v>
      </c>
      <c r="BZ160" s="44">
        <f>ROUND(BY160*(1+取值表!$D$10)*取值表!$H$10,0)</f>
        <v>51169</v>
      </c>
      <c r="CA160" s="44">
        <f t="shared" ref="CA160:CC160" si="2383">BZ160</f>
        <v>51169</v>
      </c>
      <c r="CB160" s="44">
        <f t="shared" si="2383"/>
        <v>51169</v>
      </c>
      <c r="CC160" s="44">
        <f t="shared" si="2383"/>
        <v>51169</v>
      </c>
      <c r="CD160" s="44">
        <f>ROUND(CC160*(1+取值表!$D$10)*取值表!$H$10,0)</f>
        <v>51483</v>
      </c>
      <c r="CE160" s="44">
        <f t="shared" ref="CE160:CG160" si="2384">CD160</f>
        <v>51483</v>
      </c>
      <c r="CF160" s="44">
        <f t="shared" si="2384"/>
        <v>51483</v>
      </c>
      <c r="CG160" s="44">
        <f t="shared" si="2384"/>
        <v>51483</v>
      </c>
      <c r="CH160" s="44">
        <f>ROUND(CG160*(1+取值表!$D$10)*取值表!$H$10,0)</f>
        <v>51799</v>
      </c>
      <c r="CI160" s="44">
        <f t="shared" ref="CI160:CK160" si="2385">CH160</f>
        <v>51799</v>
      </c>
      <c r="CJ160" s="44">
        <f t="shared" si="2385"/>
        <v>51799</v>
      </c>
      <c r="CK160" s="44">
        <f t="shared" si="2385"/>
        <v>51799</v>
      </c>
      <c r="CL160" s="44">
        <f>ROUND(CK160*(1+取值表!$D$10)*取值表!$H$10,0)</f>
        <v>52116</v>
      </c>
      <c r="CM160" s="44">
        <f t="shared" ref="CM160:CO160" si="2386">CL160</f>
        <v>52116</v>
      </c>
      <c r="CN160" s="44">
        <f t="shared" si="2386"/>
        <v>52116</v>
      </c>
      <c r="CO160" s="44">
        <f t="shared" si="2386"/>
        <v>52116</v>
      </c>
      <c r="CP160" s="44">
        <f>ROUND(CO160*(1+取值表!$D$10)*取值表!$H$10,0)</f>
        <v>52435</v>
      </c>
      <c r="CQ160" s="44">
        <f t="shared" ref="CQ160" si="2387">CP160</f>
        <v>52435</v>
      </c>
      <c r="CR160" s="44">
        <f t="shared" ref="CR160" si="2388">CQ160</f>
        <v>52435</v>
      </c>
      <c r="CS160" s="44">
        <f t="shared" ref="CS160" si="2389">CR160</f>
        <v>52435</v>
      </c>
      <c r="CT160" s="44">
        <f>ROUND(CS160*(1+取值表!$D$10)*取值表!$H$10,0)</f>
        <v>52756</v>
      </c>
      <c r="CU160" s="44">
        <f t="shared" ref="CU160" si="2390">CT160</f>
        <v>52756</v>
      </c>
      <c r="CV160" s="44">
        <f t="shared" ref="CV160" si="2391">CU160</f>
        <v>52756</v>
      </c>
      <c r="CW160" s="44">
        <f t="shared" ref="CW160" si="2392">CV160</f>
        <v>52756</v>
      </c>
      <c r="CX160" s="44">
        <f>ROUND(CW160*(1+取值表!$D$10)*取值表!$H$10,0)</f>
        <v>53079</v>
      </c>
      <c r="CY160" s="44">
        <f t="shared" ref="CY160" si="2393">CX160</f>
        <v>53079</v>
      </c>
      <c r="CZ160" s="44">
        <f t="shared" ref="CZ160" si="2394">CY160</f>
        <v>53079</v>
      </c>
      <c r="DA160" s="44">
        <f t="shared" ref="DA160" si="2395">CZ160</f>
        <v>53079</v>
      </c>
      <c r="DB160" s="44">
        <f>ROUND(DA160*(1+取值表!$D$10)*取值表!$H$10,0)</f>
        <v>53404</v>
      </c>
      <c r="DC160" s="44">
        <f t="shared" ref="DC160" si="2396">DB160</f>
        <v>53404</v>
      </c>
      <c r="DD160" s="44">
        <f t="shared" ref="DD160" si="2397">DC160</f>
        <v>53404</v>
      </c>
      <c r="DE160" s="44">
        <f t="shared" ref="DE160" si="2398">DD160</f>
        <v>53404</v>
      </c>
      <c r="DF160" s="45">
        <f t="shared" si="1976"/>
        <v>4967756</v>
      </c>
    </row>
    <row r="161" spans="1:228" s="40" customFormat="1" ht="12">
      <c r="A161" s="505"/>
      <c r="B161" s="518"/>
      <c r="C161" s="450"/>
      <c r="D161" s="451"/>
      <c r="E161" s="452"/>
      <c r="F161" s="446"/>
      <c r="G161" s="446"/>
      <c r="H161" s="447"/>
      <c r="I161" s="41"/>
      <c r="J161" s="42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5">
        <f t="shared" si="1976"/>
        <v>0</v>
      </c>
    </row>
    <row r="162" spans="1:228" s="52" customFormat="1" ht="12" customHeight="1">
      <c r="A162" s="504">
        <v>81</v>
      </c>
      <c r="B162" s="506" t="s">
        <v>115</v>
      </c>
      <c r="C162" s="508" t="s">
        <v>731</v>
      </c>
      <c r="D162" s="510" t="s">
        <v>704</v>
      </c>
      <c r="E162" s="512" t="s">
        <v>459</v>
      </c>
      <c r="F162" s="500">
        <v>131.33000000000001</v>
      </c>
      <c r="G162" s="500">
        <v>26</v>
      </c>
      <c r="H162" s="502">
        <f>F162*G162*365</f>
        <v>1246321.7000000002</v>
      </c>
      <c r="I162" s="228">
        <v>287612.7</v>
      </c>
      <c r="J162" s="42">
        <f>ROUND(G162*F162*365/4,0)</f>
        <v>311580</v>
      </c>
      <c r="K162" s="42">
        <f>J162</f>
        <v>311580</v>
      </c>
      <c r="L162" s="42">
        <f>K162</f>
        <v>311580</v>
      </c>
      <c r="M162" s="43">
        <f>L162</f>
        <v>311580</v>
      </c>
      <c r="N162" s="44">
        <f>ROUND(M162*(1+取值表!$D$10)*取值表!$H$10,0)</f>
        <v>313490</v>
      </c>
      <c r="O162" s="42">
        <f>N162</f>
        <v>313490</v>
      </c>
      <c r="P162" s="42">
        <f>O162</f>
        <v>313490</v>
      </c>
      <c r="Q162" s="42">
        <f>P162</f>
        <v>313490</v>
      </c>
      <c r="R162" s="44">
        <f>ROUND(Q162*(1+取值表!$D$10)*取值表!$H$10,0)</f>
        <v>315411</v>
      </c>
      <c r="S162" s="42">
        <f t="shared" ref="S162:U162" si="2399">R162</f>
        <v>315411</v>
      </c>
      <c r="T162" s="42">
        <f t="shared" si="2399"/>
        <v>315411</v>
      </c>
      <c r="U162" s="42">
        <f t="shared" si="2399"/>
        <v>315411</v>
      </c>
      <c r="V162" s="44">
        <f>ROUND(U162*(1+取值表!$D$10)*取值表!$H$10,0)</f>
        <v>317344</v>
      </c>
      <c r="W162" s="42">
        <f t="shared" ref="W162:Y162" si="2400">V162</f>
        <v>317344</v>
      </c>
      <c r="X162" s="42">
        <f t="shared" si="2400"/>
        <v>317344</v>
      </c>
      <c r="Y162" s="42">
        <f t="shared" si="2400"/>
        <v>317344</v>
      </c>
      <c r="Z162" s="44">
        <f>ROUND(Y162*(1+取值表!$D$10)*取值表!$H$10,0)</f>
        <v>319289</v>
      </c>
      <c r="AA162" s="42">
        <f t="shared" ref="AA162:AC162" si="2401">Z162</f>
        <v>319289</v>
      </c>
      <c r="AB162" s="42">
        <f t="shared" si="2401"/>
        <v>319289</v>
      </c>
      <c r="AC162" s="42">
        <f t="shared" si="2401"/>
        <v>319289</v>
      </c>
      <c r="AD162" s="44">
        <f>ROUND(AC162*(1+取值表!$D$10)*取值表!$H$10,0)</f>
        <v>321246</v>
      </c>
      <c r="AE162" s="42">
        <f t="shared" ref="AE162:AG162" si="2402">AD162</f>
        <v>321246</v>
      </c>
      <c r="AF162" s="42">
        <f t="shared" si="2402"/>
        <v>321246</v>
      </c>
      <c r="AG162" s="42">
        <f t="shared" si="2402"/>
        <v>321246</v>
      </c>
      <c r="AH162" s="44">
        <f>ROUND(AG162*(1+取值表!$D$10)*取值表!$H$10,0)</f>
        <v>323215</v>
      </c>
      <c r="AI162" s="42">
        <f t="shared" ref="AI162:AK162" si="2403">AH162</f>
        <v>323215</v>
      </c>
      <c r="AJ162" s="42">
        <f t="shared" si="2403"/>
        <v>323215</v>
      </c>
      <c r="AK162" s="42">
        <f t="shared" si="2403"/>
        <v>323215</v>
      </c>
      <c r="AL162" s="44">
        <f>ROUND(AK162*(1+取值表!$D$10)*取值表!$H$10,0)</f>
        <v>325196</v>
      </c>
      <c r="AM162" s="42">
        <f t="shared" ref="AM162:AO162" si="2404">AL162</f>
        <v>325196</v>
      </c>
      <c r="AN162" s="42">
        <f t="shared" si="2404"/>
        <v>325196</v>
      </c>
      <c r="AO162" s="42">
        <f t="shared" si="2404"/>
        <v>325196</v>
      </c>
      <c r="AP162" s="44">
        <f>ROUND(AO162*(1+取值表!$D$10)*取值表!$H$10,0)</f>
        <v>327189</v>
      </c>
      <c r="AQ162" s="42">
        <f t="shared" ref="AQ162:AS162" si="2405">AP162</f>
        <v>327189</v>
      </c>
      <c r="AR162" s="42">
        <f t="shared" si="2405"/>
        <v>327189</v>
      </c>
      <c r="AS162" s="42">
        <f t="shared" si="2405"/>
        <v>327189</v>
      </c>
      <c r="AT162" s="44">
        <f>ROUND(AS162*(1+取值表!$D$10)*取值表!$H$10,0)</f>
        <v>329194</v>
      </c>
      <c r="AU162" s="42">
        <f t="shared" ref="AU162:AW162" si="2406">AT162</f>
        <v>329194</v>
      </c>
      <c r="AV162" s="42">
        <f t="shared" si="2406"/>
        <v>329194</v>
      </c>
      <c r="AW162" s="42">
        <f t="shared" si="2406"/>
        <v>329194</v>
      </c>
      <c r="AX162" s="44">
        <f>ROUND(AW162*(1+取值表!$D$10)*取值表!$H$10,0)</f>
        <v>331212</v>
      </c>
      <c r="AY162" s="42">
        <f t="shared" ref="AY162:BA162" si="2407">AX162</f>
        <v>331212</v>
      </c>
      <c r="AZ162" s="42">
        <f t="shared" si="2407"/>
        <v>331212</v>
      </c>
      <c r="BA162" s="42">
        <f t="shared" si="2407"/>
        <v>331212</v>
      </c>
      <c r="BB162" s="44">
        <f>ROUND(BA162*(1+取值表!$D$10)*取值表!$H$10,0)</f>
        <v>333242</v>
      </c>
      <c r="BC162" s="42">
        <f t="shared" ref="BC162:BE162" si="2408">BB162</f>
        <v>333242</v>
      </c>
      <c r="BD162" s="42">
        <f t="shared" si="2408"/>
        <v>333242</v>
      </c>
      <c r="BE162" s="42">
        <f t="shared" si="2408"/>
        <v>333242</v>
      </c>
      <c r="BF162" s="44">
        <f>ROUND(BE162*(1+取值表!$D$10)*取值表!$H$10,0)</f>
        <v>335284</v>
      </c>
      <c r="BG162" s="42">
        <f t="shared" ref="BG162:BI162" si="2409">BF162</f>
        <v>335284</v>
      </c>
      <c r="BH162" s="42">
        <f t="shared" si="2409"/>
        <v>335284</v>
      </c>
      <c r="BI162" s="42">
        <f t="shared" si="2409"/>
        <v>335284</v>
      </c>
      <c r="BJ162" s="44">
        <f>ROUND(BI162*(1+取值表!$D$10)*取值表!$H$10,0)</f>
        <v>337339</v>
      </c>
      <c r="BK162" s="42">
        <f t="shared" ref="BK162:BM162" si="2410">BJ162</f>
        <v>337339</v>
      </c>
      <c r="BL162" s="42">
        <f t="shared" si="2410"/>
        <v>337339</v>
      </c>
      <c r="BM162" s="42">
        <f t="shared" si="2410"/>
        <v>337339</v>
      </c>
      <c r="BN162" s="44">
        <f>ROUND(BM162*(1+取值表!$D$10)*取值表!$H$10,0)</f>
        <v>339407</v>
      </c>
      <c r="BO162" s="42">
        <f t="shared" ref="BO162:BQ162" si="2411">BN162</f>
        <v>339407</v>
      </c>
      <c r="BP162" s="42">
        <f t="shared" si="2411"/>
        <v>339407</v>
      </c>
      <c r="BQ162" s="42">
        <f t="shared" si="2411"/>
        <v>339407</v>
      </c>
      <c r="BR162" s="44">
        <f>ROUND(BQ162*(1+取值表!$D$10)*取值表!$H$10,0)</f>
        <v>341487</v>
      </c>
      <c r="BS162" s="42">
        <f t="shared" ref="BS162:BU162" si="2412">BR162</f>
        <v>341487</v>
      </c>
      <c r="BT162" s="42">
        <f t="shared" si="2412"/>
        <v>341487</v>
      </c>
      <c r="BU162" s="42">
        <f t="shared" si="2412"/>
        <v>341487</v>
      </c>
      <c r="BV162" s="44">
        <f>ROUND(BU162*(1+取值表!$D$10)*取值表!$H$10,0)</f>
        <v>343580</v>
      </c>
      <c r="BW162" s="42">
        <f t="shared" ref="BW162:BY162" si="2413">BV162</f>
        <v>343580</v>
      </c>
      <c r="BX162" s="42">
        <f t="shared" si="2413"/>
        <v>343580</v>
      </c>
      <c r="BY162" s="42">
        <f t="shared" si="2413"/>
        <v>343580</v>
      </c>
      <c r="BZ162" s="44">
        <f>ROUND(BY162*(1+取值表!$D$10)*取值表!$H$10,0)</f>
        <v>345686</v>
      </c>
      <c r="CA162" s="42">
        <f t="shared" ref="CA162:CC162" si="2414">BZ162</f>
        <v>345686</v>
      </c>
      <c r="CB162" s="42">
        <f t="shared" si="2414"/>
        <v>345686</v>
      </c>
      <c r="CC162" s="42">
        <f t="shared" si="2414"/>
        <v>345686</v>
      </c>
      <c r="CD162" s="44">
        <f>ROUND(CC162*(1+取值表!$D$10)*取值表!$H$10,0)</f>
        <v>347805</v>
      </c>
      <c r="CE162" s="42">
        <f t="shared" ref="CE162:CG162" si="2415">CD162</f>
        <v>347805</v>
      </c>
      <c r="CF162" s="42">
        <f t="shared" si="2415"/>
        <v>347805</v>
      </c>
      <c r="CG162" s="42">
        <f t="shared" si="2415"/>
        <v>347805</v>
      </c>
      <c r="CH162" s="44">
        <f>ROUND(CG162*(1+取值表!$D$10)*取值表!$H$10,0)</f>
        <v>349937</v>
      </c>
      <c r="CI162" s="42">
        <f t="shared" ref="CI162:CK162" si="2416">CH162</f>
        <v>349937</v>
      </c>
      <c r="CJ162" s="42">
        <f t="shared" si="2416"/>
        <v>349937</v>
      </c>
      <c r="CK162" s="42">
        <f t="shared" si="2416"/>
        <v>349937</v>
      </c>
      <c r="CL162" s="44">
        <f>ROUND(CK162*(1+取值表!$D$10)*取值表!$H$10,0)</f>
        <v>352082</v>
      </c>
      <c r="CM162" s="42">
        <f t="shared" ref="CM162:CO162" si="2417">CL162</f>
        <v>352082</v>
      </c>
      <c r="CN162" s="42">
        <f t="shared" si="2417"/>
        <v>352082</v>
      </c>
      <c r="CO162" s="42">
        <f t="shared" si="2417"/>
        <v>352082</v>
      </c>
      <c r="CP162" s="44">
        <f>ROUND(CO162*(1+取值表!$D$10)*取值表!$H$10,0)</f>
        <v>354240</v>
      </c>
      <c r="CQ162" s="42">
        <f t="shared" ref="CQ162" si="2418">CP162</f>
        <v>354240</v>
      </c>
      <c r="CR162" s="42">
        <f t="shared" ref="CR162" si="2419">CQ162</f>
        <v>354240</v>
      </c>
      <c r="CS162" s="42">
        <f t="shared" ref="CS162" si="2420">CR162</f>
        <v>354240</v>
      </c>
      <c r="CT162" s="44">
        <f>ROUND(CS162*(1+取值表!$D$10)*取值表!$H$10,0)</f>
        <v>356411</v>
      </c>
      <c r="CU162" s="42">
        <f t="shared" ref="CU162" si="2421">CT162</f>
        <v>356411</v>
      </c>
      <c r="CV162" s="42">
        <f t="shared" ref="CV162" si="2422">CU162</f>
        <v>356411</v>
      </c>
      <c r="CW162" s="42">
        <f t="shared" ref="CW162" si="2423">CV162</f>
        <v>356411</v>
      </c>
      <c r="CX162" s="44">
        <f>ROUND(CW162*(1+取值表!$D$10)*取值表!$H$10,0)</f>
        <v>358595</v>
      </c>
      <c r="CY162" s="42">
        <f t="shared" ref="CY162" si="2424">CX162</f>
        <v>358595</v>
      </c>
      <c r="CZ162" s="42">
        <f t="shared" ref="CZ162" si="2425">CY162</f>
        <v>358595</v>
      </c>
      <c r="DA162" s="42">
        <f t="shared" ref="DA162" si="2426">CZ162</f>
        <v>358595</v>
      </c>
      <c r="DB162" s="44">
        <f>ROUND(DA162*(1+取值表!$D$10)*取值表!$H$10,0)</f>
        <v>360793</v>
      </c>
      <c r="DC162" s="42">
        <f t="shared" ref="DC162" si="2427">DB162</f>
        <v>360793</v>
      </c>
      <c r="DD162" s="42">
        <f t="shared" ref="DD162" si="2428">DC162</f>
        <v>360793</v>
      </c>
      <c r="DE162" s="42">
        <f t="shared" ref="DE162" si="2429">DD162</f>
        <v>360793</v>
      </c>
      <c r="DF162" s="45">
        <f t="shared" si="1976"/>
        <v>33561016</v>
      </c>
      <c r="DG162" s="229"/>
      <c r="DH162" s="229"/>
      <c r="DI162" s="229"/>
      <c r="DJ162" s="229"/>
      <c r="DK162" s="229"/>
      <c r="DL162" s="229"/>
      <c r="DM162" s="229"/>
      <c r="DN162" s="229"/>
      <c r="DO162" s="229"/>
      <c r="DP162" s="229"/>
      <c r="DQ162" s="229"/>
      <c r="DR162" s="229"/>
      <c r="DS162" s="229"/>
      <c r="DT162" s="229"/>
      <c r="DU162" s="229"/>
      <c r="DV162" s="229"/>
      <c r="DW162" s="229"/>
      <c r="DX162" s="229"/>
      <c r="DY162" s="229"/>
      <c r="DZ162" s="229"/>
      <c r="EA162" s="229"/>
      <c r="EB162" s="229"/>
      <c r="EC162" s="229"/>
      <c r="ED162" s="229"/>
      <c r="EE162" s="229"/>
      <c r="EF162" s="229"/>
      <c r="EG162" s="229"/>
      <c r="EH162" s="229"/>
      <c r="EI162" s="229"/>
      <c r="EJ162" s="229"/>
      <c r="EK162" s="229"/>
      <c r="EL162" s="229"/>
      <c r="EM162" s="229"/>
      <c r="EN162" s="229"/>
      <c r="EO162" s="229"/>
      <c r="EP162" s="229"/>
      <c r="EQ162" s="229"/>
      <c r="ER162" s="229"/>
      <c r="ES162" s="229"/>
      <c r="ET162" s="229"/>
      <c r="EU162" s="229"/>
      <c r="EV162" s="229"/>
      <c r="EW162" s="229"/>
      <c r="EX162" s="229"/>
      <c r="EY162" s="229"/>
      <c r="EZ162" s="229"/>
      <c r="FA162" s="229"/>
      <c r="FB162" s="229"/>
      <c r="FC162" s="229"/>
      <c r="FD162" s="229"/>
      <c r="FE162" s="229"/>
      <c r="FF162" s="229"/>
      <c r="FG162" s="229"/>
      <c r="FH162" s="229"/>
      <c r="FI162" s="229"/>
      <c r="FJ162" s="229"/>
      <c r="FK162" s="229"/>
      <c r="FL162" s="229"/>
      <c r="FM162" s="229"/>
      <c r="FN162" s="229"/>
      <c r="FO162" s="229"/>
      <c r="FP162" s="229"/>
      <c r="FQ162" s="229"/>
      <c r="FR162" s="229"/>
      <c r="FS162" s="229"/>
      <c r="FT162" s="229"/>
      <c r="FU162" s="229"/>
      <c r="FV162" s="229"/>
      <c r="FW162" s="229"/>
      <c r="FX162" s="229"/>
      <c r="FY162" s="229"/>
      <c r="FZ162" s="229"/>
      <c r="GA162" s="229"/>
      <c r="GB162" s="229"/>
      <c r="GC162" s="229"/>
      <c r="GD162" s="229"/>
      <c r="GE162" s="229"/>
      <c r="GF162" s="229"/>
      <c r="GG162" s="229"/>
      <c r="GH162" s="229"/>
      <c r="GI162" s="229"/>
      <c r="GJ162" s="229"/>
      <c r="GK162" s="229"/>
      <c r="GL162" s="229"/>
      <c r="GM162" s="229"/>
      <c r="GN162" s="229"/>
      <c r="GO162" s="229"/>
      <c r="GP162" s="229"/>
      <c r="GQ162" s="229"/>
      <c r="GR162" s="229"/>
      <c r="GS162" s="229"/>
      <c r="GT162" s="229"/>
      <c r="GU162" s="229"/>
      <c r="GV162" s="229"/>
      <c r="GW162" s="229"/>
      <c r="GX162" s="229"/>
      <c r="GY162" s="229"/>
      <c r="GZ162" s="229"/>
      <c r="HA162" s="229"/>
      <c r="HB162" s="229"/>
      <c r="HC162" s="229"/>
      <c r="HD162" s="229"/>
      <c r="HE162" s="229"/>
      <c r="HF162" s="229"/>
      <c r="HG162" s="229"/>
      <c r="HH162" s="229"/>
      <c r="HI162" s="229"/>
      <c r="HJ162" s="229"/>
      <c r="HK162" s="229"/>
      <c r="HL162" s="229"/>
      <c r="HM162" s="229"/>
      <c r="HN162" s="229"/>
      <c r="HO162" s="229"/>
      <c r="HP162" s="229"/>
      <c r="HQ162" s="48">
        <f t="shared" ref="HQ162:HQ171" si="2430">SUM(J162:HP162)</f>
        <v>67122032</v>
      </c>
      <c r="HR162" s="230">
        <v>14631.68</v>
      </c>
      <c r="HS162" s="231">
        <v>3901.78</v>
      </c>
      <c r="HT162" s="51">
        <v>4480788.5353333401</v>
      </c>
    </row>
    <row r="163" spans="1:228" s="52" customFormat="1" ht="12" customHeight="1">
      <c r="A163" s="505"/>
      <c r="B163" s="507"/>
      <c r="C163" s="509"/>
      <c r="D163" s="511"/>
      <c r="E163" s="513"/>
      <c r="F163" s="501"/>
      <c r="G163" s="501"/>
      <c r="H163" s="503"/>
      <c r="I163" s="233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  <c r="BT163" s="42"/>
      <c r="BU163" s="42"/>
      <c r="BV163" s="42"/>
      <c r="BW163" s="42"/>
      <c r="BX163" s="42"/>
      <c r="BY163" s="42"/>
      <c r="BZ163" s="42"/>
      <c r="CA163" s="42"/>
      <c r="CB163" s="42"/>
      <c r="CC163" s="42"/>
      <c r="CD163" s="42"/>
      <c r="CE163" s="42"/>
      <c r="CF163" s="42"/>
      <c r="CG163" s="42"/>
      <c r="CH163" s="42"/>
      <c r="CI163" s="42"/>
      <c r="CJ163" s="42"/>
      <c r="CK163" s="42"/>
      <c r="CL163" s="42"/>
      <c r="CM163" s="42"/>
      <c r="CN163" s="42"/>
      <c r="CO163" s="42"/>
      <c r="CP163" s="42"/>
      <c r="CQ163" s="42"/>
      <c r="CR163" s="42"/>
      <c r="CS163" s="42"/>
      <c r="CT163" s="42"/>
      <c r="CU163" s="42"/>
      <c r="CV163" s="42"/>
      <c r="CW163" s="42"/>
      <c r="CX163" s="42"/>
      <c r="CY163" s="42"/>
      <c r="CZ163" s="42"/>
      <c r="DA163" s="42"/>
      <c r="DB163" s="42"/>
      <c r="DC163" s="42"/>
      <c r="DD163" s="42"/>
      <c r="DE163" s="42"/>
      <c r="DF163" s="45">
        <f t="shared" si="1976"/>
        <v>0</v>
      </c>
      <c r="DG163" s="47"/>
      <c r="DH163" s="47"/>
      <c r="DI163" s="47"/>
      <c r="DJ163" s="47"/>
      <c r="DK163" s="47"/>
      <c r="DL163" s="47"/>
      <c r="DM163" s="47"/>
      <c r="DN163" s="47"/>
      <c r="DO163" s="47"/>
      <c r="DP163" s="47"/>
      <c r="DQ163" s="47"/>
      <c r="DR163" s="47"/>
      <c r="DS163" s="47"/>
      <c r="DT163" s="47"/>
      <c r="DU163" s="47"/>
      <c r="DV163" s="47"/>
      <c r="DW163" s="47"/>
      <c r="DX163" s="47"/>
      <c r="DY163" s="47"/>
      <c r="DZ163" s="47"/>
      <c r="EA163" s="47"/>
      <c r="EB163" s="47"/>
      <c r="EC163" s="47"/>
      <c r="ED163" s="47"/>
      <c r="EE163" s="47"/>
      <c r="EF163" s="47"/>
      <c r="EG163" s="47"/>
      <c r="EH163" s="47"/>
      <c r="EI163" s="47"/>
      <c r="EJ163" s="47"/>
      <c r="EK163" s="47"/>
      <c r="EL163" s="47"/>
      <c r="EM163" s="47"/>
      <c r="EN163" s="47"/>
      <c r="EO163" s="47"/>
      <c r="EP163" s="47"/>
      <c r="EQ163" s="47"/>
      <c r="ER163" s="47"/>
      <c r="ES163" s="47"/>
      <c r="ET163" s="47"/>
      <c r="EU163" s="47"/>
      <c r="EV163" s="47"/>
      <c r="EW163" s="47"/>
      <c r="EX163" s="47"/>
      <c r="EY163" s="47"/>
      <c r="EZ163" s="47"/>
      <c r="FA163" s="47"/>
      <c r="FB163" s="47"/>
      <c r="FC163" s="47"/>
      <c r="FD163" s="47"/>
      <c r="FE163" s="47"/>
      <c r="FF163" s="47"/>
      <c r="FG163" s="47"/>
      <c r="FH163" s="47"/>
      <c r="FI163" s="47"/>
      <c r="FJ163" s="47"/>
      <c r="FK163" s="47"/>
      <c r="FL163" s="47"/>
      <c r="FM163" s="47"/>
      <c r="FN163" s="47"/>
      <c r="FO163" s="47"/>
      <c r="FP163" s="47"/>
      <c r="FQ163" s="47"/>
      <c r="FR163" s="47"/>
      <c r="FS163" s="47"/>
      <c r="FT163" s="47"/>
      <c r="FU163" s="47"/>
      <c r="FV163" s="47"/>
      <c r="FW163" s="47"/>
      <c r="FX163" s="47"/>
      <c r="FY163" s="47"/>
      <c r="FZ163" s="47"/>
      <c r="GA163" s="47"/>
      <c r="GB163" s="47"/>
      <c r="GC163" s="47"/>
      <c r="GD163" s="47"/>
      <c r="GE163" s="47"/>
      <c r="GF163" s="47"/>
      <c r="GG163" s="47"/>
      <c r="GH163" s="47"/>
      <c r="GI163" s="47"/>
      <c r="GJ163" s="47"/>
      <c r="GK163" s="47"/>
      <c r="GL163" s="47"/>
      <c r="GM163" s="47"/>
      <c r="GN163" s="47"/>
      <c r="GO163" s="47"/>
      <c r="GP163" s="47"/>
      <c r="GQ163" s="47"/>
      <c r="GR163" s="47"/>
      <c r="GS163" s="47"/>
      <c r="GT163" s="47"/>
      <c r="GU163" s="47"/>
      <c r="GV163" s="47"/>
      <c r="GW163" s="47"/>
      <c r="GX163" s="47"/>
      <c r="GY163" s="47"/>
      <c r="GZ163" s="47"/>
      <c r="HA163" s="47"/>
      <c r="HB163" s="47"/>
      <c r="HC163" s="47"/>
      <c r="HD163" s="47"/>
      <c r="HE163" s="47"/>
      <c r="HF163" s="47"/>
      <c r="HG163" s="47"/>
      <c r="HH163" s="47"/>
      <c r="HI163" s="47"/>
      <c r="HJ163" s="47"/>
      <c r="HK163" s="47"/>
      <c r="HL163" s="47"/>
      <c r="HM163" s="47"/>
      <c r="HN163" s="47"/>
      <c r="HO163" s="47"/>
      <c r="HP163" s="47"/>
      <c r="HQ163" s="53">
        <f t="shared" si="2430"/>
        <v>0</v>
      </c>
      <c r="HR163" s="49">
        <v>14631.68</v>
      </c>
      <c r="HS163" s="50">
        <v>3901.78</v>
      </c>
      <c r="HT163" s="51">
        <v>2743894.57</v>
      </c>
    </row>
    <row r="164" spans="1:228" s="52" customFormat="1" ht="12" customHeight="1">
      <c r="A164" s="504">
        <v>82</v>
      </c>
      <c r="B164" s="506" t="s">
        <v>559</v>
      </c>
      <c r="C164" s="508" t="s">
        <v>712</v>
      </c>
      <c r="D164" s="510" t="s">
        <v>553</v>
      </c>
      <c r="E164" s="512" t="s">
        <v>459</v>
      </c>
      <c r="F164" s="500">
        <v>223.24</v>
      </c>
      <c r="G164" s="500">
        <v>22</v>
      </c>
      <c r="H164" s="502">
        <f>F164*G164*365</f>
        <v>1792617.2000000002</v>
      </c>
      <c r="I164" s="228">
        <v>421061.34</v>
      </c>
      <c r="J164" s="43">
        <f>ROUND(G164*F164*365/4,0)</f>
        <v>448154</v>
      </c>
      <c r="K164" s="42">
        <f>J164</f>
        <v>448154</v>
      </c>
      <c r="L164" s="42">
        <f>K164</f>
        <v>448154</v>
      </c>
      <c r="M164" s="42">
        <f>L164</f>
        <v>448154</v>
      </c>
      <c r="N164" s="44">
        <f>ROUND(M164*(1+取值表!$D$10)*取值表!$H$10,0)</f>
        <v>450901</v>
      </c>
      <c r="O164" s="42">
        <f>N164</f>
        <v>450901</v>
      </c>
      <c r="P164" s="42">
        <f>O164</f>
        <v>450901</v>
      </c>
      <c r="Q164" s="42">
        <f>P164</f>
        <v>450901</v>
      </c>
      <c r="R164" s="44">
        <f>ROUND(Q164*(1+取值表!$D$10)*取值表!$H$10,0)</f>
        <v>453665</v>
      </c>
      <c r="S164" s="42">
        <f t="shared" ref="S164:U164" si="2431">R164</f>
        <v>453665</v>
      </c>
      <c r="T164" s="42">
        <f t="shared" si="2431"/>
        <v>453665</v>
      </c>
      <c r="U164" s="42">
        <f t="shared" si="2431"/>
        <v>453665</v>
      </c>
      <c r="V164" s="44">
        <f>ROUND(U164*(1+取值表!$D$10)*取值表!$H$10,0)</f>
        <v>456446</v>
      </c>
      <c r="W164" s="42">
        <f t="shared" ref="W164:Y164" si="2432">V164</f>
        <v>456446</v>
      </c>
      <c r="X164" s="42">
        <f t="shared" si="2432"/>
        <v>456446</v>
      </c>
      <c r="Y164" s="42">
        <f t="shared" si="2432"/>
        <v>456446</v>
      </c>
      <c r="Z164" s="44">
        <f>ROUND(Y164*(1+取值表!$D$10)*取值表!$H$10,0)</f>
        <v>459244</v>
      </c>
      <c r="AA164" s="42">
        <f t="shared" ref="AA164:AC164" si="2433">Z164</f>
        <v>459244</v>
      </c>
      <c r="AB164" s="42">
        <f t="shared" si="2433"/>
        <v>459244</v>
      </c>
      <c r="AC164" s="42">
        <f t="shared" si="2433"/>
        <v>459244</v>
      </c>
      <c r="AD164" s="44">
        <f>ROUND(AC164*(1+取值表!$D$10)*取值表!$H$10,0)</f>
        <v>462059</v>
      </c>
      <c r="AE164" s="42">
        <f t="shared" ref="AE164:AG164" si="2434">AD164</f>
        <v>462059</v>
      </c>
      <c r="AF164" s="42">
        <f t="shared" si="2434"/>
        <v>462059</v>
      </c>
      <c r="AG164" s="42">
        <f t="shared" si="2434"/>
        <v>462059</v>
      </c>
      <c r="AH164" s="44">
        <f>ROUND(AG164*(1+取值表!$D$10)*取值表!$H$10,0)</f>
        <v>464891</v>
      </c>
      <c r="AI164" s="42">
        <f t="shared" ref="AI164:AK164" si="2435">AH164</f>
        <v>464891</v>
      </c>
      <c r="AJ164" s="42">
        <f t="shared" si="2435"/>
        <v>464891</v>
      </c>
      <c r="AK164" s="42">
        <f t="shared" si="2435"/>
        <v>464891</v>
      </c>
      <c r="AL164" s="44">
        <f>ROUND(AK164*(1+取值表!$D$10)*取值表!$H$10,0)</f>
        <v>467740</v>
      </c>
      <c r="AM164" s="42">
        <f t="shared" ref="AM164:AO164" si="2436">AL164</f>
        <v>467740</v>
      </c>
      <c r="AN164" s="42">
        <f t="shared" si="2436"/>
        <v>467740</v>
      </c>
      <c r="AO164" s="42">
        <f t="shared" si="2436"/>
        <v>467740</v>
      </c>
      <c r="AP164" s="44">
        <f>ROUND(AO164*(1+取值表!$D$10)*取值表!$H$10,0)</f>
        <v>470607</v>
      </c>
      <c r="AQ164" s="42">
        <f t="shared" ref="AQ164:AS164" si="2437">AP164</f>
        <v>470607</v>
      </c>
      <c r="AR164" s="42">
        <f t="shared" si="2437"/>
        <v>470607</v>
      </c>
      <c r="AS164" s="42">
        <f t="shared" si="2437"/>
        <v>470607</v>
      </c>
      <c r="AT164" s="44">
        <f>ROUND(AS164*(1+取值表!$D$10)*取值表!$H$10,0)</f>
        <v>473491</v>
      </c>
      <c r="AU164" s="42">
        <f t="shared" ref="AU164:AW164" si="2438">AT164</f>
        <v>473491</v>
      </c>
      <c r="AV164" s="42">
        <f t="shared" si="2438"/>
        <v>473491</v>
      </c>
      <c r="AW164" s="42">
        <f t="shared" si="2438"/>
        <v>473491</v>
      </c>
      <c r="AX164" s="44">
        <f>ROUND(AW164*(1+取值表!$D$10)*取值表!$H$10,0)</f>
        <v>476393</v>
      </c>
      <c r="AY164" s="42">
        <f t="shared" ref="AY164:BA164" si="2439">AX164</f>
        <v>476393</v>
      </c>
      <c r="AZ164" s="42">
        <f t="shared" si="2439"/>
        <v>476393</v>
      </c>
      <c r="BA164" s="42">
        <f t="shared" si="2439"/>
        <v>476393</v>
      </c>
      <c r="BB164" s="44">
        <f>ROUND(BA164*(1+取值表!$D$10)*取值表!$H$10,0)</f>
        <v>479313</v>
      </c>
      <c r="BC164" s="42">
        <f t="shared" ref="BC164:BE164" si="2440">BB164</f>
        <v>479313</v>
      </c>
      <c r="BD164" s="42">
        <f t="shared" si="2440"/>
        <v>479313</v>
      </c>
      <c r="BE164" s="42">
        <f t="shared" si="2440"/>
        <v>479313</v>
      </c>
      <c r="BF164" s="44">
        <f>ROUND(BE164*(1+取值表!$D$10)*取值表!$H$10,0)</f>
        <v>482251</v>
      </c>
      <c r="BG164" s="42">
        <f t="shared" ref="BG164:BI164" si="2441">BF164</f>
        <v>482251</v>
      </c>
      <c r="BH164" s="42">
        <f t="shared" si="2441"/>
        <v>482251</v>
      </c>
      <c r="BI164" s="42">
        <f t="shared" si="2441"/>
        <v>482251</v>
      </c>
      <c r="BJ164" s="44">
        <f>ROUND(BI164*(1+取值表!$D$10)*取值表!$H$10,0)</f>
        <v>485207</v>
      </c>
      <c r="BK164" s="42">
        <f t="shared" ref="BK164:BM164" si="2442">BJ164</f>
        <v>485207</v>
      </c>
      <c r="BL164" s="42">
        <f t="shared" si="2442"/>
        <v>485207</v>
      </c>
      <c r="BM164" s="42">
        <f t="shared" si="2442"/>
        <v>485207</v>
      </c>
      <c r="BN164" s="44">
        <f>ROUND(BM164*(1+取值表!$D$10)*取值表!$H$10,0)</f>
        <v>488181</v>
      </c>
      <c r="BO164" s="42">
        <f t="shared" ref="BO164:BQ164" si="2443">BN164</f>
        <v>488181</v>
      </c>
      <c r="BP164" s="42">
        <f t="shared" si="2443"/>
        <v>488181</v>
      </c>
      <c r="BQ164" s="42">
        <f t="shared" si="2443"/>
        <v>488181</v>
      </c>
      <c r="BR164" s="44">
        <f>ROUND(BQ164*(1+取值表!$D$10)*取值表!$H$10,0)</f>
        <v>491173</v>
      </c>
      <c r="BS164" s="42">
        <f t="shared" ref="BS164:BU164" si="2444">BR164</f>
        <v>491173</v>
      </c>
      <c r="BT164" s="42">
        <f t="shared" si="2444"/>
        <v>491173</v>
      </c>
      <c r="BU164" s="42">
        <f t="shared" si="2444"/>
        <v>491173</v>
      </c>
      <c r="BV164" s="44">
        <f>ROUND(BU164*(1+取值表!$D$10)*取值表!$H$10,0)</f>
        <v>494183</v>
      </c>
      <c r="BW164" s="42">
        <f t="shared" ref="BW164:BY164" si="2445">BV164</f>
        <v>494183</v>
      </c>
      <c r="BX164" s="42">
        <f t="shared" si="2445"/>
        <v>494183</v>
      </c>
      <c r="BY164" s="42">
        <f t="shared" si="2445"/>
        <v>494183</v>
      </c>
      <c r="BZ164" s="44">
        <f>ROUND(BY164*(1+取值表!$D$10)*取值表!$H$10,0)</f>
        <v>497212</v>
      </c>
      <c r="CA164" s="42">
        <f t="shared" ref="CA164:CC164" si="2446">BZ164</f>
        <v>497212</v>
      </c>
      <c r="CB164" s="42">
        <f t="shared" si="2446"/>
        <v>497212</v>
      </c>
      <c r="CC164" s="42">
        <f t="shared" si="2446"/>
        <v>497212</v>
      </c>
      <c r="CD164" s="44">
        <f>ROUND(CC164*(1+取值表!$D$10)*取值表!$H$10,0)</f>
        <v>500259</v>
      </c>
      <c r="CE164" s="42">
        <f t="shared" ref="CE164:CG164" si="2447">CD164</f>
        <v>500259</v>
      </c>
      <c r="CF164" s="42">
        <f t="shared" si="2447"/>
        <v>500259</v>
      </c>
      <c r="CG164" s="42">
        <f t="shared" si="2447"/>
        <v>500259</v>
      </c>
      <c r="CH164" s="44">
        <f>ROUND(CG164*(1+取值表!$D$10)*取值表!$H$10,0)</f>
        <v>503325</v>
      </c>
      <c r="CI164" s="42">
        <f t="shared" ref="CI164:CK164" si="2448">CH164</f>
        <v>503325</v>
      </c>
      <c r="CJ164" s="42">
        <f t="shared" si="2448"/>
        <v>503325</v>
      </c>
      <c r="CK164" s="42">
        <f t="shared" si="2448"/>
        <v>503325</v>
      </c>
      <c r="CL164" s="44">
        <f>ROUND(CK164*(1+取值表!$D$10)*取值表!$H$10,0)</f>
        <v>506410</v>
      </c>
      <c r="CM164" s="42">
        <f t="shared" ref="CM164:CO164" si="2449">CL164</f>
        <v>506410</v>
      </c>
      <c r="CN164" s="42">
        <f t="shared" si="2449"/>
        <v>506410</v>
      </c>
      <c r="CO164" s="42">
        <f t="shared" si="2449"/>
        <v>506410</v>
      </c>
      <c r="CP164" s="44">
        <f>ROUND(CO164*(1+取值表!$D$10)*取值表!$H$10,0)</f>
        <v>509514</v>
      </c>
      <c r="CQ164" s="42">
        <f t="shared" ref="CQ164" si="2450">CP164</f>
        <v>509514</v>
      </c>
      <c r="CR164" s="42">
        <f t="shared" ref="CR164" si="2451">CQ164</f>
        <v>509514</v>
      </c>
      <c r="CS164" s="42">
        <f t="shared" ref="CS164" si="2452">CR164</f>
        <v>509514</v>
      </c>
      <c r="CT164" s="44">
        <f>ROUND(CS164*(1+取值表!$D$10)*取值表!$H$10,0)</f>
        <v>512637</v>
      </c>
      <c r="CU164" s="42">
        <f t="shared" ref="CU164" si="2453">CT164</f>
        <v>512637</v>
      </c>
      <c r="CV164" s="42">
        <f t="shared" ref="CV164" si="2454">CU164</f>
        <v>512637</v>
      </c>
      <c r="CW164" s="42">
        <f t="shared" ref="CW164" si="2455">CV164</f>
        <v>512637</v>
      </c>
      <c r="CX164" s="44">
        <f>ROUND(CW164*(1+取值表!$D$10)*取值表!$H$10,0)</f>
        <v>515779</v>
      </c>
      <c r="CY164" s="42">
        <f t="shared" ref="CY164" si="2456">CX164</f>
        <v>515779</v>
      </c>
      <c r="CZ164" s="42">
        <f t="shared" ref="CZ164" si="2457">CY164</f>
        <v>515779</v>
      </c>
      <c r="DA164" s="42">
        <f t="shared" ref="DA164" si="2458">CZ164</f>
        <v>515779</v>
      </c>
      <c r="DB164" s="44">
        <f>ROUND(DA164*(1+取值表!$D$10)*取值表!$H$10,0)</f>
        <v>518940</v>
      </c>
      <c r="DC164" s="42">
        <f t="shared" ref="DC164" si="2459">DB164</f>
        <v>518940</v>
      </c>
      <c r="DD164" s="42">
        <f t="shared" ref="DD164" si="2460">DC164</f>
        <v>518940</v>
      </c>
      <c r="DE164" s="42">
        <f t="shared" ref="DE164" si="2461">DD164</f>
        <v>518940</v>
      </c>
      <c r="DF164" s="45">
        <f t="shared" si="1976"/>
        <v>48271900</v>
      </c>
      <c r="DG164" s="229"/>
      <c r="DH164" s="229"/>
      <c r="DI164" s="229"/>
      <c r="DJ164" s="229"/>
      <c r="DK164" s="229"/>
      <c r="DL164" s="229"/>
      <c r="DM164" s="229"/>
      <c r="DN164" s="229"/>
      <c r="DO164" s="229"/>
      <c r="DP164" s="229"/>
      <c r="DQ164" s="229"/>
      <c r="DR164" s="229"/>
      <c r="DS164" s="229"/>
      <c r="DT164" s="229"/>
      <c r="DU164" s="229"/>
      <c r="DV164" s="229"/>
      <c r="DW164" s="229"/>
      <c r="DX164" s="229"/>
      <c r="DY164" s="229"/>
      <c r="DZ164" s="229"/>
      <c r="EA164" s="229"/>
      <c r="EB164" s="229"/>
      <c r="EC164" s="229"/>
      <c r="ED164" s="229"/>
      <c r="EE164" s="229"/>
      <c r="EF164" s="229"/>
      <c r="EG164" s="229"/>
      <c r="EH164" s="229"/>
      <c r="EI164" s="229"/>
      <c r="EJ164" s="229"/>
      <c r="EK164" s="229"/>
      <c r="EL164" s="229"/>
      <c r="EM164" s="229"/>
      <c r="EN164" s="229"/>
      <c r="EO164" s="229"/>
      <c r="EP164" s="229"/>
      <c r="EQ164" s="229"/>
      <c r="ER164" s="229"/>
      <c r="ES164" s="229"/>
      <c r="ET164" s="229"/>
      <c r="EU164" s="229"/>
      <c r="EV164" s="229"/>
      <c r="EW164" s="229"/>
      <c r="EX164" s="229"/>
      <c r="EY164" s="229"/>
      <c r="EZ164" s="229"/>
      <c r="FA164" s="229"/>
      <c r="FB164" s="229"/>
      <c r="FC164" s="229"/>
      <c r="FD164" s="229"/>
      <c r="FE164" s="229"/>
      <c r="FF164" s="229"/>
      <c r="FG164" s="229"/>
      <c r="FH164" s="229"/>
      <c r="FI164" s="229"/>
      <c r="FJ164" s="229"/>
      <c r="FK164" s="229"/>
      <c r="FL164" s="229"/>
      <c r="FM164" s="229"/>
      <c r="FN164" s="229"/>
      <c r="FO164" s="229"/>
      <c r="FP164" s="229"/>
      <c r="FQ164" s="229"/>
      <c r="FR164" s="229"/>
      <c r="FS164" s="229"/>
      <c r="FT164" s="229"/>
      <c r="FU164" s="229"/>
      <c r="FV164" s="229"/>
      <c r="FW164" s="229"/>
      <c r="FX164" s="229"/>
      <c r="FY164" s="229"/>
      <c r="FZ164" s="229"/>
      <c r="GA164" s="229"/>
      <c r="GB164" s="229"/>
      <c r="GC164" s="229"/>
      <c r="GD164" s="229"/>
      <c r="GE164" s="229"/>
      <c r="GF164" s="229"/>
      <c r="GG164" s="229"/>
      <c r="GH164" s="229"/>
      <c r="GI164" s="229"/>
      <c r="GJ164" s="229"/>
      <c r="GK164" s="229"/>
      <c r="GL164" s="229"/>
      <c r="GM164" s="229"/>
      <c r="GN164" s="229"/>
      <c r="GO164" s="229"/>
      <c r="GP164" s="229"/>
      <c r="GQ164" s="229"/>
      <c r="GR164" s="229"/>
      <c r="GS164" s="229"/>
      <c r="GT164" s="229"/>
      <c r="GU164" s="229"/>
      <c r="GV164" s="229"/>
      <c r="GW164" s="229"/>
      <c r="GX164" s="229"/>
      <c r="GY164" s="229"/>
      <c r="GZ164" s="229"/>
      <c r="HA164" s="229"/>
      <c r="HB164" s="229"/>
      <c r="HC164" s="229"/>
      <c r="HD164" s="229"/>
      <c r="HE164" s="229"/>
      <c r="HF164" s="229"/>
      <c r="HG164" s="229"/>
      <c r="HH164" s="229"/>
      <c r="HI164" s="229"/>
      <c r="HJ164" s="229"/>
      <c r="HK164" s="229"/>
      <c r="HL164" s="229"/>
      <c r="HM164" s="229"/>
      <c r="HN164" s="229"/>
      <c r="HO164" s="229"/>
      <c r="HP164" s="229"/>
      <c r="HQ164" s="48">
        <f t="shared" si="2430"/>
        <v>96543800</v>
      </c>
      <c r="HR164" s="230">
        <f>HS164*2</f>
        <v>35206.080000000002</v>
      </c>
      <c r="HS164" s="231">
        <v>17603.04</v>
      </c>
      <c r="HT164" s="51">
        <v>13659161.35</v>
      </c>
    </row>
    <row r="165" spans="1:228" s="52" customFormat="1" ht="12" customHeight="1">
      <c r="A165" s="505"/>
      <c r="B165" s="507"/>
      <c r="C165" s="509"/>
      <c r="D165" s="511"/>
      <c r="E165" s="513"/>
      <c r="F165" s="501"/>
      <c r="G165" s="501"/>
      <c r="H165" s="503"/>
      <c r="I165" s="233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  <c r="BT165" s="42"/>
      <c r="BU165" s="42"/>
      <c r="BV165" s="42"/>
      <c r="BW165" s="42"/>
      <c r="BX165" s="42"/>
      <c r="BY165" s="42"/>
      <c r="BZ165" s="42"/>
      <c r="CA165" s="42"/>
      <c r="CB165" s="42"/>
      <c r="CC165" s="42"/>
      <c r="CD165" s="42"/>
      <c r="CE165" s="42"/>
      <c r="CF165" s="42"/>
      <c r="CG165" s="42"/>
      <c r="CH165" s="42"/>
      <c r="CI165" s="42"/>
      <c r="CJ165" s="42"/>
      <c r="CK165" s="42"/>
      <c r="CL165" s="42"/>
      <c r="CM165" s="42"/>
      <c r="CN165" s="42"/>
      <c r="CO165" s="42"/>
      <c r="CP165" s="42"/>
      <c r="CQ165" s="42"/>
      <c r="CR165" s="42"/>
      <c r="CS165" s="42"/>
      <c r="CT165" s="42"/>
      <c r="CU165" s="42"/>
      <c r="CV165" s="42"/>
      <c r="CW165" s="42"/>
      <c r="CX165" s="42"/>
      <c r="CY165" s="42"/>
      <c r="CZ165" s="42"/>
      <c r="DA165" s="42"/>
      <c r="DB165" s="42"/>
      <c r="DC165" s="42"/>
      <c r="DD165" s="42"/>
      <c r="DE165" s="42"/>
      <c r="DF165" s="45">
        <f t="shared" si="1976"/>
        <v>0</v>
      </c>
      <c r="DG165" s="47"/>
      <c r="DH165" s="47"/>
      <c r="DI165" s="47"/>
      <c r="DJ165" s="47"/>
      <c r="DK165" s="47"/>
      <c r="DL165" s="47"/>
      <c r="DM165" s="47"/>
      <c r="DN165" s="47"/>
      <c r="DO165" s="47"/>
      <c r="DP165" s="47"/>
      <c r="DQ165" s="47"/>
      <c r="DR165" s="47"/>
      <c r="DS165" s="47"/>
      <c r="DT165" s="47"/>
      <c r="DU165" s="47"/>
      <c r="DV165" s="47"/>
      <c r="DW165" s="47"/>
      <c r="DX165" s="47"/>
      <c r="DY165" s="47"/>
      <c r="DZ165" s="47"/>
      <c r="EA165" s="47"/>
      <c r="EB165" s="47"/>
      <c r="EC165" s="47"/>
      <c r="ED165" s="47"/>
      <c r="EE165" s="47"/>
      <c r="EF165" s="47"/>
      <c r="EG165" s="47"/>
      <c r="EH165" s="47"/>
      <c r="EI165" s="47"/>
      <c r="EJ165" s="47"/>
      <c r="EK165" s="47"/>
      <c r="EL165" s="47"/>
      <c r="EM165" s="47"/>
      <c r="EN165" s="47"/>
      <c r="EO165" s="47"/>
      <c r="EP165" s="47"/>
      <c r="EQ165" s="47"/>
      <c r="ER165" s="47"/>
      <c r="ES165" s="47"/>
      <c r="ET165" s="47"/>
      <c r="EU165" s="47"/>
      <c r="EV165" s="47"/>
      <c r="EW165" s="47"/>
      <c r="EX165" s="47"/>
      <c r="EY165" s="47"/>
      <c r="EZ165" s="47"/>
      <c r="FA165" s="47"/>
      <c r="FB165" s="47"/>
      <c r="FC165" s="47"/>
      <c r="FD165" s="47"/>
      <c r="FE165" s="47"/>
      <c r="FF165" s="47"/>
      <c r="FG165" s="47"/>
      <c r="FH165" s="47"/>
      <c r="FI165" s="47"/>
      <c r="FJ165" s="47"/>
      <c r="FK165" s="47"/>
      <c r="FL165" s="47"/>
      <c r="FM165" s="47"/>
      <c r="FN165" s="47"/>
      <c r="FO165" s="47"/>
      <c r="FP165" s="47"/>
      <c r="FQ165" s="47"/>
      <c r="FR165" s="47"/>
      <c r="FS165" s="47"/>
      <c r="FT165" s="47"/>
      <c r="FU165" s="47"/>
      <c r="FV165" s="47"/>
      <c r="FW165" s="47"/>
      <c r="FX165" s="47"/>
      <c r="FY165" s="47"/>
      <c r="FZ165" s="47"/>
      <c r="GA165" s="47"/>
      <c r="GB165" s="47"/>
      <c r="GC165" s="47"/>
      <c r="GD165" s="47"/>
      <c r="GE165" s="47"/>
      <c r="GF165" s="47"/>
      <c r="GG165" s="47"/>
      <c r="GH165" s="47"/>
      <c r="GI165" s="47"/>
      <c r="GJ165" s="47"/>
      <c r="GK165" s="47"/>
      <c r="GL165" s="47"/>
      <c r="GM165" s="47"/>
      <c r="GN165" s="47"/>
      <c r="GO165" s="47"/>
      <c r="GP165" s="47"/>
      <c r="GQ165" s="47"/>
      <c r="GR165" s="47"/>
      <c r="GS165" s="47"/>
      <c r="GT165" s="47"/>
      <c r="GU165" s="47"/>
      <c r="GV165" s="47"/>
      <c r="GW165" s="47"/>
      <c r="GX165" s="47"/>
      <c r="GY165" s="47"/>
      <c r="GZ165" s="47"/>
      <c r="HA165" s="47"/>
      <c r="HB165" s="47"/>
      <c r="HC165" s="47"/>
      <c r="HD165" s="47"/>
      <c r="HE165" s="47"/>
      <c r="HF165" s="47"/>
      <c r="HG165" s="47"/>
      <c r="HH165" s="47"/>
      <c r="HI165" s="47"/>
      <c r="HJ165" s="47"/>
      <c r="HK165" s="47"/>
      <c r="HL165" s="47"/>
      <c r="HM165" s="47"/>
      <c r="HN165" s="47"/>
      <c r="HO165" s="47"/>
      <c r="HP165" s="47"/>
      <c r="HQ165" s="53">
        <f t="shared" si="2430"/>
        <v>0</v>
      </c>
      <c r="HR165" s="49"/>
      <c r="HS165" s="50"/>
      <c r="HT165" s="51">
        <v>12777203.27</v>
      </c>
    </row>
    <row r="166" spans="1:228" s="52" customFormat="1" ht="12" customHeight="1">
      <c r="A166" s="504">
        <v>83</v>
      </c>
      <c r="B166" s="506" t="s">
        <v>560</v>
      </c>
      <c r="C166" s="508" t="s">
        <v>765</v>
      </c>
      <c r="D166" s="510" t="s">
        <v>703</v>
      </c>
      <c r="E166" s="512" t="s">
        <v>459</v>
      </c>
      <c r="F166" s="500">
        <v>197.53</v>
      </c>
      <c r="G166" s="500">
        <v>24</v>
      </c>
      <c r="H166" s="502">
        <f>F166*G166*365</f>
        <v>1730362.8</v>
      </c>
      <c r="I166" s="228">
        <v>414566.09</v>
      </c>
      <c r="J166" s="42">
        <f>ROUND(G166*F166*365/4,0)</f>
        <v>432591</v>
      </c>
      <c r="K166" s="42">
        <f>J166</f>
        <v>432591</v>
      </c>
      <c r="L166" s="42">
        <f>K166</f>
        <v>432591</v>
      </c>
      <c r="M166" s="43">
        <f>L166</f>
        <v>432591</v>
      </c>
      <c r="N166" s="44">
        <f>ROUND(M166*(1+取值表!$D$10)*取值表!$H$10,0)</f>
        <v>435242</v>
      </c>
      <c r="O166" s="42">
        <f>N166</f>
        <v>435242</v>
      </c>
      <c r="P166" s="42">
        <f>O166</f>
        <v>435242</v>
      </c>
      <c r="Q166" s="42">
        <f>P166</f>
        <v>435242</v>
      </c>
      <c r="R166" s="44">
        <f>ROUND(Q166*(1+取值表!$D$10)*取值表!$H$10,0)</f>
        <v>437910</v>
      </c>
      <c r="S166" s="42">
        <f t="shared" ref="S166:U166" si="2462">R166</f>
        <v>437910</v>
      </c>
      <c r="T166" s="42">
        <f t="shared" si="2462"/>
        <v>437910</v>
      </c>
      <c r="U166" s="42">
        <f t="shared" si="2462"/>
        <v>437910</v>
      </c>
      <c r="V166" s="44">
        <f>ROUND(U166*(1+取值表!$D$10)*取值表!$H$10,0)</f>
        <v>440594</v>
      </c>
      <c r="W166" s="42">
        <f t="shared" ref="W166:Y166" si="2463">V166</f>
        <v>440594</v>
      </c>
      <c r="X166" s="42">
        <f t="shared" si="2463"/>
        <v>440594</v>
      </c>
      <c r="Y166" s="42">
        <f t="shared" si="2463"/>
        <v>440594</v>
      </c>
      <c r="Z166" s="44">
        <f>ROUND(Y166*(1+取值表!$D$10)*取值表!$H$10,0)</f>
        <v>443294</v>
      </c>
      <c r="AA166" s="42">
        <f t="shared" ref="AA166:AC166" si="2464">Z166</f>
        <v>443294</v>
      </c>
      <c r="AB166" s="42">
        <f t="shared" si="2464"/>
        <v>443294</v>
      </c>
      <c r="AC166" s="42">
        <f t="shared" si="2464"/>
        <v>443294</v>
      </c>
      <c r="AD166" s="44">
        <f>ROUND(AC166*(1+取值表!$D$10)*取值表!$H$10,0)</f>
        <v>446011</v>
      </c>
      <c r="AE166" s="42">
        <f t="shared" ref="AE166:AG166" si="2465">AD166</f>
        <v>446011</v>
      </c>
      <c r="AF166" s="42">
        <f t="shared" si="2465"/>
        <v>446011</v>
      </c>
      <c r="AG166" s="42">
        <f t="shared" si="2465"/>
        <v>446011</v>
      </c>
      <c r="AH166" s="44">
        <f>ROUND(AG166*(1+取值表!$D$10)*取值表!$H$10,0)</f>
        <v>448745</v>
      </c>
      <c r="AI166" s="42">
        <f t="shared" ref="AI166:AK166" si="2466">AH166</f>
        <v>448745</v>
      </c>
      <c r="AJ166" s="42">
        <f t="shared" si="2466"/>
        <v>448745</v>
      </c>
      <c r="AK166" s="42">
        <f t="shared" si="2466"/>
        <v>448745</v>
      </c>
      <c r="AL166" s="44">
        <f>ROUND(AK166*(1+取值表!$D$10)*取值表!$H$10,0)</f>
        <v>451495</v>
      </c>
      <c r="AM166" s="42">
        <f t="shared" ref="AM166:AO166" si="2467">AL166</f>
        <v>451495</v>
      </c>
      <c r="AN166" s="42">
        <f t="shared" si="2467"/>
        <v>451495</v>
      </c>
      <c r="AO166" s="42">
        <f t="shared" si="2467"/>
        <v>451495</v>
      </c>
      <c r="AP166" s="44">
        <f>ROUND(AO166*(1+取值表!$D$10)*取值表!$H$10,0)</f>
        <v>454262</v>
      </c>
      <c r="AQ166" s="42">
        <f t="shared" ref="AQ166:AS166" si="2468">AP166</f>
        <v>454262</v>
      </c>
      <c r="AR166" s="42">
        <f t="shared" si="2468"/>
        <v>454262</v>
      </c>
      <c r="AS166" s="42">
        <f t="shared" si="2468"/>
        <v>454262</v>
      </c>
      <c r="AT166" s="44">
        <f>ROUND(AS166*(1+取值表!$D$10)*取值表!$H$10,0)</f>
        <v>457046</v>
      </c>
      <c r="AU166" s="42">
        <f t="shared" ref="AU166:AW166" si="2469">AT166</f>
        <v>457046</v>
      </c>
      <c r="AV166" s="42">
        <f t="shared" si="2469"/>
        <v>457046</v>
      </c>
      <c r="AW166" s="42">
        <f t="shared" si="2469"/>
        <v>457046</v>
      </c>
      <c r="AX166" s="44">
        <f>ROUND(AW166*(1+取值表!$D$10)*取值表!$H$10,0)</f>
        <v>459847</v>
      </c>
      <c r="AY166" s="42">
        <f t="shared" ref="AY166:BA166" si="2470">AX166</f>
        <v>459847</v>
      </c>
      <c r="AZ166" s="42">
        <f t="shared" si="2470"/>
        <v>459847</v>
      </c>
      <c r="BA166" s="42">
        <f t="shared" si="2470"/>
        <v>459847</v>
      </c>
      <c r="BB166" s="44">
        <f>ROUND(BA166*(1+取值表!$D$10)*取值表!$H$10,0)</f>
        <v>462665</v>
      </c>
      <c r="BC166" s="42">
        <f t="shared" ref="BC166:BE166" si="2471">BB166</f>
        <v>462665</v>
      </c>
      <c r="BD166" s="42">
        <f t="shared" si="2471"/>
        <v>462665</v>
      </c>
      <c r="BE166" s="42">
        <f t="shared" si="2471"/>
        <v>462665</v>
      </c>
      <c r="BF166" s="44">
        <f>ROUND(BE166*(1+取值表!$D$10)*取值表!$H$10,0)</f>
        <v>465501</v>
      </c>
      <c r="BG166" s="42">
        <f t="shared" ref="BG166:BI166" si="2472">BF166</f>
        <v>465501</v>
      </c>
      <c r="BH166" s="42">
        <f t="shared" si="2472"/>
        <v>465501</v>
      </c>
      <c r="BI166" s="42">
        <f t="shared" si="2472"/>
        <v>465501</v>
      </c>
      <c r="BJ166" s="44">
        <f>ROUND(BI166*(1+取值表!$D$10)*取值表!$H$10,0)</f>
        <v>468354</v>
      </c>
      <c r="BK166" s="42">
        <f t="shared" ref="BK166:BM166" si="2473">BJ166</f>
        <v>468354</v>
      </c>
      <c r="BL166" s="42">
        <f t="shared" si="2473"/>
        <v>468354</v>
      </c>
      <c r="BM166" s="42">
        <f t="shared" si="2473"/>
        <v>468354</v>
      </c>
      <c r="BN166" s="44">
        <f>ROUND(BM166*(1+取值表!$D$10)*取值表!$H$10,0)</f>
        <v>471225</v>
      </c>
      <c r="BO166" s="42">
        <f t="shared" ref="BO166:BQ166" si="2474">BN166</f>
        <v>471225</v>
      </c>
      <c r="BP166" s="42">
        <f t="shared" si="2474"/>
        <v>471225</v>
      </c>
      <c r="BQ166" s="42">
        <f t="shared" si="2474"/>
        <v>471225</v>
      </c>
      <c r="BR166" s="44">
        <f>ROUND(BQ166*(1+取值表!$D$10)*取值表!$H$10,0)</f>
        <v>474113</v>
      </c>
      <c r="BS166" s="42">
        <f t="shared" ref="BS166:BU166" si="2475">BR166</f>
        <v>474113</v>
      </c>
      <c r="BT166" s="42">
        <f t="shared" si="2475"/>
        <v>474113</v>
      </c>
      <c r="BU166" s="42">
        <f t="shared" si="2475"/>
        <v>474113</v>
      </c>
      <c r="BV166" s="44">
        <f>ROUND(BU166*(1+取值表!$D$10)*取值表!$H$10,0)</f>
        <v>477019</v>
      </c>
      <c r="BW166" s="42">
        <f t="shared" ref="BW166:BY166" si="2476">BV166</f>
        <v>477019</v>
      </c>
      <c r="BX166" s="42">
        <f t="shared" si="2476"/>
        <v>477019</v>
      </c>
      <c r="BY166" s="42">
        <f t="shared" si="2476"/>
        <v>477019</v>
      </c>
      <c r="BZ166" s="44">
        <f>ROUND(BY166*(1+取值表!$D$10)*取值表!$H$10,0)</f>
        <v>479943</v>
      </c>
      <c r="CA166" s="42">
        <f t="shared" ref="CA166:CC166" si="2477">BZ166</f>
        <v>479943</v>
      </c>
      <c r="CB166" s="42">
        <f t="shared" si="2477"/>
        <v>479943</v>
      </c>
      <c r="CC166" s="42">
        <f t="shared" si="2477"/>
        <v>479943</v>
      </c>
      <c r="CD166" s="44">
        <f>ROUND(CC166*(1+取值表!$D$10)*取值表!$H$10,0)</f>
        <v>482885</v>
      </c>
      <c r="CE166" s="42">
        <f t="shared" ref="CE166:CG166" si="2478">CD166</f>
        <v>482885</v>
      </c>
      <c r="CF166" s="42">
        <f t="shared" si="2478"/>
        <v>482885</v>
      </c>
      <c r="CG166" s="42">
        <f t="shared" si="2478"/>
        <v>482885</v>
      </c>
      <c r="CH166" s="44">
        <f>ROUND(CG166*(1+取值表!$D$10)*取值表!$H$10,0)</f>
        <v>485845</v>
      </c>
      <c r="CI166" s="42">
        <f t="shared" ref="CI166:CK166" si="2479">CH166</f>
        <v>485845</v>
      </c>
      <c r="CJ166" s="42">
        <f t="shared" si="2479"/>
        <v>485845</v>
      </c>
      <c r="CK166" s="42">
        <f t="shared" si="2479"/>
        <v>485845</v>
      </c>
      <c r="CL166" s="44">
        <f>ROUND(CK166*(1+取值表!$D$10)*取值表!$H$10,0)</f>
        <v>488823</v>
      </c>
      <c r="CM166" s="42">
        <f t="shared" ref="CM166:CO166" si="2480">CL166</f>
        <v>488823</v>
      </c>
      <c r="CN166" s="42">
        <f t="shared" si="2480"/>
        <v>488823</v>
      </c>
      <c r="CO166" s="42">
        <f t="shared" si="2480"/>
        <v>488823</v>
      </c>
      <c r="CP166" s="44">
        <f>ROUND(CO166*(1+取值表!$D$10)*取值表!$H$10,0)</f>
        <v>491819</v>
      </c>
      <c r="CQ166" s="42">
        <f t="shared" ref="CQ166" si="2481">CP166</f>
        <v>491819</v>
      </c>
      <c r="CR166" s="42">
        <f t="shared" ref="CR166" si="2482">CQ166</f>
        <v>491819</v>
      </c>
      <c r="CS166" s="42">
        <f t="shared" ref="CS166" si="2483">CR166</f>
        <v>491819</v>
      </c>
      <c r="CT166" s="44">
        <f>ROUND(CS166*(1+取值表!$D$10)*取值表!$H$10,0)</f>
        <v>494833</v>
      </c>
      <c r="CU166" s="42">
        <f t="shared" ref="CU166" si="2484">CT166</f>
        <v>494833</v>
      </c>
      <c r="CV166" s="42">
        <f t="shared" ref="CV166" si="2485">CU166</f>
        <v>494833</v>
      </c>
      <c r="CW166" s="42">
        <f t="shared" ref="CW166" si="2486">CV166</f>
        <v>494833</v>
      </c>
      <c r="CX166" s="44">
        <f>ROUND(CW166*(1+取值表!$D$10)*取值表!$H$10,0)</f>
        <v>497866</v>
      </c>
      <c r="CY166" s="42">
        <f t="shared" ref="CY166" si="2487">CX166</f>
        <v>497866</v>
      </c>
      <c r="CZ166" s="42">
        <f t="shared" ref="CZ166" si="2488">CY166</f>
        <v>497866</v>
      </c>
      <c r="DA166" s="42">
        <f t="shared" ref="DA166" si="2489">CZ166</f>
        <v>497866</v>
      </c>
      <c r="DB166" s="44">
        <f>ROUND(DA166*(1+取值表!$D$10)*取值表!$H$10,0)</f>
        <v>500917</v>
      </c>
      <c r="DC166" s="42">
        <f t="shared" ref="DC166" si="2490">DB166</f>
        <v>500917</v>
      </c>
      <c r="DD166" s="42">
        <f t="shared" ref="DD166" si="2491">DC166</f>
        <v>500917</v>
      </c>
      <c r="DE166" s="42">
        <f t="shared" ref="DE166" si="2492">DD166</f>
        <v>500917</v>
      </c>
      <c r="DF166" s="45">
        <f t="shared" si="1976"/>
        <v>46595380</v>
      </c>
      <c r="DG166" s="229"/>
      <c r="DH166" s="229"/>
      <c r="DI166" s="229"/>
      <c r="DJ166" s="229"/>
      <c r="DK166" s="229"/>
      <c r="DL166" s="229"/>
      <c r="DM166" s="229"/>
      <c r="DN166" s="229"/>
      <c r="DO166" s="229"/>
      <c r="DP166" s="229"/>
      <c r="DQ166" s="229"/>
      <c r="DR166" s="229"/>
      <c r="DS166" s="229"/>
      <c r="DT166" s="229"/>
      <c r="DU166" s="229"/>
      <c r="DV166" s="229"/>
      <c r="DW166" s="229"/>
      <c r="DX166" s="229"/>
      <c r="DY166" s="229"/>
      <c r="DZ166" s="229"/>
      <c r="EA166" s="229"/>
      <c r="EB166" s="229"/>
      <c r="EC166" s="229"/>
      <c r="ED166" s="229"/>
      <c r="EE166" s="229"/>
      <c r="EF166" s="229"/>
      <c r="EG166" s="229"/>
      <c r="EH166" s="229"/>
      <c r="EI166" s="229"/>
      <c r="EJ166" s="229"/>
      <c r="EK166" s="229"/>
      <c r="EL166" s="229"/>
      <c r="EM166" s="229"/>
      <c r="EN166" s="229"/>
      <c r="EO166" s="229"/>
      <c r="EP166" s="229"/>
      <c r="EQ166" s="229"/>
      <c r="ER166" s="229"/>
      <c r="ES166" s="229"/>
      <c r="ET166" s="229"/>
      <c r="EU166" s="229"/>
      <c r="EV166" s="229"/>
      <c r="EW166" s="229"/>
      <c r="EX166" s="229"/>
      <c r="EY166" s="229"/>
      <c r="EZ166" s="229"/>
      <c r="FA166" s="229"/>
      <c r="FB166" s="229"/>
      <c r="FC166" s="229"/>
      <c r="FD166" s="229"/>
      <c r="FE166" s="229"/>
      <c r="FF166" s="229"/>
      <c r="FG166" s="229"/>
      <c r="FH166" s="229"/>
      <c r="FI166" s="229"/>
      <c r="FJ166" s="229"/>
      <c r="FK166" s="229"/>
      <c r="FL166" s="229"/>
      <c r="FM166" s="229"/>
      <c r="FN166" s="229"/>
      <c r="FO166" s="229"/>
      <c r="FP166" s="229"/>
      <c r="FQ166" s="229"/>
      <c r="FR166" s="229"/>
      <c r="FS166" s="229"/>
      <c r="FT166" s="229"/>
      <c r="FU166" s="229"/>
      <c r="FV166" s="229"/>
      <c r="FW166" s="229"/>
      <c r="FX166" s="229"/>
      <c r="FY166" s="229"/>
      <c r="FZ166" s="229"/>
      <c r="GA166" s="229"/>
      <c r="GB166" s="229"/>
      <c r="GC166" s="229"/>
      <c r="GD166" s="229"/>
      <c r="GE166" s="229"/>
      <c r="GF166" s="229"/>
      <c r="GG166" s="229"/>
      <c r="GH166" s="229"/>
      <c r="GI166" s="229"/>
      <c r="GJ166" s="229"/>
      <c r="GK166" s="229"/>
      <c r="GL166" s="229"/>
      <c r="GM166" s="229"/>
      <c r="GN166" s="229"/>
      <c r="GO166" s="229"/>
      <c r="GP166" s="229"/>
      <c r="GQ166" s="229"/>
      <c r="GR166" s="229"/>
      <c r="GS166" s="229"/>
      <c r="GT166" s="229"/>
      <c r="GU166" s="229"/>
      <c r="GV166" s="229"/>
      <c r="GW166" s="229"/>
      <c r="GX166" s="229"/>
      <c r="GY166" s="229"/>
      <c r="GZ166" s="229"/>
      <c r="HA166" s="229"/>
      <c r="HB166" s="229"/>
      <c r="HC166" s="229"/>
      <c r="HD166" s="229"/>
      <c r="HE166" s="229"/>
      <c r="HF166" s="229"/>
      <c r="HG166" s="229"/>
      <c r="HH166" s="229"/>
      <c r="HI166" s="229"/>
      <c r="HJ166" s="229"/>
      <c r="HK166" s="229"/>
      <c r="HL166" s="229"/>
      <c r="HM166" s="229"/>
      <c r="HN166" s="229"/>
      <c r="HO166" s="229"/>
      <c r="HP166" s="229"/>
      <c r="HQ166" s="48">
        <f t="shared" si="2430"/>
        <v>93190760</v>
      </c>
      <c r="HR166" s="230"/>
      <c r="HS166" s="231"/>
      <c r="HT166" s="51">
        <v>8437412.0699999891</v>
      </c>
    </row>
    <row r="167" spans="1:228" s="52" customFormat="1" ht="12">
      <c r="A167" s="505"/>
      <c r="B167" s="507"/>
      <c r="C167" s="509"/>
      <c r="D167" s="511"/>
      <c r="E167" s="513"/>
      <c r="F167" s="501"/>
      <c r="G167" s="501"/>
      <c r="H167" s="503"/>
      <c r="I167" s="233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2"/>
      <c r="CJ167" s="42"/>
      <c r="CK167" s="42"/>
      <c r="CL167" s="42"/>
      <c r="CM167" s="42"/>
      <c r="CN167" s="42"/>
      <c r="CO167" s="42"/>
      <c r="CP167" s="42"/>
      <c r="CQ167" s="42"/>
      <c r="CR167" s="42"/>
      <c r="CS167" s="42"/>
      <c r="CT167" s="42"/>
      <c r="CU167" s="42"/>
      <c r="CV167" s="42"/>
      <c r="CW167" s="42"/>
      <c r="CX167" s="42"/>
      <c r="CY167" s="42"/>
      <c r="CZ167" s="42"/>
      <c r="DA167" s="42"/>
      <c r="DB167" s="42"/>
      <c r="DC167" s="42"/>
      <c r="DD167" s="42"/>
      <c r="DE167" s="42"/>
      <c r="DF167" s="45">
        <f t="shared" si="1976"/>
        <v>0</v>
      </c>
      <c r="DG167" s="47"/>
      <c r="DH167" s="47"/>
      <c r="DI167" s="47"/>
      <c r="DJ167" s="47"/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/>
      <c r="DW167" s="47"/>
      <c r="DX167" s="47"/>
      <c r="DY167" s="47"/>
      <c r="DZ167" s="47"/>
      <c r="EA167" s="47"/>
      <c r="EB167" s="47"/>
      <c r="EC167" s="47"/>
      <c r="ED167" s="47"/>
      <c r="EE167" s="47"/>
      <c r="EF167" s="47"/>
      <c r="EG167" s="47"/>
      <c r="EH167" s="47"/>
      <c r="EI167" s="47"/>
      <c r="EJ167" s="47"/>
      <c r="EK167" s="47"/>
      <c r="EL167" s="47"/>
      <c r="EM167" s="47"/>
      <c r="EN167" s="47"/>
      <c r="EO167" s="47"/>
      <c r="EP167" s="47"/>
      <c r="EQ167" s="47"/>
      <c r="ER167" s="47"/>
      <c r="ES167" s="47"/>
      <c r="ET167" s="47"/>
      <c r="EU167" s="47"/>
      <c r="EV167" s="47"/>
      <c r="EW167" s="47"/>
      <c r="EX167" s="47"/>
      <c r="EY167" s="47"/>
      <c r="EZ167" s="47"/>
      <c r="FA167" s="47"/>
      <c r="FB167" s="47"/>
      <c r="FC167" s="47"/>
      <c r="FD167" s="47"/>
      <c r="FE167" s="47"/>
      <c r="FF167" s="47"/>
      <c r="FG167" s="47"/>
      <c r="FH167" s="47"/>
      <c r="FI167" s="47"/>
      <c r="FJ167" s="47"/>
      <c r="FK167" s="47"/>
      <c r="FL167" s="47"/>
      <c r="FM167" s="47"/>
      <c r="FN167" s="47"/>
      <c r="FO167" s="47"/>
      <c r="FP167" s="47"/>
      <c r="FQ167" s="47"/>
      <c r="FR167" s="47"/>
      <c r="FS167" s="47"/>
      <c r="FT167" s="47"/>
      <c r="FU167" s="47"/>
      <c r="FV167" s="47"/>
      <c r="FW167" s="47"/>
      <c r="FX167" s="47"/>
      <c r="FY167" s="47"/>
      <c r="FZ167" s="47"/>
      <c r="GA167" s="47"/>
      <c r="GB167" s="47"/>
      <c r="GC167" s="47"/>
      <c r="GD167" s="47"/>
      <c r="GE167" s="47"/>
      <c r="GF167" s="47"/>
      <c r="GG167" s="47"/>
      <c r="GH167" s="47"/>
      <c r="GI167" s="47"/>
      <c r="GJ167" s="47"/>
      <c r="GK167" s="47"/>
      <c r="GL167" s="47"/>
      <c r="GM167" s="47"/>
      <c r="GN167" s="47"/>
      <c r="GO167" s="47"/>
      <c r="GP167" s="47"/>
      <c r="GQ167" s="47"/>
      <c r="GR167" s="47"/>
      <c r="GS167" s="47"/>
      <c r="GT167" s="47"/>
      <c r="GU167" s="47"/>
      <c r="GV167" s="47"/>
      <c r="GW167" s="47"/>
      <c r="GX167" s="47"/>
      <c r="GY167" s="47"/>
      <c r="GZ167" s="47"/>
      <c r="HA167" s="47"/>
      <c r="HB167" s="47"/>
      <c r="HC167" s="47"/>
      <c r="HD167" s="47"/>
      <c r="HE167" s="47"/>
      <c r="HF167" s="47"/>
      <c r="HG167" s="47"/>
      <c r="HH167" s="47"/>
      <c r="HI167" s="47"/>
      <c r="HJ167" s="47"/>
      <c r="HK167" s="47"/>
      <c r="HL167" s="47"/>
      <c r="HM167" s="47"/>
      <c r="HN167" s="47"/>
      <c r="HO167" s="47"/>
      <c r="HP167" s="47"/>
      <c r="HQ167" s="53">
        <f t="shared" si="2430"/>
        <v>0</v>
      </c>
      <c r="HR167" s="49"/>
      <c r="HS167" s="50"/>
      <c r="HT167" s="51">
        <v>8040870.5699999901</v>
      </c>
    </row>
    <row r="168" spans="1:228" s="52" customFormat="1" ht="12" customHeight="1">
      <c r="A168" s="504">
        <v>84</v>
      </c>
      <c r="B168" s="506" t="s">
        <v>561</v>
      </c>
      <c r="C168" s="508" t="s">
        <v>713</v>
      </c>
      <c r="D168" s="510" t="s">
        <v>464</v>
      </c>
      <c r="E168" s="512" t="s">
        <v>459</v>
      </c>
      <c r="F168" s="500">
        <v>5.04</v>
      </c>
      <c r="G168" s="500">
        <v>30</v>
      </c>
      <c r="H168" s="502">
        <f>F168*G168*365</f>
        <v>55187.999999999993</v>
      </c>
      <c r="I168" s="228">
        <v>13797</v>
      </c>
      <c r="J168" s="43">
        <f>ROUND(G168*F168*365/4,0)</f>
        <v>13797</v>
      </c>
      <c r="K168" s="42">
        <f>J168</f>
        <v>13797</v>
      </c>
      <c r="L168" s="42">
        <f>K168</f>
        <v>13797</v>
      </c>
      <c r="M168" s="42">
        <f>L168</f>
        <v>13797</v>
      </c>
      <c r="N168" s="44">
        <f>ROUND(M168*(1+取值表!$D$10)*取值表!$H$10,0)</f>
        <v>13882</v>
      </c>
      <c r="O168" s="42">
        <f>N168</f>
        <v>13882</v>
      </c>
      <c r="P168" s="42">
        <f>O168</f>
        <v>13882</v>
      </c>
      <c r="Q168" s="42">
        <f>P168</f>
        <v>13882</v>
      </c>
      <c r="R168" s="44">
        <f>ROUND(Q168*(1+取值表!$D$10)*取值表!$H$10,0)</f>
        <v>13967</v>
      </c>
      <c r="S168" s="42">
        <f t="shared" ref="S168:U168" si="2493">R168</f>
        <v>13967</v>
      </c>
      <c r="T168" s="42">
        <f t="shared" si="2493"/>
        <v>13967</v>
      </c>
      <c r="U168" s="42">
        <f t="shared" si="2493"/>
        <v>13967</v>
      </c>
      <c r="V168" s="44">
        <f>ROUND(U168*(1+取值表!$D$10)*取值表!$H$10,0)</f>
        <v>14053</v>
      </c>
      <c r="W168" s="42">
        <f t="shared" ref="W168:Y168" si="2494">V168</f>
        <v>14053</v>
      </c>
      <c r="X168" s="42">
        <f t="shared" si="2494"/>
        <v>14053</v>
      </c>
      <c r="Y168" s="42">
        <f t="shared" si="2494"/>
        <v>14053</v>
      </c>
      <c r="Z168" s="44">
        <f>ROUND(Y168*(1+取值表!$D$10)*取值表!$H$10,0)</f>
        <v>14139</v>
      </c>
      <c r="AA168" s="42">
        <f t="shared" ref="AA168:AC168" si="2495">Z168</f>
        <v>14139</v>
      </c>
      <c r="AB168" s="42">
        <f t="shared" si="2495"/>
        <v>14139</v>
      </c>
      <c r="AC168" s="42">
        <f t="shared" si="2495"/>
        <v>14139</v>
      </c>
      <c r="AD168" s="44">
        <f>ROUND(AC168*(1+取值表!$D$10)*取值表!$H$10,0)</f>
        <v>14226</v>
      </c>
      <c r="AE168" s="42">
        <f t="shared" ref="AE168:AG168" si="2496">AD168</f>
        <v>14226</v>
      </c>
      <c r="AF168" s="42">
        <f t="shared" si="2496"/>
        <v>14226</v>
      </c>
      <c r="AG168" s="42">
        <f t="shared" si="2496"/>
        <v>14226</v>
      </c>
      <c r="AH168" s="44">
        <f>ROUND(AG168*(1+取值表!$D$10)*取值表!$H$10,0)</f>
        <v>14313</v>
      </c>
      <c r="AI168" s="42">
        <f t="shared" ref="AI168:AK168" si="2497">AH168</f>
        <v>14313</v>
      </c>
      <c r="AJ168" s="42">
        <f t="shared" si="2497"/>
        <v>14313</v>
      </c>
      <c r="AK168" s="42">
        <f t="shared" si="2497"/>
        <v>14313</v>
      </c>
      <c r="AL168" s="44">
        <f>ROUND(AK168*(1+取值表!$D$10)*取值表!$H$10,0)</f>
        <v>14401</v>
      </c>
      <c r="AM168" s="42">
        <f t="shared" ref="AM168:AO168" si="2498">AL168</f>
        <v>14401</v>
      </c>
      <c r="AN168" s="42">
        <f t="shared" si="2498"/>
        <v>14401</v>
      </c>
      <c r="AO168" s="42">
        <f t="shared" si="2498"/>
        <v>14401</v>
      </c>
      <c r="AP168" s="44">
        <f>ROUND(AO168*(1+取值表!$D$10)*取值表!$H$10,0)</f>
        <v>14489</v>
      </c>
      <c r="AQ168" s="42">
        <f t="shared" ref="AQ168:AS168" si="2499">AP168</f>
        <v>14489</v>
      </c>
      <c r="AR168" s="42">
        <f t="shared" si="2499"/>
        <v>14489</v>
      </c>
      <c r="AS168" s="42">
        <f t="shared" si="2499"/>
        <v>14489</v>
      </c>
      <c r="AT168" s="44">
        <f>ROUND(AS168*(1+取值表!$D$10)*取值表!$H$10,0)</f>
        <v>14578</v>
      </c>
      <c r="AU168" s="42">
        <f t="shared" ref="AU168:AW168" si="2500">AT168</f>
        <v>14578</v>
      </c>
      <c r="AV168" s="42">
        <f t="shared" si="2500"/>
        <v>14578</v>
      </c>
      <c r="AW168" s="42">
        <f t="shared" si="2500"/>
        <v>14578</v>
      </c>
      <c r="AX168" s="44">
        <f>ROUND(AW168*(1+取值表!$D$10)*取值表!$H$10,0)</f>
        <v>14667</v>
      </c>
      <c r="AY168" s="42">
        <f t="shared" ref="AY168:BA168" si="2501">AX168</f>
        <v>14667</v>
      </c>
      <c r="AZ168" s="42">
        <f t="shared" si="2501"/>
        <v>14667</v>
      </c>
      <c r="BA168" s="42">
        <f t="shared" si="2501"/>
        <v>14667</v>
      </c>
      <c r="BB168" s="44">
        <f>ROUND(BA168*(1+取值表!$D$10)*取值表!$H$10,0)</f>
        <v>14757</v>
      </c>
      <c r="BC168" s="42">
        <f t="shared" ref="BC168:BE168" si="2502">BB168</f>
        <v>14757</v>
      </c>
      <c r="BD168" s="42">
        <f t="shared" si="2502"/>
        <v>14757</v>
      </c>
      <c r="BE168" s="42">
        <f t="shared" si="2502"/>
        <v>14757</v>
      </c>
      <c r="BF168" s="44">
        <f>ROUND(BE168*(1+取值表!$D$10)*取值表!$H$10,0)</f>
        <v>14847</v>
      </c>
      <c r="BG168" s="42">
        <f t="shared" ref="BG168:BI168" si="2503">BF168</f>
        <v>14847</v>
      </c>
      <c r="BH168" s="42">
        <f t="shared" si="2503"/>
        <v>14847</v>
      </c>
      <c r="BI168" s="42">
        <f t="shared" si="2503"/>
        <v>14847</v>
      </c>
      <c r="BJ168" s="44">
        <f>ROUND(BI168*(1+取值表!$D$10)*取值表!$H$10,0)</f>
        <v>14938</v>
      </c>
      <c r="BK168" s="42">
        <f t="shared" ref="BK168:BM168" si="2504">BJ168</f>
        <v>14938</v>
      </c>
      <c r="BL168" s="42">
        <f t="shared" si="2504"/>
        <v>14938</v>
      </c>
      <c r="BM168" s="42">
        <f t="shared" si="2504"/>
        <v>14938</v>
      </c>
      <c r="BN168" s="44">
        <f>ROUND(BM168*(1+取值表!$D$10)*取值表!$H$10,0)</f>
        <v>15030</v>
      </c>
      <c r="BO168" s="42">
        <f t="shared" ref="BO168:BQ168" si="2505">BN168</f>
        <v>15030</v>
      </c>
      <c r="BP168" s="42">
        <f t="shared" si="2505"/>
        <v>15030</v>
      </c>
      <c r="BQ168" s="42">
        <f t="shared" si="2505"/>
        <v>15030</v>
      </c>
      <c r="BR168" s="44">
        <f>ROUND(BQ168*(1+取值表!$D$10)*取值表!$H$10,0)</f>
        <v>15122</v>
      </c>
      <c r="BS168" s="42">
        <f t="shared" ref="BS168:BU168" si="2506">BR168</f>
        <v>15122</v>
      </c>
      <c r="BT168" s="42">
        <f t="shared" si="2506"/>
        <v>15122</v>
      </c>
      <c r="BU168" s="42">
        <f t="shared" si="2506"/>
        <v>15122</v>
      </c>
      <c r="BV168" s="44">
        <f>ROUND(BU168*(1+取值表!$D$10)*取值表!$H$10,0)</f>
        <v>15215</v>
      </c>
      <c r="BW168" s="42">
        <f t="shared" ref="BW168:BY168" si="2507">BV168</f>
        <v>15215</v>
      </c>
      <c r="BX168" s="42">
        <f t="shared" si="2507"/>
        <v>15215</v>
      </c>
      <c r="BY168" s="42">
        <f t="shared" si="2507"/>
        <v>15215</v>
      </c>
      <c r="BZ168" s="44">
        <f>ROUND(BY168*(1+取值表!$D$10)*取值表!$H$10,0)</f>
        <v>15308</v>
      </c>
      <c r="CA168" s="42">
        <f t="shared" ref="CA168:CC168" si="2508">BZ168</f>
        <v>15308</v>
      </c>
      <c r="CB168" s="42">
        <f t="shared" si="2508"/>
        <v>15308</v>
      </c>
      <c r="CC168" s="42">
        <f t="shared" si="2508"/>
        <v>15308</v>
      </c>
      <c r="CD168" s="44">
        <f>ROUND(CC168*(1+取值表!$D$10)*取值表!$H$10,0)</f>
        <v>15402</v>
      </c>
      <c r="CE168" s="42">
        <f t="shared" ref="CE168:CG168" si="2509">CD168</f>
        <v>15402</v>
      </c>
      <c r="CF168" s="42">
        <f t="shared" si="2509"/>
        <v>15402</v>
      </c>
      <c r="CG168" s="42">
        <f t="shared" si="2509"/>
        <v>15402</v>
      </c>
      <c r="CH168" s="44">
        <f>ROUND(CG168*(1+取值表!$D$10)*取值表!$H$10,0)</f>
        <v>15496</v>
      </c>
      <c r="CI168" s="42">
        <f t="shared" ref="CI168:CK168" si="2510">CH168</f>
        <v>15496</v>
      </c>
      <c r="CJ168" s="42">
        <f t="shared" si="2510"/>
        <v>15496</v>
      </c>
      <c r="CK168" s="42">
        <f t="shared" si="2510"/>
        <v>15496</v>
      </c>
      <c r="CL168" s="44">
        <f>ROUND(CK168*(1+取值表!$D$10)*取值表!$H$10,0)</f>
        <v>15591</v>
      </c>
      <c r="CM168" s="42">
        <f t="shared" ref="CM168:CO168" si="2511">CL168</f>
        <v>15591</v>
      </c>
      <c r="CN168" s="42">
        <f t="shared" si="2511"/>
        <v>15591</v>
      </c>
      <c r="CO168" s="42">
        <f t="shared" si="2511"/>
        <v>15591</v>
      </c>
      <c r="CP168" s="44">
        <f>ROUND(CO168*(1+取值表!$D$10)*取值表!$H$10,0)</f>
        <v>15687</v>
      </c>
      <c r="CQ168" s="42">
        <f t="shared" ref="CQ168" si="2512">CP168</f>
        <v>15687</v>
      </c>
      <c r="CR168" s="42">
        <f t="shared" ref="CR168" si="2513">CQ168</f>
        <v>15687</v>
      </c>
      <c r="CS168" s="42">
        <f t="shared" ref="CS168" si="2514">CR168</f>
        <v>15687</v>
      </c>
      <c r="CT168" s="44">
        <f>ROUND(CS168*(1+取值表!$D$10)*取值表!$H$10,0)</f>
        <v>15783</v>
      </c>
      <c r="CU168" s="42">
        <f t="shared" ref="CU168" si="2515">CT168</f>
        <v>15783</v>
      </c>
      <c r="CV168" s="42">
        <f t="shared" ref="CV168" si="2516">CU168</f>
        <v>15783</v>
      </c>
      <c r="CW168" s="42">
        <f t="shared" ref="CW168" si="2517">CV168</f>
        <v>15783</v>
      </c>
      <c r="CX168" s="44">
        <f>ROUND(CW168*(1+取值表!$D$10)*取值表!$H$10,0)</f>
        <v>15880</v>
      </c>
      <c r="CY168" s="42">
        <f t="shared" ref="CY168" si="2518">CX168</f>
        <v>15880</v>
      </c>
      <c r="CZ168" s="42">
        <f t="shared" ref="CZ168" si="2519">CY168</f>
        <v>15880</v>
      </c>
      <c r="DA168" s="42">
        <f t="shared" ref="DA168" si="2520">CZ168</f>
        <v>15880</v>
      </c>
      <c r="DB168" s="44">
        <f>ROUND(DA168*(1+取值表!$D$10)*取值表!$H$10,0)</f>
        <v>15977</v>
      </c>
      <c r="DC168" s="42">
        <f t="shared" ref="DC168" si="2521">DB168</f>
        <v>15977</v>
      </c>
      <c r="DD168" s="42">
        <f t="shared" ref="DD168" si="2522">DC168</f>
        <v>15977</v>
      </c>
      <c r="DE168" s="42">
        <f t="shared" ref="DE168" si="2523">DD168</f>
        <v>15977</v>
      </c>
      <c r="DF168" s="45">
        <f t="shared" si="1976"/>
        <v>1486180</v>
      </c>
      <c r="DG168" s="236"/>
      <c r="DH168" s="236"/>
      <c r="DI168" s="236"/>
      <c r="DJ168" s="236"/>
      <c r="DK168" s="236"/>
      <c r="DL168" s="236"/>
      <c r="DM168" s="236"/>
      <c r="DN168" s="236"/>
      <c r="DO168" s="236"/>
      <c r="DP168" s="236"/>
      <c r="DQ168" s="236"/>
      <c r="DR168" s="236"/>
      <c r="DS168" s="236"/>
      <c r="DT168" s="236"/>
      <c r="DU168" s="236"/>
      <c r="DV168" s="236"/>
      <c r="DW168" s="236"/>
      <c r="DX168" s="236"/>
      <c r="DY168" s="236"/>
      <c r="DZ168" s="236"/>
      <c r="EA168" s="236"/>
      <c r="EB168" s="236"/>
      <c r="EC168" s="236"/>
      <c r="ED168" s="236"/>
      <c r="EE168" s="236"/>
      <c r="EF168" s="236"/>
      <c r="EG168" s="236"/>
      <c r="EH168" s="236"/>
      <c r="EI168" s="236"/>
      <c r="EJ168" s="236"/>
      <c r="EK168" s="236"/>
      <c r="EL168" s="236"/>
      <c r="EM168" s="236"/>
      <c r="EN168" s="236"/>
      <c r="EO168" s="236"/>
      <c r="EP168" s="236"/>
      <c r="EQ168" s="236"/>
      <c r="ER168" s="236"/>
      <c r="ES168" s="236"/>
      <c r="ET168" s="236"/>
      <c r="EU168" s="236"/>
      <c r="EV168" s="236"/>
      <c r="EW168" s="236"/>
      <c r="EX168" s="236"/>
      <c r="EY168" s="236"/>
      <c r="EZ168" s="236"/>
      <c r="FA168" s="236"/>
      <c r="FB168" s="236"/>
      <c r="FC168" s="236"/>
      <c r="FD168" s="236"/>
      <c r="FE168" s="236"/>
      <c r="FF168" s="236"/>
      <c r="FG168" s="236"/>
      <c r="FH168" s="236"/>
      <c r="FI168" s="236"/>
      <c r="FJ168" s="236"/>
      <c r="FK168" s="236"/>
      <c r="FL168" s="236"/>
      <c r="FM168" s="236"/>
      <c r="FN168" s="236"/>
      <c r="FO168" s="236"/>
      <c r="FP168" s="236"/>
      <c r="FQ168" s="236"/>
      <c r="FR168" s="236"/>
      <c r="FS168" s="236"/>
      <c r="FT168" s="236"/>
      <c r="FU168" s="236"/>
      <c r="FV168" s="236"/>
      <c r="FW168" s="236"/>
      <c r="FX168" s="236"/>
      <c r="FY168" s="236"/>
      <c r="FZ168" s="236"/>
      <c r="GA168" s="236"/>
      <c r="GB168" s="236"/>
      <c r="GC168" s="236"/>
      <c r="GD168" s="236"/>
      <c r="GE168" s="236"/>
      <c r="GF168" s="236"/>
      <c r="GG168" s="236"/>
      <c r="GH168" s="236"/>
      <c r="GI168" s="236"/>
      <c r="GJ168" s="236"/>
      <c r="GK168" s="236"/>
      <c r="GL168" s="236"/>
      <c r="GM168" s="236"/>
      <c r="GN168" s="236"/>
      <c r="GO168" s="236"/>
      <c r="GP168" s="236"/>
      <c r="GQ168" s="236"/>
      <c r="GR168" s="236"/>
      <c r="GS168" s="236"/>
      <c r="GT168" s="236"/>
      <c r="GU168" s="236"/>
      <c r="GV168" s="236"/>
      <c r="GW168" s="236"/>
      <c r="GX168" s="236"/>
      <c r="GY168" s="236"/>
      <c r="GZ168" s="236"/>
      <c r="HA168" s="236"/>
      <c r="HB168" s="236"/>
      <c r="HC168" s="236"/>
      <c r="HD168" s="236"/>
      <c r="HE168" s="236"/>
      <c r="HF168" s="236"/>
      <c r="HG168" s="236"/>
      <c r="HH168" s="236"/>
      <c r="HI168" s="236"/>
      <c r="HJ168" s="236"/>
      <c r="HK168" s="236"/>
      <c r="HL168" s="236"/>
      <c r="HM168" s="236"/>
      <c r="HN168" s="236"/>
      <c r="HO168" s="236"/>
      <c r="HP168" s="236"/>
      <c r="HQ168" s="48">
        <f t="shared" si="2430"/>
        <v>2972360</v>
      </c>
      <c r="HR168" s="49"/>
      <c r="HS168" s="50"/>
      <c r="HT168" s="51">
        <v>111270.25</v>
      </c>
    </row>
    <row r="169" spans="1:228" s="52" customFormat="1" ht="12">
      <c r="A169" s="505"/>
      <c r="B169" s="507"/>
      <c r="C169" s="509"/>
      <c r="D169" s="511"/>
      <c r="E169" s="513"/>
      <c r="F169" s="501"/>
      <c r="G169" s="501"/>
      <c r="H169" s="503"/>
      <c r="I169" s="233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  <c r="BT169" s="42"/>
      <c r="BU169" s="42"/>
      <c r="BV169" s="42"/>
      <c r="BW169" s="42"/>
      <c r="BX169" s="42"/>
      <c r="BY169" s="42"/>
      <c r="BZ169" s="42"/>
      <c r="CA169" s="42"/>
      <c r="CB169" s="42"/>
      <c r="CC169" s="42"/>
      <c r="CD169" s="42"/>
      <c r="CE169" s="42"/>
      <c r="CF169" s="42"/>
      <c r="CG169" s="42"/>
      <c r="CH169" s="42"/>
      <c r="CI169" s="42"/>
      <c r="CJ169" s="42"/>
      <c r="CK169" s="42"/>
      <c r="CL169" s="42"/>
      <c r="CM169" s="42"/>
      <c r="CN169" s="42"/>
      <c r="CO169" s="42"/>
      <c r="CP169" s="42"/>
      <c r="CQ169" s="42"/>
      <c r="CR169" s="42"/>
      <c r="CS169" s="42"/>
      <c r="CT169" s="42"/>
      <c r="CU169" s="42"/>
      <c r="CV169" s="42"/>
      <c r="CW169" s="42"/>
      <c r="CX169" s="42"/>
      <c r="CY169" s="42"/>
      <c r="CZ169" s="42"/>
      <c r="DA169" s="42"/>
      <c r="DB169" s="42"/>
      <c r="DC169" s="42"/>
      <c r="DD169" s="42"/>
      <c r="DE169" s="42"/>
      <c r="DF169" s="45">
        <f t="shared" si="1976"/>
        <v>0</v>
      </c>
      <c r="DG169" s="237"/>
      <c r="DH169" s="237"/>
      <c r="DI169" s="237"/>
      <c r="DJ169" s="237"/>
      <c r="DK169" s="237"/>
      <c r="DL169" s="237"/>
      <c r="DM169" s="237"/>
      <c r="DN169" s="237"/>
      <c r="DO169" s="237"/>
      <c r="DP169" s="237"/>
      <c r="DQ169" s="237"/>
      <c r="DR169" s="237"/>
      <c r="DS169" s="237"/>
      <c r="DT169" s="237"/>
      <c r="DU169" s="237"/>
      <c r="DV169" s="237"/>
      <c r="DW169" s="237"/>
      <c r="DX169" s="237"/>
      <c r="DY169" s="237"/>
      <c r="DZ169" s="237"/>
      <c r="EA169" s="237"/>
      <c r="EB169" s="237"/>
      <c r="EC169" s="237"/>
      <c r="ED169" s="237"/>
      <c r="EE169" s="237"/>
      <c r="EF169" s="237"/>
      <c r="EG169" s="237"/>
      <c r="EH169" s="237"/>
      <c r="EI169" s="237"/>
      <c r="EJ169" s="237"/>
      <c r="EK169" s="237"/>
      <c r="EL169" s="237"/>
      <c r="EM169" s="237"/>
      <c r="EN169" s="237"/>
      <c r="EO169" s="237"/>
      <c r="EP169" s="237"/>
      <c r="EQ169" s="237"/>
      <c r="ER169" s="237"/>
      <c r="ES169" s="237"/>
      <c r="ET169" s="237"/>
      <c r="EU169" s="237"/>
      <c r="EV169" s="237"/>
      <c r="EW169" s="237"/>
      <c r="EX169" s="237"/>
      <c r="EY169" s="237"/>
      <c r="EZ169" s="237"/>
      <c r="FA169" s="237"/>
      <c r="FB169" s="237"/>
      <c r="FC169" s="237"/>
      <c r="FD169" s="237"/>
      <c r="FE169" s="237"/>
      <c r="FF169" s="237"/>
      <c r="FG169" s="237"/>
      <c r="FH169" s="237"/>
      <c r="FI169" s="237"/>
      <c r="FJ169" s="237"/>
      <c r="FK169" s="237"/>
      <c r="FL169" s="237"/>
      <c r="FM169" s="237"/>
      <c r="FN169" s="237"/>
      <c r="FO169" s="237"/>
      <c r="FP169" s="237"/>
      <c r="FQ169" s="237"/>
      <c r="FR169" s="237"/>
      <c r="FS169" s="237"/>
      <c r="FT169" s="237"/>
      <c r="FU169" s="237"/>
      <c r="FV169" s="237"/>
      <c r="FW169" s="237"/>
      <c r="FX169" s="237"/>
      <c r="FY169" s="237"/>
      <c r="FZ169" s="237"/>
      <c r="GA169" s="237"/>
      <c r="GB169" s="237"/>
      <c r="GC169" s="237"/>
      <c r="GD169" s="237"/>
      <c r="GE169" s="237"/>
      <c r="GF169" s="237"/>
      <c r="GG169" s="237"/>
      <c r="GH169" s="237"/>
      <c r="GI169" s="237"/>
      <c r="GJ169" s="237"/>
      <c r="GK169" s="237"/>
      <c r="GL169" s="237"/>
      <c r="GM169" s="237"/>
      <c r="GN169" s="237"/>
      <c r="GO169" s="237"/>
      <c r="GP169" s="237"/>
      <c r="GQ169" s="237"/>
      <c r="GR169" s="237"/>
      <c r="GS169" s="237"/>
      <c r="GT169" s="237"/>
      <c r="GU169" s="237"/>
      <c r="GV169" s="237"/>
      <c r="GW169" s="237"/>
      <c r="GX169" s="237"/>
      <c r="GY169" s="237"/>
      <c r="GZ169" s="237"/>
      <c r="HA169" s="237"/>
      <c r="HB169" s="237"/>
      <c r="HC169" s="237"/>
      <c r="HD169" s="237"/>
      <c r="HE169" s="237"/>
      <c r="HF169" s="237"/>
      <c r="HG169" s="237"/>
      <c r="HH169" s="237"/>
      <c r="HI169" s="237"/>
      <c r="HJ169" s="237"/>
      <c r="HK169" s="237"/>
      <c r="HL169" s="237"/>
      <c r="HM169" s="237"/>
      <c r="HN169" s="237"/>
      <c r="HO169" s="237"/>
      <c r="HP169" s="237"/>
      <c r="HQ169" s="53">
        <f t="shared" si="2430"/>
        <v>0</v>
      </c>
      <c r="HR169" s="49"/>
      <c r="HS169" s="50"/>
      <c r="HT169" s="51">
        <v>82296.45</v>
      </c>
    </row>
    <row r="170" spans="1:228" s="52" customFormat="1" ht="12">
      <c r="A170" s="504">
        <v>85</v>
      </c>
      <c r="B170" s="506" t="s">
        <v>562</v>
      </c>
      <c r="C170" s="508" t="s">
        <v>714</v>
      </c>
      <c r="D170" s="510" t="s">
        <v>644</v>
      </c>
      <c r="E170" s="512" t="s">
        <v>459</v>
      </c>
      <c r="F170" s="500">
        <v>10</v>
      </c>
      <c r="G170" s="500">
        <v>36</v>
      </c>
      <c r="H170" s="502">
        <f>F170*G170*365</f>
        <v>131400</v>
      </c>
      <c r="I170" s="228">
        <v>32850</v>
      </c>
      <c r="J170" s="43">
        <f>ROUND(G170*F170*365/4,0)</f>
        <v>32850</v>
      </c>
      <c r="K170" s="42">
        <f>J170</f>
        <v>32850</v>
      </c>
      <c r="L170" s="42">
        <f>K170</f>
        <v>32850</v>
      </c>
      <c r="M170" s="42">
        <f>L170</f>
        <v>32850</v>
      </c>
      <c r="N170" s="44">
        <f>ROUND(M170*(1+取值表!$D$10)*取值表!$H$10,0)</f>
        <v>33051</v>
      </c>
      <c r="O170" s="42">
        <f>N170</f>
        <v>33051</v>
      </c>
      <c r="P170" s="42">
        <f>O170</f>
        <v>33051</v>
      </c>
      <c r="Q170" s="42">
        <f>P170</f>
        <v>33051</v>
      </c>
      <c r="R170" s="44">
        <f>ROUND(Q170*(1+取值表!$D$10)*取值表!$H$10,0)</f>
        <v>33254</v>
      </c>
      <c r="S170" s="42">
        <f t="shared" ref="S170:U170" si="2524">R170</f>
        <v>33254</v>
      </c>
      <c r="T170" s="42">
        <f t="shared" si="2524"/>
        <v>33254</v>
      </c>
      <c r="U170" s="42">
        <f t="shared" si="2524"/>
        <v>33254</v>
      </c>
      <c r="V170" s="44">
        <f>ROUND(U170*(1+取值表!$D$10)*取值表!$H$10,0)</f>
        <v>33458</v>
      </c>
      <c r="W170" s="42">
        <f t="shared" ref="W170:Y170" si="2525">V170</f>
        <v>33458</v>
      </c>
      <c r="X170" s="42">
        <f t="shared" si="2525"/>
        <v>33458</v>
      </c>
      <c r="Y170" s="42">
        <f t="shared" si="2525"/>
        <v>33458</v>
      </c>
      <c r="Z170" s="44">
        <f>ROUND(Y170*(1+取值表!$D$10)*取值表!$H$10,0)</f>
        <v>33663</v>
      </c>
      <c r="AA170" s="42">
        <f t="shared" ref="AA170:AC170" si="2526">Z170</f>
        <v>33663</v>
      </c>
      <c r="AB170" s="42">
        <f t="shared" si="2526"/>
        <v>33663</v>
      </c>
      <c r="AC170" s="42">
        <f t="shared" si="2526"/>
        <v>33663</v>
      </c>
      <c r="AD170" s="44">
        <f>ROUND(AC170*(1+取值表!$D$10)*取值表!$H$10,0)</f>
        <v>33869</v>
      </c>
      <c r="AE170" s="42">
        <f t="shared" ref="AE170:AG170" si="2527">AD170</f>
        <v>33869</v>
      </c>
      <c r="AF170" s="42">
        <f t="shared" si="2527"/>
        <v>33869</v>
      </c>
      <c r="AG170" s="42">
        <f t="shared" si="2527"/>
        <v>33869</v>
      </c>
      <c r="AH170" s="44">
        <f>ROUND(AG170*(1+取值表!$D$10)*取值表!$H$10,0)</f>
        <v>34077</v>
      </c>
      <c r="AI170" s="42">
        <f t="shared" ref="AI170:AK170" si="2528">AH170</f>
        <v>34077</v>
      </c>
      <c r="AJ170" s="42">
        <f t="shared" si="2528"/>
        <v>34077</v>
      </c>
      <c r="AK170" s="42">
        <f t="shared" si="2528"/>
        <v>34077</v>
      </c>
      <c r="AL170" s="44">
        <f>ROUND(AK170*(1+取值表!$D$10)*取值表!$H$10,0)</f>
        <v>34286</v>
      </c>
      <c r="AM170" s="42">
        <f t="shared" ref="AM170:AO170" si="2529">AL170</f>
        <v>34286</v>
      </c>
      <c r="AN170" s="42">
        <f t="shared" si="2529"/>
        <v>34286</v>
      </c>
      <c r="AO170" s="42">
        <f t="shared" si="2529"/>
        <v>34286</v>
      </c>
      <c r="AP170" s="44">
        <f>ROUND(AO170*(1+取值表!$D$10)*取值表!$H$10,0)</f>
        <v>34496</v>
      </c>
      <c r="AQ170" s="42">
        <f t="shared" ref="AQ170:AS170" si="2530">AP170</f>
        <v>34496</v>
      </c>
      <c r="AR170" s="42">
        <f t="shared" si="2530"/>
        <v>34496</v>
      </c>
      <c r="AS170" s="42">
        <f t="shared" si="2530"/>
        <v>34496</v>
      </c>
      <c r="AT170" s="44">
        <f>ROUND(AS170*(1+取值表!$D$10)*取值表!$H$10,0)</f>
        <v>34707</v>
      </c>
      <c r="AU170" s="42">
        <f t="shared" ref="AU170:AW170" si="2531">AT170</f>
        <v>34707</v>
      </c>
      <c r="AV170" s="42">
        <f t="shared" si="2531"/>
        <v>34707</v>
      </c>
      <c r="AW170" s="42">
        <f t="shared" si="2531"/>
        <v>34707</v>
      </c>
      <c r="AX170" s="44">
        <f>ROUND(AW170*(1+取值表!$D$10)*取值表!$H$10,0)</f>
        <v>34920</v>
      </c>
      <c r="AY170" s="42">
        <f t="shared" ref="AY170:BA170" si="2532">AX170</f>
        <v>34920</v>
      </c>
      <c r="AZ170" s="42">
        <f t="shared" si="2532"/>
        <v>34920</v>
      </c>
      <c r="BA170" s="42">
        <f t="shared" si="2532"/>
        <v>34920</v>
      </c>
      <c r="BB170" s="44">
        <f>ROUND(BA170*(1+取值表!$D$10)*取值表!$H$10,0)</f>
        <v>35134</v>
      </c>
      <c r="BC170" s="42">
        <f t="shared" ref="BC170:BE170" si="2533">BB170</f>
        <v>35134</v>
      </c>
      <c r="BD170" s="42">
        <f t="shared" si="2533"/>
        <v>35134</v>
      </c>
      <c r="BE170" s="42">
        <f t="shared" si="2533"/>
        <v>35134</v>
      </c>
      <c r="BF170" s="44">
        <f>ROUND(BE170*(1+取值表!$D$10)*取值表!$H$10,0)</f>
        <v>35349</v>
      </c>
      <c r="BG170" s="42">
        <f t="shared" ref="BG170:BI170" si="2534">BF170</f>
        <v>35349</v>
      </c>
      <c r="BH170" s="42">
        <f t="shared" si="2534"/>
        <v>35349</v>
      </c>
      <c r="BI170" s="42">
        <f t="shared" si="2534"/>
        <v>35349</v>
      </c>
      <c r="BJ170" s="44">
        <f>ROUND(BI170*(1+取值表!$D$10)*取值表!$H$10,0)</f>
        <v>35566</v>
      </c>
      <c r="BK170" s="42">
        <f t="shared" ref="BK170:BM170" si="2535">BJ170</f>
        <v>35566</v>
      </c>
      <c r="BL170" s="42">
        <f t="shared" si="2535"/>
        <v>35566</v>
      </c>
      <c r="BM170" s="42">
        <f t="shared" si="2535"/>
        <v>35566</v>
      </c>
      <c r="BN170" s="44">
        <f>ROUND(BM170*(1+取值表!$D$10)*取值表!$H$10,0)</f>
        <v>35784</v>
      </c>
      <c r="BO170" s="42">
        <f t="shared" ref="BO170:BQ170" si="2536">BN170</f>
        <v>35784</v>
      </c>
      <c r="BP170" s="42">
        <f t="shared" si="2536"/>
        <v>35784</v>
      </c>
      <c r="BQ170" s="42">
        <f t="shared" si="2536"/>
        <v>35784</v>
      </c>
      <c r="BR170" s="44">
        <f>ROUND(BQ170*(1+取值表!$D$10)*取值表!$H$10,0)</f>
        <v>36003</v>
      </c>
      <c r="BS170" s="42">
        <f t="shared" ref="BS170:BU170" si="2537">BR170</f>
        <v>36003</v>
      </c>
      <c r="BT170" s="42">
        <f t="shared" si="2537"/>
        <v>36003</v>
      </c>
      <c r="BU170" s="42">
        <f t="shared" si="2537"/>
        <v>36003</v>
      </c>
      <c r="BV170" s="44">
        <f>ROUND(BU170*(1+取值表!$D$10)*取值表!$H$10,0)</f>
        <v>36224</v>
      </c>
      <c r="BW170" s="42">
        <f t="shared" ref="BW170:BY170" si="2538">BV170</f>
        <v>36224</v>
      </c>
      <c r="BX170" s="42">
        <f t="shared" si="2538"/>
        <v>36224</v>
      </c>
      <c r="BY170" s="42">
        <f t="shared" si="2538"/>
        <v>36224</v>
      </c>
      <c r="BZ170" s="44">
        <f>ROUND(BY170*(1+取值表!$D$10)*取值表!$H$10,0)</f>
        <v>36446</v>
      </c>
      <c r="CA170" s="42">
        <f t="shared" ref="CA170:CC170" si="2539">BZ170</f>
        <v>36446</v>
      </c>
      <c r="CB170" s="42">
        <f t="shared" si="2539"/>
        <v>36446</v>
      </c>
      <c r="CC170" s="42">
        <f t="shared" si="2539"/>
        <v>36446</v>
      </c>
      <c r="CD170" s="44">
        <f>ROUND(CC170*(1+取值表!$D$10)*取值表!$H$10,0)</f>
        <v>36669</v>
      </c>
      <c r="CE170" s="42">
        <f t="shared" ref="CE170:CG170" si="2540">CD170</f>
        <v>36669</v>
      </c>
      <c r="CF170" s="42">
        <f t="shared" si="2540"/>
        <v>36669</v>
      </c>
      <c r="CG170" s="42">
        <f t="shared" si="2540"/>
        <v>36669</v>
      </c>
      <c r="CH170" s="44">
        <f>ROUND(CG170*(1+取值表!$D$10)*取值表!$H$10,0)</f>
        <v>36894</v>
      </c>
      <c r="CI170" s="42">
        <f t="shared" ref="CI170:CK170" si="2541">CH170</f>
        <v>36894</v>
      </c>
      <c r="CJ170" s="42">
        <f t="shared" si="2541"/>
        <v>36894</v>
      </c>
      <c r="CK170" s="42">
        <f t="shared" si="2541"/>
        <v>36894</v>
      </c>
      <c r="CL170" s="44">
        <f>ROUND(CK170*(1+取值表!$D$10)*取值表!$H$10,0)</f>
        <v>37120</v>
      </c>
      <c r="CM170" s="42">
        <f t="shared" ref="CM170:CO170" si="2542">CL170</f>
        <v>37120</v>
      </c>
      <c r="CN170" s="42">
        <f t="shared" si="2542"/>
        <v>37120</v>
      </c>
      <c r="CO170" s="42">
        <f t="shared" si="2542"/>
        <v>37120</v>
      </c>
      <c r="CP170" s="44">
        <f>ROUND(CO170*(1+取值表!$D$10)*取值表!$H$10,0)</f>
        <v>37348</v>
      </c>
      <c r="CQ170" s="42">
        <f t="shared" ref="CQ170" si="2543">CP170</f>
        <v>37348</v>
      </c>
      <c r="CR170" s="42">
        <f t="shared" ref="CR170" si="2544">CQ170</f>
        <v>37348</v>
      </c>
      <c r="CS170" s="42">
        <f t="shared" ref="CS170" si="2545">CR170</f>
        <v>37348</v>
      </c>
      <c r="CT170" s="44">
        <f>ROUND(CS170*(1+取值表!$D$10)*取值表!$H$10,0)</f>
        <v>37577</v>
      </c>
      <c r="CU170" s="42">
        <f t="shared" ref="CU170" si="2546">CT170</f>
        <v>37577</v>
      </c>
      <c r="CV170" s="42">
        <f t="shared" ref="CV170" si="2547">CU170</f>
        <v>37577</v>
      </c>
      <c r="CW170" s="42">
        <f t="shared" ref="CW170" si="2548">CV170</f>
        <v>37577</v>
      </c>
      <c r="CX170" s="44">
        <f>ROUND(CW170*(1+取值表!$D$10)*取值表!$H$10,0)</f>
        <v>37807</v>
      </c>
      <c r="CY170" s="42">
        <f t="shared" ref="CY170" si="2549">CX170</f>
        <v>37807</v>
      </c>
      <c r="CZ170" s="42">
        <f t="shared" ref="CZ170" si="2550">CY170</f>
        <v>37807</v>
      </c>
      <c r="DA170" s="42">
        <f t="shared" ref="DA170" si="2551">CZ170</f>
        <v>37807</v>
      </c>
      <c r="DB170" s="44">
        <f>ROUND(DA170*(1+取值表!$D$10)*取值表!$H$10,0)</f>
        <v>38039</v>
      </c>
      <c r="DC170" s="42">
        <f t="shared" ref="DC170" si="2552">DB170</f>
        <v>38039</v>
      </c>
      <c r="DD170" s="42">
        <f t="shared" ref="DD170" si="2553">DC170</f>
        <v>38039</v>
      </c>
      <c r="DE170" s="42">
        <f t="shared" ref="DE170" si="2554">DD170</f>
        <v>38039</v>
      </c>
      <c r="DF170" s="45">
        <f t="shared" si="1976"/>
        <v>3538364</v>
      </c>
      <c r="DG170" s="229"/>
      <c r="DH170" s="229"/>
      <c r="DI170" s="229"/>
      <c r="DJ170" s="229"/>
      <c r="DK170" s="229"/>
      <c r="DL170" s="229"/>
      <c r="DM170" s="229"/>
      <c r="DN170" s="229"/>
      <c r="DO170" s="229"/>
      <c r="DP170" s="229"/>
      <c r="DQ170" s="229"/>
      <c r="DR170" s="229"/>
      <c r="DS170" s="229"/>
      <c r="DT170" s="229"/>
      <c r="DU170" s="229"/>
      <c r="DV170" s="229"/>
      <c r="DW170" s="229"/>
      <c r="DX170" s="229"/>
      <c r="DY170" s="229"/>
      <c r="DZ170" s="229"/>
      <c r="EA170" s="229"/>
      <c r="EB170" s="229"/>
      <c r="EC170" s="229"/>
      <c r="ED170" s="229"/>
      <c r="EE170" s="229"/>
      <c r="EF170" s="229"/>
      <c r="EG170" s="229"/>
      <c r="EH170" s="229"/>
      <c r="EI170" s="229"/>
      <c r="EJ170" s="229"/>
      <c r="EK170" s="229"/>
      <c r="EL170" s="229"/>
      <c r="EM170" s="229"/>
      <c r="EN170" s="229"/>
      <c r="EO170" s="229"/>
      <c r="EP170" s="229"/>
      <c r="EQ170" s="229"/>
      <c r="ER170" s="229"/>
      <c r="ES170" s="229"/>
      <c r="ET170" s="229"/>
      <c r="EU170" s="229"/>
      <c r="EV170" s="229"/>
      <c r="EW170" s="229"/>
      <c r="EX170" s="229"/>
      <c r="EY170" s="229"/>
      <c r="EZ170" s="229"/>
      <c r="FA170" s="229"/>
      <c r="FB170" s="229"/>
      <c r="FC170" s="229"/>
      <c r="FD170" s="229"/>
      <c r="FE170" s="229"/>
      <c r="FF170" s="229"/>
      <c r="FG170" s="229"/>
      <c r="FH170" s="229"/>
      <c r="FI170" s="229"/>
      <c r="FJ170" s="229"/>
      <c r="FK170" s="229"/>
      <c r="FL170" s="229"/>
      <c r="FM170" s="229"/>
      <c r="FN170" s="229"/>
      <c r="FO170" s="229"/>
      <c r="FP170" s="229"/>
      <c r="FQ170" s="229"/>
      <c r="FR170" s="229"/>
      <c r="FS170" s="229"/>
      <c r="FT170" s="229"/>
      <c r="FU170" s="229"/>
      <c r="FV170" s="229"/>
      <c r="FW170" s="229"/>
      <c r="FX170" s="229"/>
      <c r="FY170" s="229"/>
      <c r="FZ170" s="229"/>
      <c r="GA170" s="229"/>
      <c r="GB170" s="229"/>
      <c r="GC170" s="229"/>
      <c r="GD170" s="229"/>
      <c r="GE170" s="229"/>
      <c r="GF170" s="229"/>
      <c r="GG170" s="229"/>
      <c r="GH170" s="229"/>
      <c r="GI170" s="229"/>
      <c r="GJ170" s="229"/>
      <c r="GK170" s="229"/>
      <c r="GL170" s="229"/>
      <c r="GM170" s="229"/>
      <c r="GN170" s="229"/>
      <c r="GO170" s="229"/>
      <c r="GP170" s="229"/>
      <c r="GQ170" s="229"/>
      <c r="GR170" s="229"/>
      <c r="GS170" s="229"/>
      <c r="GT170" s="229"/>
      <c r="GU170" s="229"/>
      <c r="GV170" s="229"/>
      <c r="GW170" s="229"/>
      <c r="GX170" s="229"/>
      <c r="GY170" s="229"/>
      <c r="GZ170" s="229"/>
      <c r="HA170" s="229"/>
      <c r="HB170" s="229"/>
      <c r="HC170" s="229"/>
      <c r="HD170" s="229"/>
      <c r="HE170" s="229"/>
      <c r="HF170" s="229"/>
      <c r="HG170" s="229"/>
      <c r="HH170" s="229"/>
      <c r="HI170" s="229"/>
      <c r="HJ170" s="229"/>
      <c r="HK170" s="229"/>
      <c r="HL170" s="229"/>
      <c r="HM170" s="229"/>
      <c r="HN170" s="229"/>
      <c r="HO170" s="229"/>
      <c r="HP170" s="229"/>
      <c r="HQ170" s="48">
        <f t="shared" si="2430"/>
        <v>7076728</v>
      </c>
      <c r="HR170" s="230"/>
      <c r="HS170" s="231"/>
      <c r="HT170" s="51">
        <v>223258.33333333299</v>
      </c>
    </row>
    <row r="171" spans="1:228" s="52" customFormat="1" ht="12">
      <c r="A171" s="505"/>
      <c r="B171" s="507"/>
      <c r="C171" s="509"/>
      <c r="D171" s="511"/>
      <c r="E171" s="513"/>
      <c r="F171" s="501"/>
      <c r="G171" s="501"/>
      <c r="H171" s="503"/>
      <c r="I171" s="233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2"/>
      <c r="CJ171" s="42"/>
      <c r="CK171" s="42"/>
      <c r="CL171" s="42"/>
      <c r="CM171" s="42"/>
      <c r="CN171" s="42"/>
      <c r="CO171" s="42"/>
      <c r="CP171" s="42"/>
      <c r="CQ171" s="42"/>
      <c r="CR171" s="42"/>
      <c r="CS171" s="42"/>
      <c r="CT171" s="42"/>
      <c r="CU171" s="42"/>
      <c r="CV171" s="42"/>
      <c r="CW171" s="42"/>
      <c r="CX171" s="42"/>
      <c r="CY171" s="42"/>
      <c r="CZ171" s="42"/>
      <c r="DA171" s="42"/>
      <c r="DB171" s="42"/>
      <c r="DC171" s="42"/>
      <c r="DD171" s="42"/>
      <c r="DE171" s="42"/>
      <c r="DF171" s="45">
        <f t="shared" si="1976"/>
        <v>0</v>
      </c>
      <c r="DG171" s="47"/>
      <c r="DH171" s="47"/>
      <c r="DI171" s="47"/>
      <c r="DJ171" s="47"/>
      <c r="DK171" s="47"/>
      <c r="DL171" s="47"/>
      <c r="DM171" s="47"/>
      <c r="DN171" s="47"/>
      <c r="DO171" s="47"/>
      <c r="DP171" s="47"/>
      <c r="DQ171" s="47"/>
      <c r="DR171" s="47"/>
      <c r="DS171" s="47"/>
      <c r="DT171" s="47"/>
      <c r="DU171" s="47"/>
      <c r="DV171" s="47"/>
      <c r="DW171" s="47"/>
      <c r="DX171" s="47"/>
      <c r="DY171" s="47"/>
      <c r="DZ171" s="47"/>
      <c r="EA171" s="47"/>
      <c r="EB171" s="47"/>
      <c r="EC171" s="47"/>
      <c r="ED171" s="47"/>
      <c r="EE171" s="47"/>
      <c r="EF171" s="47"/>
      <c r="EG171" s="47"/>
      <c r="EH171" s="47"/>
      <c r="EI171" s="47"/>
      <c r="EJ171" s="47"/>
      <c r="EK171" s="47"/>
      <c r="EL171" s="47"/>
      <c r="EM171" s="47"/>
      <c r="EN171" s="47"/>
      <c r="EO171" s="47"/>
      <c r="EP171" s="47"/>
      <c r="EQ171" s="47"/>
      <c r="ER171" s="47"/>
      <c r="ES171" s="47"/>
      <c r="ET171" s="47"/>
      <c r="EU171" s="47"/>
      <c r="EV171" s="47"/>
      <c r="EW171" s="47"/>
      <c r="EX171" s="47"/>
      <c r="EY171" s="47"/>
      <c r="EZ171" s="47"/>
      <c r="FA171" s="47"/>
      <c r="FB171" s="47"/>
      <c r="FC171" s="47"/>
      <c r="FD171" s="47"/>
      <c r="FE171" s="47"/>
      <c r="FF171" s="47"/>
      <c r="FG171" s="47"/>
      <c r="FH171" s="47"/>
      <c r="FI171" s="47"/>
      <c r="FJ171" s="47"/>
      <c r="FK171" s="47"/>
      <c r="FL171" s="47"/>
      <c r="FM171" s="47"/>
      <c r="FN171" s="47"/>
      <c r="FO171" s="47"/>
      <c r="FP171" s="47"/>
      <c r="FQ171" s="47"/>
      <c r="FR171" s="47"/>
      <c r="FS171" s="47"/>
      <c r="FT171" s="47"/>
      <c r="FU171" s="47"/>
      <c r="FV171" s="47"/>
      <c r="FW171" s="47"/>
      <c r="FX171" s="47"/>
      <c r="FY171" s="47"/>
      <c r="FZ171" s="47"/>
      <c r="GA171" s="47"/>
      <c r="GB171" s="47"/>
      <c r="GC171" s="47"/>
      <c r="GD171" s="47"/>
      <c r="GE171" s="47"/>
      <c r="GF171" s="47"/>
      <c r="GG171" s="47"/>
      <c r="GH171" s="47"/>
      <c r="GI171" s="47"/>
      <c r="GJ171" s="47"/>
      <c r="GK171" s="47"/>
      <c r="GL171" s="47"/>
      <c r="GM171" s="47"/>
      <c r="GN171" s="47"/>
      <c r="GO171" s="47"/>
      <c r="GP171" s="47"/>
      <c r="GQ171" s="47"/>
      <c r="GR171" s="47"/>
      <c r="GS171" s="47"/>
      <c r="GT171" s="47"/>
      <c r="GU171" s="47"/>
      <c r="GV171" s="47"/>
      <c r="GW171" s="47"/>
      <c r="GX171" s="47"/>
      <c r="GY171" s="47"/>
      <c r="GZ171" s="47"/>
      <c r="HA171" s="47"/>
      <c r="HB171" s="47"/>
      <c r="HC171" s="47"/>
      <c r="HD171" s="47"/>
      <c r="HE171" s="47"/>
      <c r="HF171" s="47"/>
      <c r="HG171" s="47"/>
      <c r="HH171" s="47"/>
      <c r="HI171" s="47"/>
      <c r="HJ171" s="47"/>
      <c r="HK171" s="47"/>
      <c r="HL171" s="47"/>
      <c r="HM171" s="47"/>
      <c r="HN171" s="47"/>
      <c r="HO171" s="47"/>
      <c r="HP171" s="47"/>
      <c r="HQ171" s="53">
        <f t="shared" si="2430"/>
        <v>0</v>
      </c>
      <c r="HR171" s="49"/>
      <c r="HS171" s="50"/>
      <c r="HT171" s="51">
        <v>164858.35</v>
      </c>
    </row>
    <row r="172" spans="1:228" ht="17.25" customHeight="1">
      <c r="A172" s="238">
        <v>86</v>
      </c>
      <c r="B172" s="3" t="s">
        <v>349</v>
      </c>
      <c r="C172" s="3" t="s">
        <v>1173</v>
      </c>
      <c r="D172" s="239" t="s">
        <v>1174</v>
      </c>
      <c r="E172" s="240" t="s">
        <v>1175</v>
      </c>
      <c r="F172" s="224">
        <v>77.02</v>
      </c>
      <c r="G172" s="55">
        <v>28.5</v>
      </c>
      <c r="H172" s="241">
        <f>G172*F172*365</f>
        <v>801200.54999999993</v>
      </c>
      <c r="I172" s="242">
        <v>200300.14</v>
      </c>
      <c r="J172" s="225">
        <f>ROUND(G172*F172*365/4,0)</f>
        <v>200300</v>
      </c>
      <c r="K172" s="243">
        <f t="shared" ref="K172:Q172" si="2555">J172</f>
        <v>200300</v>
      </c>
      <c r="L172" s="243">
        <f t="shared" si="2555"/>
        <v>200300</v>
      </c>
      <c r="M172" s="243">
        <f t="shared" si="2555"/>
        <v>200300</v>
      </c>
      <c r="N172" s="243">
        <f t="shared" si="2555"/>
        <v>200300</v>
      </c>
      <c r="O172" s="243">
        <f t="shared" si="2555"/>
        <v>200300</v>
      </c>
      <c r="P172" s="244">
        <f t="shared" si="2555"/>
        <v>200300</v>
      </c>
      <c r="Q172" s="55">
        <f t="shared" si="2555"/>
        <v>200300</v>
      </c>
      <c r="R172" s="44">
        <f>ROUND(Q172*(1+取值表!$D$10)*取值表!$H$10,0)</f>
        <v>201528</v>
      </c>
      <c r="S172" s="56">
        <f>R172</f>
        <v>201528</v>
      </c>
      <c r="T172" s="56">
        <f>S172</f>
        <v>201528</v>
      </c>
      <c r="U172" s="56">
        <f>T172</f>
        <v>201528</v>
      </c>
      <c r="V172" s="44">
        <f>ROUND(U172*(1+取值表!$D$10)*取值表!$H$10,0)</f>
        <v>202763</v>
      </c>
      <c r="W172" s="56">
        <f t="shared" ref="W172:Y172" si="2556">V172</f>
        <v>202763</v>
      </c>
      <c r="X172" s="56">
        <f t="shared" si="2556"/>
        <v>202763</v>
      </c>
      <c r="Y172" s="56">
        <f t="shared" si="2556"/>
        <v>202763</v>
      </c>
      <c r="Z172" s="44">
        <f>ROUND(Y172*(1+取值表!$D$10)*取值表!$H$10,0)</f>
        <v>204006</v>
      </c>
      <c r="AA172" s="56">
        <f t="shared" ref="AA172:AC172" si="2557">Z172</f>
        <v>204006</v>
      </c>
      <c r="AB172" s="56">
        <f t="shared" si="2557"/>
        <v>204006</v>
      </c>
      <c r="AC172" s="56">
        <f t="shared" si="2557"/>
        <v>204006</v>
      </c>
      <c r="AD172" s="44">
        <f>ROUND(AC172*(1+取值表!$D$10)*取值表!$H$10,0)</f>
        <v>205256</v>
      </c>
      <c r="AE172" s="56">
        <f t="shared" ref="AE172:AG172" si="2558">AD172</f>
        <v>205256</v>
      </c>
      <c r="AF172" s="56">
        <f t="shared" si="2558"/>
        <v>205256</v>
      </c>
      <c r="AG172" s="56">
        <f t="shared" si="2558"/>
        <v>205256</v>
      </c>
      <c r="AH172" s="44">
        <f>ROUND(AG172*(1+取值表!$D$10)*取值表!$H$10,0)</f>
        <v>206514</v>
      </c>
      <c r="AI172" s="56">
        <f t="shared" ref="AI172:AK172" si="2559">AH172</f>
        <v>206514</v>
      </c>
      <c r="AJ172" s="56">
        <f t="shared" si="2559"/>
        <v>206514</v>
      </c>
      <c r="AK172" s="56">
        <f t="shared" si="2559"/>
        <v>206514</v>
      </c>
      <c r="AL172" s="44">
        <f>ROUND(AK172*(1+取值表!$D$10)*取值表!$H$10,0)</f>
        <v>207780</v>
      </c>
      <c r="AM172" s="56">
        <f t="shared" ref="AM172:AO172" si="2560">AL172</f>
        <v>207780</v>
      </c>
      <c r="AN172" s="56">
        <f t="shared" si="2560"/>
        <v>207780</v>
      </c>
      <c r="AO172" s="56">
        <f t="shared" si="2560"/>
        <v>207780</v>
      </c>
      <c r="AP172" s="44">
        <f>ROUND(AO172*(1+取值表!$D$10)*取值表!$H$10,0)</f>
        <v>209054</v>
      </c>
      <c r="AQ172" s="56">
        <f t="shared" ref="AQ172:AS172" si="2561">AP172</f>
        <v>209054</v>
      </c>
      <c r="AR172" s="56">
        <f t="shared" si="2561"/>
        <v>209054</v>
      </c>
      <c r="AS172" s="56">
        <f t="shared" si="2561"/>
        <v>209054</v>
      </c>
      <c r="AT172" s="44">
        <f>ROUND(AS172*(1+取值表!$D$10)*取值表!$H$10,0)</f>
        <v>210335</v>
      </c>
      <c r="AU172" s="56">
        <f t="shared" ref="AU172:AW172" si="2562">AT172</f>
        <v>210335</v>
      </c>
      <c r="AV172" s="56">
        <f t="shared" si="2562"/>
        <v>210335</v>
      </c>
      <c r="AW172" s="56">
        <f t="shared" si="2562"/>
        <v>210335</v>
      </c>
      <c r="AX172" s="44">
        <f>ROUND(AW172*(1+取值表!$D$10)*取值表!$H$10,0)</f>
        <v>211624</v>
      </c>
      <c r="AY172" s="56">
        <f t="shared" ref="AY172:BA172" si="2563">AX172</f>
        <v>211624</v>
      </c>
      <c r="AZ172" s="56">
        <f t="shared" si="2563"/>
        <v>211624</v>
      </c>
      <c r="BA172" s="56">
        <f t="shared" si="2563"/>
        <v>211624</v>
      </c>
      <c r="BB172" s="44">
        <f>ROUND(BA172*(1+取值表!$D$10)*取值表!$H$10,0)</f>
        <v>212921</v>
      </c>
      <c r="BC172" s="56">
        <f t="shared" ref="BC172:BE172" si="2564">BB172</f>
        <v>212921</v>
      </c>
      <c r="BD172" s="56">
        <f t="shared" si="2564"/>
        <v>212921</v>
      </c>
      <c r="BE172" s="56">
        <f t="shared" si="2564"/>
        <v>212921</v>
      </c>
      <c r="BF172" s="44">
        <f>ROUND(BE172*(1+取值表!$D$10)*取值表!$H$10,0)</f>
        <v>214226</v>
      </c>
      <c r="BG172" s="56">
        <f t="shared" ref="BG172:BI172" si="2565">BF172</f>
        <v>214226</v>
      </c>
      <c r="BH172" s="56">
        <f t="shared" si="2565"/>
        <v>214226</v>
      </c>
      <c r="BI172" s="56">
        <f t="shared" si="2565"/>
        <v>214226</v>
      </c>
      <c r="BJ172" s="44">
        <f>ROUND(BI172*(1+取值表!$D$10)*取值表!$H$10,0)</f>
        <v>215539</v>
      </c>
      <c r="BK172" s="56">
        <f t="shared" ref="BK172:BM172" si="2566">BJ172</f>
        <v>215539</v>
      </c>
      <c r="BL172" s="56">
        <f t="shared" si="2566"/>
        <v>215539</v>
      </c>
      <c r="BM172" s="56">
        <f t="shared" si="2566"/>
        <v>215539</v>
      </c>
      <c r="BN172" s="44">
        <f>ROUND(BM172*(1+取值表!$D$10)*取值表!$H$10,0)</f>
        <v>216860</v>
      </c>
      <c r="BO172" s="56">
        <f t="shared" ref="BO172:BQ172" si="2567">BN172</f>
        <v>216860</v>
      </c>
      <c r="BP172" s="56">
        <f t="shared" si="2567"/>
        <v>216860</v>
      </c>
      <c r="BQ172" s="56">
        <f t="shared" si="2567"/>
        <v>216860</v>
      </c>
      <c r="BR172" s="44">
        <f>ROUND(BQ172*(1+取值表!$D$10)*取值表!$H$10,0)</f>
        <v>218189</v>
      </c>
      <c r="BS172" s="56">
        <f t="shared" ref="BS172:BU172" si="2568">BR172</f>
        <v>218189</v>
      </c>
      <c r="BT172" s="56">
        <f t="shared" si="2568"/>
        <v>218189</v>
      </c>
      <c r="BU172" s="56">
        <f t="shared" si="2568"/>
        <v>218189</v>
      </c>
      <c r="BV172" s="44">
        <f>ROUND(BU172*(1+取值表!$D$10)*取值表!$H$10,0)</f>
        <v>219526</v>
      </c>
      <c r="BW172" s="56">
        <f t="shared" ref="BW172:BY172" si="2569">BV172</f>
        <v>219526</v>
      </c>
      <c r="BX172" s="56">
        <f t="shared" si="2569"/>
        <v>219526</v>
      </c>
      <c r="BY172" s="56">
        <f t="shared" si="2569"/>
        <v>219526</v>
      </c>
      <c r="BZ172" s="44">
        <f>ROUND(BY172*(1+取值表!$D$10)*取值表!$H$10,0)</f>
        <v>220872</v>
      </c>
      <c r="CA172" s="56">
        <f t="shared" ref="CA172:CC172" si="2570">BZ172</f>
        <v>220872</v>
      </c>
      <c r="CB172" s="56">
        <f t="shared" si="2570"/>
        <v>220872</v>
      </c>
      <c r="CC172" s="56">
        <f t="shared" si="2570"/>
        <v>220872</v>
      </c>
      <c r="CD172" s="44">
        <f>ROUND(CC172*(1+取值表!$D$10)*取值表!$H$10,0)</f>
        <v>222226</v>
      </c>
      <c r="CE172" s="56">
        <f t="shared" ref="CE172:CG172" si="2571">CD172</f>
        <v>222226</v>
      </c>
      <c r="CF172" s="56">
        <f t="shared" si="2571"/>
        <v>222226</v>
      </c>
      <c r="CG172" s="56">
        <f t="shared" si="2571"/>
        <v>222226</v>
      </c>
      <c r="CH172" s="44">
        <f>ROUND(CG172*(1+取值表!$D$10)*取值表!$H$10,0)</f>
        <v>223588</v>
      </c>
      <c r="CI172" s="56">
        <f t="shared" ref="CI172:CK172" si="2572">CH172</f>
        <v>223588</v>
      </c>
      <c r="CJ172" s="56">
        <f t="shared" si="2572"/>
        <v>223588</v>
      </c>
      <c r="CK172" s="56">
        <f t="shared" si="2572"/>
        <v>223588</v>
      </c>
      <c r="CL172" s="44">
        <f>ROUND(CK172*(1+取值表!$D$10)*取值表!$H$10,0)</f>
        <v>224958</v>
      </c>
      <c r="CM172" s="56">
        <f t="shared" ref="CM172:CO172" si="2573">CL172</f>
        <v>224958</v>
      </c>
      <c r="CN172" s="56">
        <f t="shared" si="2573"/>
        <v>224958</v>
      </c>
      <c r="CO172" s="56">
        <f t="shared" si="2573"/>
        <v>224958</v>
      </c>
      <c r="CP172" s="44">
        <f>ROUND(CO172*(1+取值表!$D$10)*取值表!$H$10,0)</f>
        <v>226337</v>
      </c>
      <c r="CQ172" s="56">
        <f t="shared" ref="CQ172:CQ173" si="2574">CP172</f>
        <v>226337</v>
      </c>
      <c r="CR172" s="56">
        <f t="shared" ref="CR172:CR173" si="2575">CQ172</f>
        <v>226337</v>
      </c>
      <c r="CS172" s="56">
        <f t="shared" ref="CS172:CS173" si="2576">CR172</f>
        <v>226337</v>
      </c>
      <c r="CT172" s="44">
        <f>ROUND(CS172*(1+取值表!$D$10)*取值表!$H$10,0)</f>
        <v>227724</v>
      </c>
      <c r="CU172" s="56">
        <f t="shared" ref="CU172:CU173" si="2577">CT172</f>
        <v>227724</v>
      </c>
      <c r="CV172" s="56">
        <f t="shared" ref="CV172:CV173" si="2578">CU172</f>
        <v>227724</v>
      </c>
      <c r="CW172" s="56">
        <f t="shared" ref="CW172:CW173" si="2579">CV172</f>
        <v>227724</v>
      </c>
      <c r="CX172" s="44">
        <f>ROUND(CW172*(1+取值表!$D$10)*取值表!$H$10,0)</f>
        <v>229120</v>
      </c>
      <c r="CY172" s="56">
        <f t="shared" ref="CY172:CY173" si="2580">CX172</f>
        <v>229120</v>
      </c>
      <c r="CZ172" s="56">
        <f t="shared" ref="CZ172:CZ173" si="2581">CY172</f>
        <v>229120</v>
      </c>
      <c r="DA172" s="56">
        <f t="shared" ref="DA172:DA173" si="2582">CZ172</f>
        <v>229120</v>
      </c>
      <c r="DB172" s="44">
        <f>ROUND(DA172*(1+取值表!$D$10)*取值表!$H$10,0)</f>
        <v>230524</v>
      </c>
      <c r="DC172" s="56">
        <f t="shared" ref="DC172:DC173" si="2583">DB172</f>
        <v>230524</v>
      </c>
      <c r="DD172" s="56">
        <f t="shared" ref="DD172:DD173" si="2584">DC172</f>
        <v>230524</v>
      </c>
      <c r="DE172" s="56">
        <f t="shared" ref="DE172:DE173" si="2585">DD172</f>
        <v>230524</v>
      </c>
      <c r="DF172" s="45">
        <f>SUM(J172:DE172)</f>
        <v>21448280</v>
      </c>
      <c r="DG172" s="40"/>
    </row>
    <row r="173" spans="1:228" s="40" customFormat="1" ht="12" customHeight="1">
      <c r="A173" s="516">
        <v>87</v>
      </c>
      <c r="B173" s="534" t="s">
        <v>181</v>
      </c>
      <c r="C173" s="530" t="s">
        <v>182</v>
      </c>
      <c r="D173" s="532" t="s">
        <v>485</v>
      </c>
      <c r="E173" s="514" t="s">
        <v>490</v>
      </c>
      <c r="F173" s="524">
        <v>73.38</v>
      </c>
      <c r="G173" s="524">
        <v>22</v>
      </c>
      <c r="H173" s="526">
        <f>F173*G173*365</f>
        <v>589241.39999999991</v>
      </c>
      <c r="I173" s="41">
        <v>147310.35</v>
      </c>
      <c r="J173" s="43">
        <f>ROUND(F173*G173*365/4,0)</f>
        <v>147310</v>
      </c>
      <c r="K173" s="44">
        <f>J173</f>
        <v>147310</v>
      </c>
      <c r="L173" s="44">
        <f>K173</f>
        <v>147310</v>
      </c>
      <c r="M173" s="44">
        <f>L173</f>
        <v>147310</v>
      </c>
      <c r="N173" s="44">
        <f>ROUND(M173*(1+取值表!$D$12)*取值表!$H$12,0)</f>
        <v>160963</v>
      </c>
      <c r="O173" s="44">
        <f>N173</f>
        <v>160963</v>
      </c>
      <c r="P173" s="44">
        <f>O173</f>
        <v>160963</v>
      </c>
      <c r="Q173" s="44">
        <f>P173</f>
        <v>160963</v>
      </c>
      <c r="R173" s="44">
        <f>ROUND(Q173*(1+取值表!$D$12)*取值表!$H$12,0)</f>
        <v>175881</v>
      </c>
      <c r="S173" s="44">
        <f t="shared" ref="S173:U173" si="2586">R173</f>
        <v>175881</v>
      </c>
      <c r="T173" s="44">
        <f t="shared" si="2586"/>
        <v>175881</v>
      </c>
      <c r="U173" s="44">
        <f t="shared" si="2586"/>
        <v>175881</v>
      </c>
      <c r="V173" s="44">
        <f>ROUND(U173*(1+取值表!$D$12)*取值表!$H$12,0)</f>
        <v>192182</v>
      </c>
      <c r="W173" s="44">
        <f t="shared" ref="W173:Y173" si="2587">V173</f>
        <v>192182</v>
      </c>
      <c r="X173" s="44">
        <f t="shared" si="2587"/>
        <v>192182</v>
      </c>
      <c r="Y173" s="44">
        <f t="shared" si="2587"/>
        <v>192182</v>
      </c>
      <c r="Z173" s="44">
        <f>ROUND(Y173*(1+取值表!$D$12)*取值表!$H$12,0)</f>
        <v>209994</v>
      </c>
      <c r="AA173" s="44">
        <f t="shared" ref="AA173:AC173" si="2588">Z173</f>
        <v>209994</v>
      </c>
      <c r="AB173" s="44">
        <f t="shared" si="2588"/>
        <v>209994</v>
      </c>
      <c r="AC173" s="44">
        <f t="shared" si="2588"/>
        <v>209994</v>
      </c>
      <c r="AD173" s="44">
        <f>ROUND(AC173*(1+取值表!$D$12)*取值表!$H$12,0)</f>
        <v>229457</v>
      </c>
      <c r="AE173" s="44">
        <f t="shared" ref="AE173:AG173" si="2589">AD173</f>
        <v>229457</v>
      </c>
      <c r="AF173" s="44">
        <f t="shared" si="2589"/>
        <v>229457</v>
      </c>
      <c r="AG173" s="44">
        <f t="shared" si="2589"/>
        <v>229457</v>
      </c>
      <c r="AH173" s="44">
        <f>ROUND(AG173*(1+取值表!$D$12)*取值表!$H$12,0)</f>
        <v>250724</v>
      </c>
      <c r="AI173" s="44">
        <f t="shared" ref="AI173:AK173" si="2590">AH173</f>
        <v>250724</v>
      </c>
      <c r="AJ173" s="44">
        <f t="shared" si="2590"/>
        <v>250724</v>
      </c>
      <c r="AK173" s="44">
        <f t="shared" si="2590"/>
        <v>250724</v>
      </c>
      <c r="AL173" s="44">
        <f>ROUND(AK173*(1+取值表!$D$12)*取值表!$H$12,0)</f>
        <v>273962</v>
      </c>
      <c r="AM173" s="44">
        <f t="shared" ref="AM173:AO173" si="2591">AL173</f>
        <v>273962</v>
      </c>
      <c r="AN173" s="44">
        <f t="shared" si="2591"/>
        <v>273962</v>
      </c>
      <c r="AO173" s="44">
        <f t="shared" si="2591"/>
        <v>273962</v>
      </c>
      <c r="AP173" s="44">
        <f>ROUND(AO173*(1+取值表!$D$12)*取值表!$H$12,0)</f>
        <v>299354</v>
      </c>
      <c r="AQ173" s="44">
        <f t="shared" ref="AQ173:AS173" si="2592">AP173</f>
        <v>299354</v>
      </c>
      <c r="AR173" s="44">
        <f t="shared" si="2592"/>
        <v>299354</v>
      </c>
      <c r="AS173" s="44">
        <f t="shared" si="2592"/>
        <v>299354</v>
      </c>
      <c r="AT173" s="44">
        <f>ROUND(AS173*(1+取值表!$D$12)*取值表!$H$12,0)</f>
        <v>327099</v>
      </c>
      <c r="AU173" s="44">
        <f t="shared" ref="AU173:AW173" si="2593">AT173</f>
        <v>327099</v>
      </c>
      <c r="AV173" s="44">
        <f t="shared" si="2593"/>
        <v>327099</v>
      </c>
      <c r="AW173" s="44">
        <f t="shared" si="2593"/>
        <v>327099</v>
      </c>
      <c r="AX173" s="44">
        <f>ROUND(AW173*(1+取值表!$D$12)*取值表!$H$12,0)</f>
        <v>357415</v>
      </c>
      <c r="AY173" s="44">
        <f t="shared" ref="AY173:BA173" si="2594">AX173</f>
        <v>357415</v>
      </c>
      <c r="AZ173" s="44">
        <f t="shared" si="2594"/>
        <v>357415</v>
      </c>
      <c r="BA173" s="44">
        <f t="shared" si="2594"/>
        <v>357415</v>
      </c>
      <c r="BB173" s="44">
        <f>ROUND(BA173*(1+取值表!$D$12)*取值表!$H$12,0)</f>
        <v>390541</v>
      </c>
      <c r="BC173" s="44">
        <f t="shared" ref="BC173:BE173" si="2595">BB173</f>
        <v>390541</v>
      </c>
      <c r="BD173" s="44">
        <f t="shared" si="2595"/>
        <v>390541</v>
      </c>
      <c r="BE173" s="44">
        <f t="shared" si="2595"/>
        <v>390541</v>
      </c>
      <c r="BF173" s="44">
        <f>ROUND(BE173*(1+取值表!$D$12)*取值表!$H$12,0)</f>
        <v>426737</v>
      </c>
      <c r="BG173" s="44">
        <f t="shared" ref="BG173:BI173" si="2596">BF173</f>
        <v>426737</v>
      </c>
      <c r="BH173" s="44">
        <f t="shared" si="2596"/>
        <v>426737</v>
      </c>
      <c r="BI173" s="44">
        <f t="shared" si="2596"/>
        <v>426737</v>
      </c>
      <c r="BJ173" s="44">
        <f>ROUND(BI173*(1+取值表!$D$12)*取值表!$H$12,0)</f>
        <v>466288</v>
      </c>
      <c r="BK173" s="44">
        <f t="shared" ref="BK173:BM173" si="2597">BJ173</f>
        <v>466288</v>
      </c>
      <c r="BL173" s="44">
        <f t="shared" si="2597"/>
        <v>466288</v>
      </c>
      <c r="BM173" s="44">
        <f t="shared" si="2597"/>
        <v>466288</v>
      </c>
      <c r="BN173" s="44">
        <f>ROUND(BM173*(1+取值表!$D$12)*取值表!$H$12,0)</f>
        <v>509505</v>
      </c>
      <c r="BO173" s="44">
        <f t="shared" ref="BO173:BQ173" si="2598">BN173</f>
        <v>509505</v>
      </c>
      <c r="BP173" s="44">
        <f t="shared" si="2598"/>
        <v>509505</v>
      </c>
      <c r="BQ173" s="44">
        <f t="shared" si="2598"/>
        <v>509505</v>
      </c>
      <c r="BR173" s="44">
        <f>ROUND(BQ173*(1+取值表!$D$12)*取值表!$H$12,0)</f>
        <v>556727</v>
      </c>
      <c r="BS173" s="44">
        <f t="shared" ref="BS173:BU173" si="2599">BR173</f>
        <v>556727</v>
      </c>
      <c r="BT173" s="44">
        <f t="shared" si="2599"/>
        <v>556727</v>
      </c>
      <c r="BU173" s="44">
        <f t="shared" si="2599"/>
        <v>556727</v>
      </c>
      <c r="BV173" s="44">
        <f>ROUND(BU173*(1+取值表!$D$12)*取值表!$H$12,0)</f>
        <v>608326</v>
      </c>
      <c r="BW173" s="44">
        <f t="shared" ref="BW173:BY173" si="2600">BV173</f>
        <v>608326</v>
      </c>
      <c r="BX173" s="44">
        <f t="shared" si="2600"/>
        <v>608326</v>
      </c>
      <c r="BY173" s="44">
        <f t="shared" si="2600"/>
        <v>608326</v>
      </c>
      <c r="BZ173" s="44">
        <f>ROUND(BY173*(1+取值表!$D$12)*取值表!$H$12,0)</f>
        <v>664707</v>
      </c>
      <c r="CA173" s="44">
        <f t="shared" ref="CA173:CC173" si="2601">BZ173</f>
        <v>664707</v>
      </c>
      <c r="CB173" s="44">
        <f t="shared" si="2601"/>
        <v>664707</v>
      </c>
      <c r="CC173" s="44">
        <f t="shared" si="2601"/>
        <v>664707</v>
      </c>
      <c r="CD173" s="44">
        <f>ROUND(CC173*(1+取值表!$D$12)*取值表!$H$12,0)</f>
        <v>726314</v>
      </c>
      <c r="CE173" s="44">
        <f t="shared" ref="CE173:CG173" si="2602">CD173</f>
        <v>726314</v>
      </c>
      <c r="CF173" s="44">
        <f t="shared" si="2602"/>
        <v>726314</v>
      </c>
      <c r="CG173" s="44">
        <f t="shared" si="2602"/>
        <v>726314</v>
      </c>
      <c r="CH173" s="44">
        <f>ROUND(CG173*(1+取值表!$D$12)*取值表!$H$12,0)</f>
        <v>793631</v>
      </c>
      <c r="CI173" s="44">
        <f t="shared" ref="CI173:CK173" si="2603">CH173</f>
        <v>793631</v>
      </c>
      <c r="CJ173" s="44">
        <f t="shared" si="2603"/>
        <v>793631</v>
      </c>
      <c r="CK173" s="44">
        <f t="shared" si="2603"/>
        <v>793631</v>
      </c>
      <c r="CL173" s="44">
        <f>ROUND(CK173*(1+取值表!$D$12)*取值表!$H$12,0)</f>
        <v>867187</v>
      </c>
      <c r="CM173" s="44">
        <f t="shared" ref="CM173:CO173" si="2604">CL173</f>
        <v>867187</v>
      </c>
      <c r="CN173" s="44">
        <f t="shared" si="2604"/>
        <v>867187</v>
      </c>
      <c r="CO173" s="44">
        <f t="shared" si="2604"/>
        <v>867187</v>
      </c>
      <c r="CP173" s="44">
        <f>ROUND(CO173*(1+取值表!$D$12)*取值表!$H$12,0)</f>
        <v>947560</v>
      </c>
      <c r="CQ173" s="44">
        <f t="shared" si="2574"/>
        <v>947560</v>
      </c>
      <c r="CR173" s="44">
        <f t="shared" si="2575"/>
        <v>947560</v>
      </c>
      <c r="CS173" s="44">
        <f t="shared" si="2576"/>
        <v>947560</v>
      </c>
      <c r="CT173" s="44">
        <f>ROUND(CS173*(1+取值表!$D$12)*取值表!$H$12,0)</f>
        <v>1035382</v>
      </c>
      <c r="CU173" s="44">
        <f t="shared" si="2577"/>
        <v>1035382</v>
      </c>
      <c r="CV173" s="44">
        <f t="shared" si="2578"/>
        <v>1035382</v>
      </c>
      <c r="CW173" s="44">
        <f t="shared" si="2579"/>
        <v>1035382</v>
      </c>
      <c r="CX173" s="44">
        <f>ROUND(CW173*(1+取值表!$D$12)*取值表!$H$12,0)</f>
        <v>1131344</v>
      </c>
      <c r="CY173" s="44">
        <f t="shared" si="2580"/>
        <v>1131344</v>
      </c>
      <c r="CZ173" s="44">
        <f t="shared" si="2581"/>
        <v>1131344</v>
      </c>
      <c r="DA173" s="44">
        <f t="shared" si="2582"/>
        <v>1131344</v>
      </c>
      <c r="DB173" s="44">
        <f>ROUND(DA173*(1+取值表!$D$12)*取值表!$H$12,0)</f>
        <v>1236200</v>
      </c>
      <c r="DC173" s="44">
        <f t="shared" si="2583"/>
        <v>1236200</v>
      </c>
      <c r="DD173" s="44">
        <f t="shared" si="2584"/>
        <v>1236200</v>
      </c>
      <c r="DE173" s="44">
        <f t="shared" si="2585"/>
        <v>1236200</v>
      </c>
      <c r="DF173" s="45">
        <f t="shared" si="1976"/>
        <v>51939160</v>
      </c>
    </row>
    <row r="174" spans="1:228" s="40" customFormat="1" ht="12">
      <c r="A174" s="517"/>
      <c r="B174" s="535"/>
      <c r="C174" s="531"/>
      <c r="D174" s="533"/>
      <c r="E174" s="515"/>
      <c r="F174" s="525"/>
      <c r="G174" s="525"/>
      <c r="H174" s="527"/>
      <c r="I174" s="41"/>
      <c r="J174" s="42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5">
        <f t="shared" si="1976"/>
        <v>0</v>
      </c>
    </row>
    <row r="175" spans="1:228" s="234" customFormat="1" ht="12">
      <c r="A175" s="516">
        <v>88</v>
      </c>
      <c r="B175" s="534" t="s">
        <v>183</v>
      </c>
      <c r="C175" s="530" t="s">
        <v>738</v>
      </c>
      <c r="D175" s="532" t="s">
        <v>486</v>
      </c>
      <c r="E175" s="514" t="s">
        <v>490</v>
      </c>
      <c r="F175" s="524">
        <v>190.71</v>
      </c>
      <c r="G175" s="524">
        <f>AVERAGE(16)</f>
        <v>16</v>
      </c>
      <c r="H175" s="526">
        <f>F175*G175*365</f>
        <v>1113746.4000000001</v>
      </c>
      <c r="I175" s="41">
        <v>278436.59999999998</v>
      </c>
      <c r="J175" s="42">
        <f>ROUND(F175*G175*365/4,0)</f>
        <v>278437</v>
      </c>
      <c r="K175" s="44">
        <f>J175</f>
        <v>278437</v>
      </c>
      <c r="L175" s="43">
        <f>K175</f>
        <v>278437</v>
      </c>
      <c r="M175" s="44">
        <f>L175</f>
        <v>278437</v>
      </c>
      <c r="N175" s="44">
        <f>ROUND(M175*(1+取值表!$D$12)*取值表!$H$12,0)</f>
        <v>304243</v>
      </c>
      <c r="O175" s="44">
        <f>N175</f>
        <v>304243</v>
      </c>
      <c r="P175" s="44">
        <f>O175</f>
        <v>304243</v>
      </c>
      <c r="Q175" s="44">
        <f>P175</f>
        <v>304243</v>
      </c>
      <c r="R175" s="44">
        <f>ROUND(Q175*(1+取值表!$D$12)*取值表!$H$12,0)</f>
        <v>332441</v>
      </c>
      <c r="S175" s="44">
        <f t="shared" ref="S175:U175" si="2605">R175</f>
        <v>332441</v>
      </c>
      <c r="T175" s="44">
        <f t="shared" si="2605"/>
        <v>332441</v>
      </c>
      <c r="U175" s="44">
        <f t="shared" si="2605"/>
        <v>332441</v>
      </c>
      <c r="V175" s="44">
        <f>ROUND(U175*(1+取值表!$D$12)*取值表!$H$12,0)</f>
        <v>363253</v>
      </c>
      <c r="W175" s="44">
        <f t="shared" ref="W175:Y175" si="2606">V175</f>
        <v>363253</v>
      </c>
      <c r="X175" s="44">
        <f t="shared" si="2606"/>
        <v>363253</v>
      </c>
      <c r="Y175" s="44">
        <f t="shared" si="2606"/>
        <v>363253</v>
      </c>
      <c r="Z175" s="44">
        <f>ROUND(Y175*(1+取值表!$D$12)*取值表!$H$12,0)</f>
        <v>396920</v>
      </c>
      <c r="AA175" s="44">
        <f t="shared" ref="AA175:AC175" si="2607">Z175</f>
        <v>396920</v>
      </c>
      <c r="AB175" s="44">
        <f t="shared" si="2607"/>
        <v>396920</v>
      </c>
      <c r="AC175" s="44">
        <f t="shared" si="2607"/>
        <v>396920</v>
      </c>
      <c r="AD175" s="44">
        <f>ROUND(AC175*(1+取值表!$D$12)*取值表!$H$12,0)</f>
        <v>433708</v>
      </c>
      <c r="AE175" s="44">
        <f t="shared" ref="AE175:AG175" si="2608">AD175</f>
        <v>433708</v>
      </c>
      <c r="AF175" s="44">
        <f t="shared" si="2608"/>
        <v>433708</v>
      </c>
      <c r="AG175" s="44">
        <f t="shared" si="2608"/>
        <v>433708</v>
      </c>
      <c r="AH175" s="44">
        <f>ROUND(AG175*(1+取值表!$D$12)*取值表!$H$12,0)</f>
        <v>473905</v>
      </c>
      <c r="AI175" s="44">
        <f t="shared" ref="AI175:AK175" si="2609">AH175</f>
        <v>473905</v>
      </c>
      <c r="AJ175" s="44">
        <f t="shared" si="2609"/>
        <v>473905</v>
      </c>
      <c r="AK175" s="44">
        <f t="shared" si="2609"/>
        <v>473905</v>
      </c>
      <c r="AL175" s="44">
        <f>ROUND(AK175*(1+取值表!$D$12)*取值表!$H$12,0)</f>
        <v>517828</v>
      </c>
      <c r="AM175" s="44">
        <f t="shared" ref="AM175:AO175" si="2610">AL175</f>
        <v>517828</v>
      </c>
      <c r="AN175" s="44">
        <f t="shared" si="2610"/>
        <v>517828</v>
      </c>
      <c r="AO175" s="44">
        <f t="shared" si="2610"/>
        <v>517828</v>
      </c>
      <c r="AP175" s="44">
        <f>ROUND(AO175*(1+取值表!$D$12)*取值表!$H$12,0)</f>
        <v>565822</v>
      </c>
      <c r="AQ175" s="44">
        <f t="shared" ref="AQ175:AS175" si="2611">AP175</f>
        <v>565822</v>
      </c>
      <c r="AR175" s="44">
        <f t="shared" si="2611"/>
        <v>565822</v>
      </c>
      <c r="AS175" s="44">
        <f t="shared" si="2611"/>
        <v>565822</v>
      </c>
      <c r="AT175" s="44">
        <f>ROUND(AS175*(1+取值表!$D$12)*取值表!$H$12,0)</f>
        <v>618264</v>
      </c>
      <c r="AU175" s="44">
        <f t="shared" ref="AU175:AW175" si="2612">AT175</f>
        <v>618264</v>
      </c>
      <c r="AV175" s="44">
        <f t="shared" si="2612"/>
        <v>618264</v>
      </c>
      <c r="AW175" s="44">
        <f t="shared" si="2612"/>
        <v>618264</v>
      </c>
      <c r="AX175" s="44">
        <f>ROUND(AW175*(1+取值表!$D$12)*取值表!$H$12,0)</f>
        <v>675566</v>
      </c>
      <c r="AY175" s="44">
        <f t="shared" ref="AY175:BA175" si="2613">AX175</f>
        <v>675566</v>
      </c>
      <c r="AZ175" s="44">
        <f t="shared" si="2613"/>
        <v>675566</v>
      </c>
      <c r="BA175" s="44">
        <f t="shared" si="2613"/>
        <v>675566</v>
      </c>
      <c r="BB175" s="44">
        <f>ROUND(BA175*(1+取值表!$D$12)*取值表!$H$12,0)</f>
        <v>738179</v>
      </c>
      <c r="BC175" s="44">
        <f t="shared" ref="BC175:BE175" si="2614">BB175</f>
        <v>738179</v>
      </c>
      <c r="BD175" s="44">
        <f t="shared" si="2614"/>
        <v>738179</v>
      </c>
      <c r="BE175" s="44">
        <f t="shared" si="2614"/>
        <v>738179</v>
      </c>
      <c r="BF175" s="44">
        <f>ROUND(BE175*(1+取值表!$D$12)*取值表!$H$12,0)</f>
        <v>806595</v>
      </c>
      <c r="BG175" s="44">
        <f t="shared" ref="BG175:BI175" si="2615">BF175</f>
        <v>806595</v>
      </c>
      <c r="BH175" s="44">
        <f t="shared" si="2615"/>
        <v>806595</v>
      </c>
      <c r="BI175" s="44">
        <f t="shared" si="2615"/>
        <v>806595</v>
      </c>
      <c r="BJ175" s="44">
        <f>ROUND(BI175*(1+取值表!$D$12)*取值表!$H$12,0)</f>
        <v>881352</v>
      </c>
      <c r="BK175" s="44">
        <f t="shared" ref="BK175:BM175" si="2616">BJ175</f>
        <v>881352</v>
      </c>
      <c r="BL175" s="44">
        <f t="shared" si="2616"/>
        <v>881352</v>
      </c>
      <c r="BM175" s="44">
        <f t="shared" si="2616"/>
        <v>881352</v>
      </c>
      <c r="BN175" s="44">
        <f>ROUND(BM175*(1+取值表!$D$12)*取值表!$H$12,0)</f>
        <v>963038</v>
      </c>
      <c r="BO175" s="44">
        <f t="shared" ref="BO175:BQ175" si="2617">BN175</f>
        <v>963038</v>
      </c>
      <c r="BP175" s="44">
        <f t="shared" si="2617"/>
        <v>963038</v>
      </c>
      <c r="BQ175" s="44">
        <f t="shared" si="2617"/>
        <v>963038</v>
      </c>
      <c r="BR175" s="44">
        <f>ROUND(BQ175*(1+取值表!$D$12)*取值表!$H$12,0)</f>
        <v>1052295</v>
      </c>
      <c r="BS175" s="44">
        <f t="shared" ref="BS175:BU175" si="2618">BR175</f>
        <v>1052295</v>
      </c>
      <c r="BT175" s="44">
        <f t="shared" si="2618"/>
        <v>1052295</v>
      </c>
      <c r="BU175" s="44">
        <f t="shared" si="2618"/>
        <v>1052295</v>
      </c>
      <c r="BV175" s="44">
        <f>ROUND(BU175*(1+取值表!$D$12)*取值表!$H$12,0)</f>
        <v>1149825</v>
      </c>
      <c r="BW175" s="44">
        <f t="shared" ref="BW175:BY175" si="2619">BV175</f>
        <v>1149825</v>
      </c>
      <c r="BX175" s="44">
        <f t="shared" si="2619"/>
        <v>1149825</v>
      </c>
      <c r="BY175" s="44">
        <f t="shared" si="2619"/>
        <v>1149825</v>
      </c>
      <c r="BZ175" s="44">
        <f>ROUND(BY175*(1+取值表!$D$12)*取值表!$H$12,0)</f>
        <v>1256394</v>
      </c>
      <c r="CA175" s="44">
        <f t="shared" ref="CA175:CC175" si="2620">BZ175</f>
        <v>1256394</v>
      </c>
      <c r="CB175" s="44">
        <f t="shared" si="2620"/>
        <v>1256394</v>
      </c>
      <c r="CC175" s="44">
        <f t="shared" si="2620"/>
        <v>1256394</v>
      </c>
      <c r="CD175" s="44">
        <f>ROUND(CC175*(1+取值表!$D$12)*取值表!$H$12,0)</f>
        <v>1372840</v>
      </c>
      <c r="CE175" s="44">
        <f t="shared" ref="CE175:CG175" si="2621">CD175</f>
        <v>1372840</v>
      </c>
      <c r="CF175" s="44">
        <f t="shared" si="2621"/>
        <v>1372840</v>
      </c>
      <c r="CG175" s="44">
        <f t="shared" si="2621"/>
        <v>1372840</v>
      </c>
      <c r="CH175" s="44">
        <f>ROUND(CG175*(1+取值表!$D$12)*取值表!$H$12,0)</f>
        <v>1500079</v>
      </c>
      <c r="CI175" s="44">
        <f t="shared" ref="CI175:CK175" si="2622">CH175</f>
        <v>1500079</v>
      </c>
      <c r="CJ175" s="44">
        <f t="shared" si="2622"/>
        <v>1500079</v>
      </c>
      <c r="CK175" s="44">
        <f t="shared" si="2622"/>
        <v>1500079</v>
      </c>
      <c r="CL175" s="44">
        <f>ROUND(CK175*(1+取值表!$D$12)*取值表!$H$12,0)</f>
        <v>1639110</v>
      </c>
      <c r="CM175" s="44">
        <f t="shared" ref="CM175:CO175" si="2623">CL175</f>
        <v>1639110</v>
      </c>
      <c r="CN175" s="44">
        <f t="shared" si="2623"/>
        <v>1639110</v>
      </c>
      <c r="CO175" s="44">
        <f t="shared" si="2623"/>
        <v>1639110</v>
      </c>
      <c r="CP175" s="44">
        <f>ROUND(CO175*(1+取值表!$D$12)*取值表!$H$12,0)</f>
        <v>1791027</v>
      </c>
      <c r="CQ175" s="44">
        <f t="shared" ref="CQ175" si="2624">CP175</f>
        <v>1791027</v>
      </c>
      <c r="CR175" s="44">
        <f t="shared" ref="CR175" si="2625">CQ175</f>
        <v>1791027</v>
      </c>
      <c r="CS175" s="44">
        <f t="shared" ref="CS175" si="2626">CR175</f>
        <v>1791027</v>
      </c>
      <c r="CT175" s="44">
        <f>ROUND(CS175*(1+取值表!$D$12)*取值表!$H$12,0)</f>
        <v>1957024</v>
      </c>
      <c r="CU175" s="44">
        <f t="shared" ref="CU175" si="2627">CT175</f>
        <v>1957024</v>
      </c>
      <c r="CV175" s="44">
        <f t="shared" ref="CV175" si="2628">CU175</f>
        <v>1957024</v>
      </c>
      <c r="CW175" s="44">
        <f t="shared" ref="CW175" si="2629">CV175</f>
        <v>1957024</v>
      </c>
      <c r="CX175" s="44">
        <f>ROUND(CW175*(1+取值表!$D$12)*取值表!$H$12,0)</f>
        <v>2138406</v>
      </c>
      <c r="CY175" s="44">
        <f t="shared" ref="CY175" si="2630">CX175</f>
        <v>2138406</v>
      </c>
      <c r="CZ175" s="44">
        <f t="shared" ref="CZ175" si="2631">CY175</f>
        <v>2138406</v>
      </c>
      <c r="DA175" s="44">
        <f t="shared" ref="DA175" si="2632">CZ175</f>
        <v>2138406</v>
      </c>
      <c r="DB175" s="44">
        <f>ROUND(DA175*(1+取值表!$D$12)*取值表!$H$12,0)</f>
        <v>2336599</v>
      </c>
      <c r="DC175" s="44">
        <f t="shared" ref="DC175" si="2633">DB175</f>
        <v>2336599</v>
      </c>
      <c r="DD175" s="44">
        <f t="shared" ref="DD175" si="2634">DC175</f>
        <v>2336599</v>
      </c>
      <c r="DE175" s="44">
        <f t="shared" ref="DE175" si="2635">DD175</f>
        <v>2336599</v>
      </c>
      <c r="DF175" s="45">
        <f t="shared" si="1976"/>
        <v>98172600</v>
      </c>
      <c r="DG175" s="40"/>
    </row>
    <row r="176" spans="1:228" s="234" customFormat="1" ht="13.5" customHeight="1">
      <c r="A176" s="517"/>
      <c r="B176" s="535"/>
      <c r="C176" s="531"/>
      <c r="D176" s="533"/>
      <c r="E176" s="515"/>
      <c r="F176" s="525"/>
      <c r="G176" s="525"/>
      <c r="H176" s="527"/>
      <c r="I176" s="41"/>
      <c r="J176" s="42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5">
        <f t="shared" si="1976"/>
        <v>0</v>
      </c>
      <c r="DG176" s="40"/>
    </row>
    <row r="177" spans="1:111" s="40" customFormat="1" ht="12">
      <c r="A177" s="516">
        <v>89</v>
      </c>
      <c r="B177" s="534" t="s">
        <v>184</v>
      </c>
      <c r="C177" s="530" t="s">
        <v>185</v>
      </c>
      <c r="D177" s="532" t="s">
        <v>487</v>
      </c>
      <c r="E177" s="514" t="s">
        <v>490</v>
      </c>
      <c r="F177" s="524">
        <v>130.25</v>
      </c>
      <c r="G177" s="524">
        <v>18.5</v>
      </c>
      <c r="H177" s="526">
        <f>F177*G177*365</f>
        <v>879513.125</v>
      </c>
      <c r="I177" s="41">
        <v>219878.28</v>
      </c>
      <c r="J177" s="42">
        <f>ROUND(F177*G177*365/4,0)</f>
        <v>219878</v>
      </c>
      <c r="K177" s="43">
        <f>J177</f>
        <v>219878</v>
      </c>
      <c r="L177" s="44">
        <f>K177</f>
        <v>219878</v>
      </c>
      <c r="M177" s="44">
        <f>L177</f>
        <v>219878</v>
      </c>
      <c r="N177" s="44">
        <f>ROUND(M177*(1+取值表!$D$12)*取值表!$H$12,0)</f>
        <v>240257</v>
      </c>
      <c r="O177" s="44">
        <f>N177</f>
        <v>240257</v>
      </c>
      <c r="P177" s="44">
        <f>O177</f>
        <v>240257</v>
      </c>
      <c r="Q177" s="44">
        <f>P177</f>
        <v>240257</v>
      </c>
      <c r="R177" s="44">
        <f>ROUND(Q177*(1+取值表!$D$12)*取值表!$H$12,0)</f>
        <v>262525</v>
      </c>
      <c r="S177" s="44">
        <f t="shared" ref="S177:U177" si="2636">R177</f>
        <v>262525</v>
      </c>
      <c r="T177" s="44">
        <f t="shared" si="2636"/>
        <v>262525</v>
      </c>
      <c r="U177" s="44">
        <f t="shared" si="2636"/>
        <v>262525</v>
      </c>
      <c r="V177" s="44">
        <f>ROUND(U177*(1+取值表!$D$12)*取值表!$H$12,0)</f>
        <v>286857</v>
      </c>
      <c r="W177" s="44">
        <f t="shared" ref="W177:Y177" si="2637">V177</f>
        <v>286857</v>
      </c>
      <c r="X177" s="44">
        <f t="shared" si="2637"/>
        <v>286857</v>
      </c>
      <c r="Y177" s="44">
        <f t="shared" si="2637"/>
        <v>286857</v>
      </c>
      <c r="Z177" s="44">
        <f>ROUND(Y177*(1+取值表!$D$12)*取值表!$H$12,0)</f>
        <v>313444</v>
      </c>
      <c r="AA177" s="44">
        <f t="shared" ref="AA177:AC177" si="2638">Z177</f>
        <v>313444</v>
      </c>
      <c r="AB177" s="44">
        <f t="shared" si="2638"/>
        <v>313444</v>
      </c>
      <c r="AC177" s="44">
        <f t="shared" si="2638"/>
        <v>313444</v>
      </c>
      <c r="AD177" s="44">
        <f>ROUND(AC177*(1+取值表!$D$12)*取值表!$H$12,0)</f>
        <v>342495</v>
      </c>
      <c r="AE177" s="44">
        <f t="shared" ref="AE177:AG177" si="2639">AD177</f>
        <v>342495</v>
      </c>
      <c r="AF177" s="44">
        <f t="shared" si="2639"/>
        <v>342495</v>
      </c>
      <c r="AG177" s="44">
        <f t="shared" si="2639"/>
        <v>342495</v>
      </c>
      <c r="AH177" s="44">
        <f>ROUND(AG177*(1+取值表!$D$12)*取值表!$H$12,0)</f>
        <v>374238</v>
      </c>
      <c r="AI177" s="44">
        <f t="shared" ref="AI177:AK177" si="2640">AH177</f>
        <v>374238</v>
      </c>
      <c r="AJ177" s="44">
        <f t="shared" si="2640"/>
        <v>374238</v>
      </c>
      <c r="AK177" s="44">
        <f t="shared" si="2640"/>
        <v>374238</v>
      </c>
      <c r="AL177" s="44">
        <f>ROUND(AK177*(1+取值表!$D$12)*取值表!$H$12,0)</f>
        <v>408923</v>
      </c>
      <c r="AM177" s="44">
        <f t="shared" ref="AM177:AO177" si="2641">AL177</f>
        <v>408923</v>
      </c>
      <c r="AN177" s="44">
        <f t="shared" si="2641"/>
        <v>408923</v>
      </c>
      <c r="AO177" s="44">
        <f t="shared" si="2641"/>
        <v>408923</v>
      </c>
      <c r="AP177" s="44">
        <f>ROUND(AO177*(1+取值表!$D$12)*取值表!$H$12,0)</f>
        <v>446823</v>
      </c>
      <c r="AQ177" s="44">
        <f t="shared" ref="AQ177:AS177" si="2642">AP177</f>
        <v>446823</v>
      </c>
      <c r="AR177" s="44">
        <f t="shared" si="2642"/>
        <v>446823</v>
      </c>
      <c r="AS177" s="44">
        <f t="shared" si="2642"/>
        <v>446823</v>
      </c>
      <c r="AT177" s="44">
        <f>ROUND(AS177*(1+取值表!$D$12)*取值表!$H$12,0)</f>
        <v>488236</v>
      </c>
      <c r="AU177" s="44">
        <f t="shared" ref="AU177:AW177" si="2643">AT177</f>
        <v>488236</v>
      </c>
      <c r="AV177" s="44">
        <f t="shared" si="2643"/>
        <v>488236</v>
      </c>
      <c r="AW177" s="44">
        <f t="shared" si="2643"/>
        <v>488236</v>
      </c>
      <c r="AX177" s="44">
        <f>ROUND(AW177*(1+取值表!$D$12)*取值表!$H$12,0)</f>
        <v>533487</v>
      </c>
      <c r="AY177" s="44">
        <f t="shared" ref="AY177:BA177" si="2644">AX177</f>
        <v>533487</v>
      </c>
      <c r="AZ177" s="44">
        <f t="shared" si="2644"/>
        <v>533487</v>
      </c>
      <c r="BA177" s="44">
        <f t="shared" si="2644"/>
        <v>533487</v>
      </c>
      <c r="BB177" s="44">
        <f>ROUND(BA177*(1+取值表!$D$12)*取值表!$H$12,0)</f>
        <v>582932</v>
      </c>
      <c r="BC177" s="44">
        <f t="shared" ref="BC177:BE177" si="2645">BB177</f>
        <v>582932</v>
      </c>
      <c r="BD177" s="44">
        <f t="shared" si="2645"/>
        <v>582932</v>
      </c>
      <c r="BE177" s="44">
        <f t="shared" si="2645"/>
        <v>582932</v>
      </c>
      <c r="BF177" s="44">
        <f>ROUND(BE177*(1+取值表!$D$12)*取值表!$H$12,0)</f>
        <v>636960</v>
      </c>
      <c r="BG177" s="44">
        <f t="shared" ref="BG177:BI177" si="2646">BF177</f>
        <v>636960</v>
      </c>
      <c r="BH177" s="44">
        <f t="shared" si="2646"/>
        <v>636960</v>
      </c>
      <c r="BI177" s="44">
        <f t="shared" si="2646"/>
        <v>636960</v>
      </c>
      <c r="BJ177" s="44">
        <f>ROUND(BI177*(1+取值表!$D$12)*取值表!$H$12,0)</f>
        <v>695995</v>
      </c>
      <c r="BK177" s="44">
        <f t="shared" ref="BK177:BM177" si="2647">BJ177</f>
        <v>695995</v>
      </c>
      <c r="BL177" s="44">
        <f t="shared" si="2647"/>
        <v>695995</v>
      </c>
      <c r="BM177" s="44">
        <f t="shared" si="2647"/>
        <v>695995</v>
      </c>
      <c r="BN177" s="44">
        <f>ROUND(BM177*(1+取值表!$D$12)*取值表!$H$12,0)</f>
        <v>760502</v>
      </c>
      <c r="BO177" s="44">
        <f t="shared" ref="BO177:BQ177" si="2648">BN177</f>
        <v>760502</v>
      </c>
      <c r="BP177" s="44">
        <f t="shared" si="2648"/>
        <v>760502</v>
      </c>
      <c r="BQ177" s="44">
        <f t="shared" si="2648"/>
        <v>760502</v>
      </c>
      <c r="BR177" s="44">
        <f>ROUND(BQ177*(1+取值表!$D$12)*取值表!$H$12,0)</f>
        <v>830987</v>
      </c>
      <c r="BS177" s="44">
        <f t="shared" ref="BS177:BU177" si="2649">BR177</f>
        <v>830987</v>
      </c>
      <c r="BT177" s="44">
        <f t="shared" si="2649"/>
        <v>830987</v>
      </c>
      <c r="BU177" s="44">
        <f t="shared" si="2649"/>
        <v>830987</v>
      </c>
      <c r="BV177" s="44">
        <f>ROUND(BU177*(1+取值表!$D$12)*取值表!$H$12,0)</f>
        <v>908005</v>
      </c>
      <c r="BW177" s="44">
        <f t="shared" ref="BW177:BY177" si="2650">BV177</f>
        <v>908005</v>
      </c>
      <c r="BX177" s="44">
        <f t="shared" si="2650"/>
        <v>908005</v>
      </c>
      <c r="BY177" s="44">
        <f t="shared" si="2650"/>
        <v>908005</v>
      </c>
      <c r="BZ177" s="44">
        <f>ROUND(BY177*(1+取值表!$D$12)*取值表!$H$12,0)</f>
        <v>992161</v>
      </c>
      <c r="CA177" s="44">
        <f t="shared" ref="CA177:CC177" si="2651">BZ177</f>
        <v>992161</v>
      </c>
      <c r="CB177" s="44">
        <f t="shared" si="2651"/>
        <v>992161</v>
      </c>
      <c r="CC177" s="44">
        <f t="shared" si="2651"/>
        <v>992161</v>
      </c>
      <c r="CD177" s="44">
        <f>ROUND(CC177*(1+取值表!$D$12)*取值表!$H$12,0)</f>
        <v>1084117</v>
      </c>
      <c r="CE177" s="44">
        <f t="shared" ref="CE177:CG177" si="2652">CD177</f>
        <v>1084117</v>
      </c>
      <c r="CF177" s="44">
        <f t="shared" si="2652"/>
        <v>1084117</v>
      </c>
      <c r="CG177" s="44">
        <f t="shared" si="2652"/>
        <v>1084117</v>
      </c>
      <c r="CH177" s="44">
        <f>ROUND(CG177*(1+取值表!$D$12)*取值表!$H$12,0)</f>
        <v>1184596</v>
      </c>
      <c r="CI177" s="44">
        <f t="shared" ref="CI177:CK177" si="2653">CH177</f>
        <v>1184596</v>
      </c>
      <c r="CJ177" s="44">
        <f t="shared" si="2653"/>
        <v>1184596</v>
      </c>
      <c r="CK177" s="44">
        <f t="shared" si="2653"/>
        <v>1184596</v>
      </c>
      <c r="CL177" s="44">
        <f>ROUND(CK177*(1+取值表!$D$12)*取值表!$H$12,0)</f>
        <v>1294388</v>
      </c>
      <c r="CM177" s="44">
        <f t="shared" ref="CM177:CO177" si="2654">CL177</f>
        <v>1294388</v>
      </c>
      <c r="CN177" s="44">
        <f t="shared" si="2654"/>
        <v>1294388</v>
      </c>
      <c r="CO177" s="44">
        <f t="shared" si="2654"/>
        <v>1294388</v>
      </c>
      <c r="CP177" s="44">
        <f>ROUND(CO177*(1+取值表!$D$12)*取值表!$H$12,0)</f>
        <v>1414355</v>
      </c>
      <c r="CQ177" s="44">
        <f t="shared" ref="CQ177" si="2655">CP177</f>
        <v>1414355</v>
      </c>
      <c r="CR177" s="44">
        <f t="shared" ref="CR177" si="2656">CQ177</f>
        <v>1414355</v>
      </c>
      <c r="CS177" s="44">
        <f t="shared" ref="CS177" si="2657">CR177</f>
        <v>1414355</v>
      </c>
      <c r="CT177" s="44">
        <f>ROUND(CS177*(1+取值表!$D$12)*取值表!$H$12,0)</f>
        <v>1545441</v>
      </c>
      <c r="CU177" s="44">
        <f t="shared" ref="CU177" si="2658">CT177</f>
        <v>1545441</v>
      </c>
      <c r="CV177" s="44">
        <f t="shared" ref="CV177" si="2659">CU177</f>
        <v>1545441</v>
      </c>
      <c r="CW177" s="44">
        <f t="shared" ref="CW177" si="2660">CV177</f>
        <v>1545441</v>
      </c>
      <c r="CX177" s="44">
        <f>ROUND(CW177*(1+取值表!$D$12)*取值表!$H$12,0)</f>
        <v>1688677</v>
      </c>
      <c r="CY177" s="44">
        <f t="shared" ref="CY177" si="2661">CX177</f>
        <v>1688677</v>
      </c>
      <c r="CZ177" s="44">
        <f t="shared" ref="CZ177" si="2662">CY177</f>
        <v>1688677</v>
      </c>
      <c r="DA177" s="44">
        <f t="shared" ref="DA177" si="2663">CZ177</f>
        <v>1688677</v>
      </c>
      <c r="DB177" s="44">
        <f>ROUND(DA177*(1+取值表!$D$12)*取值表!$H$12,0)</f>
        <v>1845188</v>
      </c>
      <c r="DC177" s="44">
        <f t="shared" ref="DC177" si="2664">DB177</f>
        <v>1845188</v>
      </c>
      <c r="DD177" s="44">
        <f t="shared" ref="DD177" si="2665">DC177</f>
        <v>1845188</v>
      </c>
      <c r="DE177" s="44">
        <f t="shared" ref="DE177" si="2666">DD177</f>
        <v>1845188</v>
      </c>
      <c r="DF177" s="45">
        <f t="shared" si="1976"/>
        <v>77525868</v>
      </c>
    </row>
    <row r="178" spans="1:111" s="40" customFormat="1" ht="12">
      <c r="A178" s="517"/>
      <c r="B178" s="535"/>
      <c r="C178" s="531"/>
      <c r="D178" s="533"/>
      <c r="E178" s="515"/>
      <c r="F178" s="525"/>
      <c r="G178" s="525"/>
      <c r="H178" s="527"/>
      <c r="I178" s="41"/>
      <c r="J178" s="42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4"/>
      <c r="CO178" s="44"/>
      <c r="CP178" s="44"/>
      <c r="CQ178" s="44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4"/>
      <c r="DC178" s="44"/>
      <c r="DD178" s="44"/>
      <c r="DE178" s="44"/>
      <c r="DF178" s="45">
        <f t="shared" si="1976"/>
        <v>0</v>
      </c>
    </row>
    <row r="179" spans="1:111" s="40" customFormat="1" ht="12" customHeight="1">
      <c r="A179" s="516">
        <v>90</v>
      </c>
      <c r="B179" s="534" t="s">
        <v>186</v>
      </c>
      <c r="C179" s="530" t="s">
        <v>109</v>
      </c>
      <c r="D179" s="532" t="s">
        <v>488</v>
      </c>
      <c r="E179" s="514" t="s">
        <v>490</v>
      </c>
      <c r="F179" s="524">
        <v>189.97</v>
      </c>
      <c r="G179" s="524">
        <v>15</v>
      </c>
      <c r="H179" s="526">
        <f>F179*G179*365</f>
        <v>1040085.7500000001</v>
      </c>
      <c r="I179" s="41">
        <v>260021.44</v>
      </c>
      <c r="J179" s="43">
        <f>ROUND(F179*G179*365/4,0)</f>
        <v>260021</v>
      </c>
      <c r="K179" s="44">
        <f>J179</f>
        <v>260021</v>
      </c>
      <c r="L179" s="44">
        <f>K179</f>
        <v>260021</v>
      </c>
      <c r="M179" s="44">
        <f>L179</f>
        <v>260021</v>
      </c>
      <c r="N179" s="44">
        <f>ROUND(M179*(1+取值表!$D$12)*取值表!$H$12,0)</f>
        <v>284120</v>
      </c>
      <c r="O179" s="44">
        <f>N179</f>
        <v>284120</v>
      </c>
      <c r="P179" s="44">
        <f>O179</f>
        <v>284120</v>
      </c>
      <c r="Q179" s="44">
        <f>P179</f>
        <v>284120</v>
      </c>
      <c r="R179" s="44">
        <f>ROUND(Q179*(1+取值表!$D$12)*取值表!$H$12,0)</f>
        <v>310453</v>
      </c>
      <c r="S179" s="44">
        <f t="shared" ref="S179:U179" si="2667">R179</f>
        <v>310453</v>
      </c>
      <c r="T179" s="44">
        <f t="shared" si="2667"/>
        <v>310453</v>
      </c>
      <c r="U179" s="44">
        <f t="shared" si="2667"/>
        <v>310453</v>
      </c>
      <c r="V179" s="44">
        <f>ROUND(U179*(1+取值表!$D$12)*取值表!$H$12,0)</f>
        <v>339227</v>
      </c>
      <c r="W179" s="44">
        <f t="shared" ref="W179:Y179" si="2668">V179</f>
        <v>339227</v>
      </c>
      <c r="X179" s="44">
        <f t="shared" si="2668"/>
        <v>339227</v>
      </c>
      <c r="Y179" s="44">
        <f t="shared" si="2668"/>
        <v>339227</v>
      </c>
      <c r="Z179" s="44">
        <f>ROUND(Y179*(1+取值表!$D$12)*取值表!$H$12,0)</f>
        <v>370667</v>
      </c>
      <c r="AA179" s="44">
        <f t="shared" ref="AA179:AC179" si="2669">Z179</f>
        <v>370667</v>
      </c>
      <c r="AB179" s="44">
        <f t="shared" si="2669"/>
        <v>370667</v>
      </c>
      <c r="AC179" s="44">
        <f t="shared" si="2669"/>
        <v>370667</v>
      </c>
      <c r="AD179" s="44">
        <f>ROUND(AC179*(1+取值表!$D$12)*取值表!$H$12,0)</f>
        <v>405021</v>
      </c>
      <c r="AE179" s="44">
        <f t="shared" ref="AE179:AG179" si="2670">AD179</f>
        <v>405021</v>
      </c>
      <c r="AF179" s="44">
        <f t="shared" si="2670"/>
        <v>405021</v>
      </c>
      <c r="AG179" s="44">
        <f t="shared" si="2670"/>
        <v>405021</v>
      </c>
      <c r="AH179" s="44">
        <f>ROUND(AG179*(1+取值表!$D$12)*取值表!$H$12,0)</f>
        <v>442559</v>
      </c>
      <c r="AI179" s="44">
        <f t="shared" ref="AI179:AK179" si="2671">AH179</f>
        <v>442559</v>
      </c>
      <c r="AJ179" s="44">
        <f t="shared" si="2671"/>
        <v>442559</v>
      </c>
      <c r="AK179" s="44">
        <f t="shared" si="2671"/>
        <v>442559</v>
      </c>
      <c r="AL179" s="44">
        <f>ROUND(AK179*(1+取值表!$D$12)*取值表!$H$12,0)</f>
        <v>483577</v>
      </c>
      <c r="AM179" s="44">
        <f t="shared" ref="AM179:AO179" si="2672">AL179</f>
        <v>483577</v>
      </c>
      <c r="AN179" s="44">
        <f t="shared" si="2672"/>
        <v>483577</v>
      </c>
      <c r="AO179" s="44">
        <f t="shared" si="2672"/>
        <v>483577</v>
      </c>
      <c r="AP179" s="44">
        <f>ROUND(AO179*(1+取值表!$D$12)*取值表!$H$12,0)</f>
        <v>528396</v>
      </c>
      <c r="AQ179" s="44">
        <f t="shared" ref="AQ179:AS179" si="2673">AP179</f>
        <v>528396</v>
      </c>
      <c r="AR179" s="44">
        <f t="shared" si="2673"/>
        <v>528396</v>
      </c>
      <c r="AS179" s="44">
        <f t="shared" si="2673"/>
        <v>528396</v>
      </c>
      <c r="AT179" s="44">
        <f>ROUND(AS179*(1+取值表!$D$12)*取值表!$H$12,0)</f>
        <v>577369</v>
      </c>
      <c r="AU179" s="44">
        <f t="shared" ref="AU179:AW179" si="2674">AT179</f>
        <v>577369</v>
      </c>
      <c r="AV179" s="44">
        <f t="shared" si="2674"/>
        <v>577369</v>
      </c>
      <c r="AW179" s="44">
        <f t="shared" si="2674"/>
        <v>577369</v>
      </c>
      <c r="AX179" s="44">
        <f>ROUND(AW179*(1+取值表!$D$12)*取值表!$H$12,0)</f>
        <v>630881</v>
      </c>
      <c r="AY179" s="44">
        <f t="shared" ref="AY179:BA179" si="2675">AX179</f>
        <v>630881</v>
      </c>
      <c r="AZ179" s="44">
        <f t="shared" si="2675"/>
        <v>630881</v>
      </c>
      <c r="BA179" s="44">
        <f t="shared" si="2675"/>
        <v>630881</v>
      </c>
      <c r="BB179" s="44">
        <f>ROUND(BA179*(1+取值表!$D$12)*取值表!$H$12,0)</f>
        <v>689353</v>
      </c>
      <c r="BC179" s="44">
        <f t="shared" ref="BC179:BE179" si="2676">BB179</f>
        <v>689353</v>
      </c>
      <c r="BD179" s="44">
        <f t="shared" si="2676"/>
        <v>689353</v>
      </c>
      <c r="BE179" s="44">
        <f t="shared" si="2676"/>
        <v>689353</v>
      </c>
      <c r="BF179" s="44">
        <f>ROUND(BE179*(1+取值表!$D$12)*取值表!$H$12,0)</f>
        <v>753244</v>
      </c>
      <c r="BG179" s="44">
        <f t="shared" ref="BG179:BI179" si="2677">BF179</f>
        <v>753244</v>
      </c>
      <c r="BH179" s="44">
        <f t="shared" si="2677"/>
        <v>753244</v>
      </c>
      <c r="BI179" s="44">
        <f t="shared" si="2677"/>
        <v>753244</v>
      </c>
      <c r="BJ179" s="44">
        <f>ROUND(BI179*(1+取值表!$D$12)*取值表!$H$12,0)</f>
        <v>823057</v>
      </c>
      <c r="BK179" s="44">
        <f t="shared" ref="BK179:BM179" si="2678">BJ179</f>
        <v>823057</v>
      </c>
      <c r="BL179" s="44">
        <f t="shared" si="2678"/>
        <v>823057</v>
      </c>
      <c r="BM179" s="44">
        <f t="shared" si="2678"/>
        <v>823057</v>
      </c>
      <c r="BN179" s="44">
        <f>ROUND(BM179*(1+取值表!$D$12)*取值表!$H$12,0)</f>
        <v>899340</v>
      </c>
      <c r="BO179" s="44">
        <f t="shared" ref="BO179:BQ179" si="2679">BN179</f>
        <v>899340</v>
      </c>
      <c r="BP179" s="44">
        <f t="shared" si="2679"/>
        <v>899340</v>
      </c>
      <c r="BQ179" s="44">
        <f t="shared" si="2679"/>
        <v>899340</v>
      </c>
      <c r="BR179" s="44">
        <f>ROUND(BQ179*(1+取值表!$D$12)*取值表!$H$12,0)</f>
        <v>982693</v>
      </c>
      <c r="BS179" s="44">
        <f t="shared" ref="BS179:BU179" si="2680">BR179</f>
        <v>982693</v>
      </c>
      <c r="BT179" s="44">
        <f t="shared" si="2680"/>
        <v>982693</v>
      </c>
      <c r="BU179" s="44">
        <f t="shared" si="2680"/>
        <v>982693</v>
      </c>
      <c r="BV179" s="44">
        <f>ROUND(BU179*(1+取值表!$D$12)*取值表!$H$12,0)</f>
        <v>1073772</v>
      </c>
      <c r="BW179" s="44">
        <f t="shared" ref="BW179:BY179" si="2681">BV179</f>
        <v>1073772</v>
      </c>
      <c r="BX179" s="44">
        <f t="shared" si="2681"/>
        <v>1073772</v>
      </c>
      <c r="BY179" s="44">
        <f t="shared" si="2681"/>
        <v>1073772</v>
      </c>
      <c r="BZ179" s="44">
        <f>ROUND(BY179*(1+取值表!$D$12)*取值表!$H$12,0)</f>
        <v>1173292</v>
      </c>
      <c r="CA179" s="44">
        <f t="shared" ref="CA179:CC179" si="2682">BZ179</f>
        <v>1173292</v>
      </c>
      <c r="CB179" s="44">
        <f t="shared" si="2682"/>
        <v>1173292</v>
      </c>
      <c r="CC179" s="44">
        <f t="shared" si="2682"/>
        <v>1173292</v>
      </c>
      <c r="CD179" s="44">
        <f>ROUND(CC179*(1+取值表!$D$12)*取值表!$H$12,0)</f>
        <v>1282036</v>
      </c>
      <c r="CE179" s="44">
        <f t="shared" ref="CE179:CG179" si="2683">CD179</f>
        <v>1282036</v>
      </c>
      <c r="CF179" s="44">
        <f t="shared" si="2683"/>
        <v>1282036</v>
      </c>
      <c r="CG179" s="44">
        <f t="shared" si="2683"/>
        <v>1282036</v>
      </c>
      <c r="CH179" s="44">
        <f>ROUND(CG179*(1+取值表!$D$12)*取值表!$H$12,0)</f>
        <v>1400859</v>
      </c>
      <c r="CI179" s="44">
        <f t="shared" ref="CI179:CK179" si="2684">CH179</f>
        <v>1400859</v>
      </c>
      <c r="CJ179" s="44">
        <f t="shared" si="2684"/>
        <v>1400859</v>
      </c>
      <c r="CK179" s="44">
        <f t="shared" si="2684"/>
        <v>1400859</v>
      </c>
      <c r="CL179" s="44">
        <f>ROUND(CK179*(1+取值表!$D$12)*取值表!$H$12,0)</f>
        <v>1530694</v>
      </c>
      <c r="CM179" s="44">
        <f t="shared" ref="CM179:CO179" si="2685">CL179</f>
        <v>1530694</v>
      </c>
      <c r="CN179" s="44">
        <f t="shared" si="2685"/>
        <v>1530694</v>
      </c>
      <c r="CO179" s="44">
        <f t="shared" si="2685"/>
        <v>1530694</v>
      </c>
      <c r="CP179" s="44">
        <f>ROUND(CO179*(1+取值表!$D$12)*取值表!$H$12,0)</f>
        <v>1672563</v>
      </c>
      <c r="CQ179" s="44">
        <f t="shared" ref="CQ179" si="2686">CP179</f>
        <v>1672563</v>
      </c>
      <c r="CR179" s="44">
        <f t="shared" ref="CR179" si="2687">CQ179</f>
        <v>1672563</v>
      </c>
      <c r="CS179" s="44">
        <f t="shared" ref="CS179" si="2688">CR179</f>
        <v>1672563</v>
      </c>
      <c r="CT179" s="44">
        <f>ROUND(CS179*(1+取值表!$D$12)*取值表!$H$12,0)</f>
        <v>1827581</v>
      </c>
      <c r="CU179" s="44">
        <f t="shared" ref="CU179" si="2689">CT179</f>
        <v>1827581</v>
      </c>
      <c r="CV179" s="44">
        <f t="shared" ref="CV179" si="2690">CU179</f>
        <v>1827581</v>
      </c>
      <c r="CW179" s="44">
        <f t="shared" ref="CW179" si="2691">CV179</f>
        <v>1827581</v>
      </c>
      <c r="CX179" s="44">
        <f>ROUND(CW179*(1+取值表!$D$12)*取值表!$H$12,0)</f>
        <v>1996966</v>
      </c>
      <c r="CY179" s="44">
        <f t="shared" ref="CY179" si="2692">CX179</f>
        <v>1996966</v>
      </c>
      <c r="CZ179" s="44">
        <f t="shared" ref="CZ179" si="2693">CY179</f>
        <v>1996966</v>
      </c>
      <c r="DA179" s="44">
        <f t="shared" ref="DA179" si="2694">CZ179</f>
        <v>1996966</v>
      </c>
      <c r="DB179" s="44">
        <f>ROUND(DA179*(1+取值表!$D$12)*取值表!$H$12,0)</f>
        <v>2182050</v>
      </c>
      <c r="DC179" s="44">
        <f t="shared" ref="DC179" si="2695">DB179</f>
        <v>2182050</v>
      </c>
      <c r="DD179" s="44">
        <f t="shared" ref="DD179" si="2696">DC179</f>
        <v>2182050</v>
      </c>
      <c r="DE179" s="44">
        <f t="shared" ref="DE179" si="2697">DD179</f>
        <v>2182050</v>
      </c>
      <c r="DF179" s="45">
        <f t="shared" si="1976"/>
        <v>91679164</v>
      </c>
    </row>
    <row r="180" spans="1:111" s="40" customFormat="1" ht="12">
      <c r="A180" s="517"/>
      <c r="B180" s="535"/>
      <c r="C180" s="531"/>
      <c r="D180" s="533"/>
      <c r="E180" s="515"/>
      <c r="F180" s="525"/>
      <c r="G180" s="525"/>
      <c r="H180" s="527"/>
      <c r="I180" s="41"/>
      <c r="J180" s="42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  <c r="CM180" s="44"/>
      <c r="CN180" s="44"/>
      <c r="CO180" s="44"/>
      <c r="CP180" s="44"/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5">
        <f t="shared" si="1976"/>
        <v>0</v>
      </c>
    </row>
    <row r="181" spans="1:111" s="234" customFormat="1" ht="12" customHeight="1">
      <c r="A181" s="516">
        <v>91</v>
      </c>
      <c r="B181" s="534" t="s">
        <v>187</v>
      </c>
      <c r="C181" s="530" t="s">
        <v>31</v>
      </c>
      <c r="D181" s="532" t="s">
        <v>188</v>
      </c>
      <c r="E181" s="514" t="s">
        <v>490</v>
      </c>
      <c r="F181" s="524">
        <v>178</v>
      </c>
      <c r="G181" s="524">
        <v>16</v>
      </c>
      <c r="H181" s="526">
        <f>F181*G181*365</f>
        <v>1039520</v>
      </c>
      <c r="I181" s="41">
        <v>259880</v>
      </c>
      <c r="J181" s="42">
        <f>ROUND(F181*G181*365/4,0)</f>
        <v>259880</v>
      </c>
      <c r="K181" s="44">
        <f>J181</f>
        <v>259880</v>
      </c>
      <c r="L181" s="43">
        <f>K181</f>
        <v>259880</v>
      </c>
      <c r="M181" s="44">
        <f>L181</f>
        <v>259880</v>
      </c>
      <c r="N181" s="44">
        <f>ROUND(M181*(1+取值表!$D$12)*取值表!$H$12,0)</f>
        <v>283966</v>
      </c>
      <c r="O181" s="44">
        <f>N181</f>
        <v>283966</v>
      </c>
      <c r="P181" s="44">
        <f>O181</f>
        <v>283966</v>
      </c>
      <c r="Q181" s="44">
        <f>P181</f>
        <v>283966</v>
      </c>
      <c r="R181" s="44">
        <f>ROUND(Q181*(1+取值表!$D$12)*取值表!$H$12,0)</f>
        <v>310285</v>
      </c>
      <c r="S181" s="44">
        <f t="shared" ref="S181:U181" si="2698">R181</f>
        <v>310285</v>
      </c>
      <c r="T181" s="44">
        <f t="shared" si="2698"/>
        <v>310285</v>
      </c>
      <c r="U181" s="44">
        <f t="shared" si="2698"/>
        <v>310285</v>
      </c>
      <c r="V181" s="44">
        <f>ROUND(U181*(1+取值表!$D$12)*取值表!$H$12,0)</f>
        <v>339043</v>
      </c>
      <c r="W181" s="44">
        <f t="shared" ref="W181:Y181" si="2699">V181</f>
        <v>339043</v>
      </c>
      <c r="X181" s="44">
        <f t="shared" si="2699"/>
        <v>339043</v>
      </c>
      <c r="Y181" s="44">
        <f t="shared" si="2699"/>
        <v>339043</v>
      </c>
      <c r="Z181" s="44">
        <f>ROUND(Y181*(1+取值表!$D$12)*取值表!$H$12,0)</f>
        <v>370466</v>
      </c>
      <c r="AA181" s="44">
        <f t="shared" ref="AA181:AC181" si="2700">Z181</f>
        <v>370466</v>
      </c>
      <c r="AB181" s="44">
        <f t="shared" si="2700"/>
        <v>370466</v>
      </c>
      <c r="AC181" s="44">
        <f t="shared" si="2700"/>
        <v>370466</v>
      </c>
      <c r="AD181" s="44">
        <f>ROUND(AC181*(1+取值表!$D$12)*取值表!$H$12,0)</f>
        <v>404802</v>
      </c>
      <c r="AE181" s="44">
        <f t="shared" ref="AE181:AG181" si="2701">AD181</f>
        <v>404802</v>
      </c>
      <c r="AF181" s="44">
        <f t="shared" si="2701"/>
        <v>404802</v>
      </c>
      <c r="AG181" s="44">
        <f t="shared" si="2701"/>
        <v>404802</v>
      </c>
      <c r="AH181" s="44">
        <f>ROUND(AG181*(1+取值表!$D$12)*取值表!$H$12,0)</f>
        <v>442320</v>
      </c>
      <c r="AI181" s="44">
        <f t="shared" ref="AI181:AK181" si="2702">AH181</f>
        <v>442320</v>
      </c>
      <c r="AJ181" s="44">
        <f t="shared" si="2702"/>
        <v>442320</v>
      </c>
      <c r="AK181" s="44">
        <f t="shared" si="2702"/>
        <v>442320</v>
      </c>
      <c r="AL181" s="44">
        <f>ROUND(AK181*(1+取值表!$D$12)*取值表!$H$12,0)</f>
        <v>483315</v>
      </c>
      <c r="AM181" s="44">
        <f t="shared" ref="AM181:AO181" si="2703">AL181</f>
        <v>483315</v>
      </c>
      <c r="AN181" s="44">
        <f t="shared" si="2703"/>
        <v>483315</v>
      </c>
      <c r="AO181" s="44">
        <f t="shared" si="2703"/>
        <v>483315</v>
      </c>
      <c r="AP181" s="44">
        <f>ROUND(AO181*(1+取值表!$D$12)*取值表!$H$12,0)</f>
        <v>528110</v>
      </c>
      <c r="AQ181" s="44">
        <f t="shared" ref="AQ181:AS181" si="2704">AP181</f>
        <v>528110</v>
      </c>
      <c r="AR181" s="44">
        <f t="shared" si="2704"/>
        <v>528110</v>
      </c>
      <c r="AS181" s="44">
        <f t="shared" si="2704"/>
        <v>528110</v>
      </c>
      <c r="AT181" s="44">
        <f>ROUND(AS181*(1+取值表!$D$12)*取值表!$H$12,0)</f>
        <v>577057</v>
      </c>
      <c r="AU181" s="44">
        <f t="shared" ref="AU181:AW181" si="2705">AT181</f>
        <v>577057</v>
      </c>
      <c r="AV181" s="44">
        <f t="shared" si="2705"/>
        <v>577057</v>
      </c>
      <c r="AW181" s="44">
        <f t="shared" si="2705"/>
        <v>577057</v>
      </c>
      <c r="AX181" s="44">
        <f>ROUND(AW181*(1+取值表!$D$12)*取值表!$H$12,0)</f>
        <v>630540</v>
      </c>
      <c r="AY181" s="44">
        <f t="shared" ref="AY181:BA181" si="2706">AX181</f>
        <v>630540</v>
      </c>
      <c r="AZ181" s="44">
        <f t="shared" si="2706"/>
        <v>630540</v>
      </c>
      <c r="BA181" s="44">
        <f t="shared" si="2706"/>
        <v>630540</v>
      </c>
      <c r="BB181" s="44">
        <f>ROUND(BA181*(1+取值表!$D$12)*取值表!$H$12,0)</f>
        <v>688980</v>
      </c>
      <c r="BC181" s="44">
        <f t="shared" ref="BC181:BE181" si="2707">BB181</f>
        <v>688980</v>
      </c>
      <c r="BD181" s="44">
        <f t="shared" si="2707"/>
        <v>688980</v>
      </c>
      <c r="BE181" s="44">
        <f t="shared" si="2707"/>
        <v>688980</v>
      </c>
      <c r="BF181" s="44">
        <f>ROUND(BE181*(1+取值表!$D$12)*取值表!$H$12,0)</f>
        <v>752837</v>
      </c>
      <c r="BG181" s="44">
        <f t="shared" ref="BG181:BI181" si="2708">BF181</f>
        <v>752837</v>
      </c>
      <c r="BH181" s="44">
        <f t="shared" si="2708"/>
        <v>752837</v>
      </c>
      <c r="BI181" s="44">
        <f t="shared" si="2708"/>
        <v>752837</v>
      </c>
      <c r="BJ181" s="44">
        <f>ROUND(BI181*(1+取值表!$D$12)*取值表!$H$12,0)</f>
        <v>822612</v>
      </c>
      <c r="BK181" s="44">
        <f t="shared" ref="BK181:BM181" si="2709">BJ181</f>
        <v>822612</v>
      </c>
      <c r="BL181" s="44">
        <f t="shared" si="2709"/>
        <v>822612</v>
      </c>
      <c r="BM181" s="44">
        <f t="shared" si="2709"/>
        <v>822612</v>
      </c>
      <c r="BN181" s="44">
        <f>ROUND(BM181*(1+取值表!$D$12)*取值表!$H$12,0)</f>
        <v>898854</v>
      </c>
      <c r="BO181" s="44">
        <f t="shared" ref="BO181:BQ181" si="2710">BN181</f>
        <v>898854</v>
      </c>
      <c r="BP181" s="44">
        <f t="shared" si="2710"/>
        <v>898854</v>
      </c>
      <c r="BQ181" s="44">
        <f t="shared" si="2710"/>
        <v>898854</v>
      </c>
      <c r="BR181" s="44">
        <f>ROUND(BQ181*(1+取值表!$D$12)*取值表!$H$12,0)</f>
        <v>982162</v>
      </c>
      <c r="BS181" s="44">
        <f t="shared" ref="BS181:BU181" si="2711">BR181</f>
        <v>982162</v>
      </c>
      <c r="BT181" s="44">
        <f t="shared" si="2711"/>
        <v>982162</v>
      </c>
      <c r="BU181" s="44">
        <f t="shared" si="2711"/>
        <v>982162</v>
      </c>
      <c r="BV181" s="44">
        <f>ROUND(BU181*(1+取值表!$D$12)*取值表!$H$12,0)</f>
        <v>1073191</v>
      </c>
      <c r="BW181" s="44">
        <f t="shared" ref="BW181:BY181" si="2712">BV181</f>
        <v>1073191</v>
      </c>
      <c r="BX181" s="44">
        <f t="shared" si="2712"/>
        <v>1073191</v>
      </c>
      <c r="BY181" s="44">
        <f t="shared" si="2712"/>
        <v>1073191</v>
      </c>
      <c r="BZ181" s="44">
        <f>ROUND(BY181*(1+取值表!$D$12)*取值表!$H$12,0)</f>
        <v>1172657</v>
      </c>
      <c r="CA181" s="44">
        <f t="shared" ref="CA181:CC181" si="2713">BZ181</f>
        <v>1172657</v>
      </c>
      <c r="CB181" s="44">
        <f t="shared" si="2713"/>
        <v>1172657</v>
      </c>
      <c r="CC181" s="44">
        <f t="shared" si="2713"/>
        <v>1172657</v>
      </c>
      <c r="CD181" s="44">
        <f>ROUND(CC181*(1+取值表!$D$12)*取值表!$H$12,0)</f>
        <v>1281342</v>
      </c>
      <c r="CE181" s="44">
        <f t="shared" ref="CE181:CG181" si="2714">CD181</f>
        <v>1281342</v>
      </c>
      <c r="CF181" s="44">
        <f t="shared" si="2714"/>
        <v>1281342</v>
      </c>
      <c r="CG181" s="44">
        <f t="shared" si="2714"/>
        <v>1281342</v>
      </c>
      <c r="CH181" s="44">
        <f>ROUND(CG181*(1+取值表!$D$12)*取值表!$H$12,0)</f>
        <v>1400100</v>
      </c>
      <c r="CI181" s="44">
        <f t="shared" ref="CI181:CK181" si="2715">CH181</f>
        <v>1400100</v>
      </c>
      <c r="CJ181" s="44">
        <f t="shared" si="2715"/>
        <v>1400100</v>
      </c>
      <c r="CK181" s="44">
        <f t="shared" si="2715"/>
        <v>1400100</v>
      </c>
      <c r="CL181" s="44">
        <f>ROUND(CK181*(1+取值表!$D$12)*取值表!$H$12,0)</f>
        <v>1529865</v>
      </c>
      <c r="CM181" s="44">
        <f t="shared" ref="CM181:CO181" si="2716">CL181</f>
        <v>1529865</v>
      </c>
      <c r="CN181" s="44">
        <f t="shared" si="2716"/>
        <v>1529865</v>
      </c>
      <c r="CO181" s="44">
        <f t="shared" si="2716"/>
        <v>1529865</v>
      </c>
      <c r="CP181" s="44">
        <f>ROUND(CO181*(1+取值表!$D$12)*取值表!$H$12,0)</f>
        <v>1671657</v>
      </c>
      <c r="CQ181" s="44">
        <f t="shared" ref="CQ181" si="2717">CP181</f>
        <v>1671657</v>
      </c>
      <c r="CR181" s="44">
        <f t="shared" ref="CR181" si="2718">CQ181</f>
        <v>1671657</v>
      </c>
      <c r="CS181" s="44">
        <f t="shared" ref="CS181" si="2719">CR181</f>
        <v>1671657</v>
      </c>
      <c r="CT181" s="44">
        <f>ROUND(CS181*(1+取值表!$D$12)*取值表!$H$12,0)</f>
        <v>1826591</v>
      </c>
      <c r="CU181" s="44">
        <f t="shared" ref="CU181" si="2720">CT181</f>
        <v>1826591</v>
      </c>
      <c r="CV181" s="44">
        <f t="shared" ref="CV181" si="2721">CU181</f>
        <v>1826591</v>
      </c>
      <c r="CW181" s="44">
        <f t="shared" ref="CW181" si="2722">CV181</f>
        <v>1826591</v>
      </c>
      <c r="CX181" s="44">
        <f>ROUND(CW181*(1+取值表!$D$12)*取值表!$H$12,0)</f>
        <v>1995884</v>
      </c>
      <c r="CY181" s="44">
        <f t="shared" ref="CY181" si="2723">CX181</f>
        <v>1995884</v>
      </c>
      <c r="CZ181" s="44">
        <f t="shared" ref="CZ181" si="2724">CY181</f>
        <v>1995884</v>
      </c>
      <c r="DA181" s="44">
        <f t="shared" ref="DA181" si="2725">CZ181</f>
        <v>1995884</v>
      </c>
      <c r="DB181" s="44">
        <f>ROUND(DA181*(1+取值表!$D$12)*取值表!$H$12,0)</f>
        <v>2180868</v>
      </c>
      <c r="DC181" s="44">
        <f t="shared" ref="DC181" si="2726">DB181</f>
        <v>2180868</v>
      </c>
      <c r="DD181" s="44">
        <f t="shared" ref="DD181" si="2727">DC181</f>
        <v>2180868</v>
      </c>
      <c r="DE181" s="44">
        <f t="shared" ref="DE181" si="2728">DD181</f>
        <v>2180868</v>
      </c>
      <c r="DF181" s="45">
        <f t="shared" si="1976"/>
        <v>91629536</v>
      </c>
      <c r="DG181" s="40"/>
    </row>
    <row r="182" spans="1:111" s="234" customFormat="1" ht="12">
      <c r="A182" s="517"/>
      <c r="B182" s="535"/>
      <c r="C182" s="531"/>
      <c r="D182" s="533"/>
      <c r="E182" s="515"/>
      <c r="F182" s="525"/>
      <c r="G182" s="525"/>
      <c r="H182" s="527"/>
      <c r="I182" s="41"/>
      <c r="J182" s="42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44"/>
      <c r="CV182" s="44"/>
      <c r="CW182" s="44"/>
      <c r="CX182" s="44"/>
      <c r="CY182" s="44"/>
      <c r="CZ182" s="44"/>
      <c r="DA182" s="44"/>
      <c r="DB182" s="44"/>
      <c r="DC182" s="44"/>
      <c r="DD182" s="44"/>
      <c r="DE182" s="44"/>
      <c r="DF182" s="45">
        <f t="shared" si="1976"/>
        <v>0</v>
      </c>
      <c r="DG182" s="40"/>
    </row>
    <row r="183" spans="1:111" s="40" customFormat="1" ht="12" customHeight="1">
      <c r="A183" s="516">
        <v>92</v>
      </c>
      <c r="B183" s="518" t="s">
        <v>189</v>
      </c>
      <c r="C183" s="450" t="s">
        <v>13</v>
      </c>
      <c r="D183" s="451" t="s">
        <v>489</v>
      </c>
      <c r="E183" s="452" t="s">
        <v>490</v>
      </c>
      <c r="F183" s="446">
        <v>421.41</v>
      </c>
      <c r="G183" s="446">
        <f>AVERAGE(12,13,14)</f>
        <v>13</v>
      </c>
      <c r="H183" s="447">
        <f>F183*G183*365</f>
        <v>1999590.45</v>
      </c>
      <c r="I183" s="41">
        <v>480670.78</v>
      </c>
      <c r="J183" s="42">
        <f>K183</f>
        <v>461444</v>
      </c>
      <c r="K183" s="44">
        <f>ROUND(12*365*F183/4,0)</f>
        <v>461444</v>
      </c>
      <c r="L183" s="44">
        <f>M183</f>
        <v>499898</v>
      </c>
      <c r="M183" s="44">
        <f>N183</f>
        <v>499898</v>
      </c>
      <c r="N183" s="44">
        <f>O183</f>
        <v>499898</v>
      </c>
      <c r="O183" s="44">
        <f>ROUND(13*365*F183/4,0)</f>
        <v>499898</v>
      </c>
      <c r="P183" s="44">
        <f>Q183</f>
        <v>538351</v>
      </c>
      <c r="Q183" s="44">
        <f>R183</f>
        <v>538351</v>
      </c>
      <c r="R183" s="44">
        <f>S183</f>
        <v>538351</v>
      </c>
      <c r="S183" s="43">
        <f>ROUND(14*365*F183/4,0)</f>
        <v>538351</v>
      </c>
      <c r="T183" s="44">
        <f>S183</f>
        <v>538351</v>
      </c>
      <c r="U183" s="44">
        <f>T183</f>
        <v>538351</v>
      </c>
      <c r="V183" s="44">
        <f>ROUND(U183*(1+取值表!$D$12)*取值表!$H$12,0)</f>
        <v>588247</v>
      </c>
      <c r="W183" s="44">
        <f>V183</f>
        <v>588247</v>
      </c>
      <c r="X183" s="44">
        <f>W183</f>
        <v>588247</v>
      </c>
      <c r="Y183" s="44">
        <f>X183</f>
        <v>588247</v>
      </c>
      <c r="Z183" s="44">
        <f>ROUND(Y183*(1+取值表!$D$12)*取值表!$H$12,0)</f>
        <v>642767</v>
      </c>
      <c r="AA183" s="44">
        <f t="shared" ref="AA183:AC183" si="2729">Z183</f>
        <v>642767</v>
      </c>
      <c r="AB183" s="44">
        <f t="shared" si="2729"/>
        <v>642767</v>
      </c>
      <c r="AC183" s="44">
        <f t="shared" si="2729"/>
        <v>642767</v>
      </c>
      <c r="AD183" s="44">
        <f>ROUND(AC183*(1+取值表!$D$12)*取值表!$H$12,0)</f>
        <v>702340</v>
      </c>
      <c r="AE183" s="44">
        <f t="shared" ref="AE183:AG183" si="2730">AD183</f>
        <v>702340</v>
      </c>
      <c r="AF183" s="44">
        <f t="shared" si="2730"/>
        <v>702340</v>
      </c>
      <c r="AG183" s="44">
        <f t="shared" si="2730"/>
        <v>702340</v>
      </c>
      <c r="AH183" s="44">
        <f>ROUND(AG183*(1+取值表!$D$12)*取值表!$H$12,0)</f>
        <v>767435</v>
      </c>
      <c r="AI183" s="44">
        <f t="shared" ref="AI183:AK183" si="2731">AH183</f>
        <v>767435</v>
      </c>
      <c r="AJ183" s="44">
        <f t="shared" si="2731"/>
        <v>767435</v>
      </c>
      <c r="AK183" s="44">
        <f t="shared" si="2731"/>
        <v>767435</v>
      </c>
      <c r="AL183" s="44">
        <f>ROUND(AK183*(1+取值表!$D$12)*取值表!$H$12,0)</f>
        <v>838563</v>
      </c>
      <c r="AM183" s="44">
        <f t="shared" ref="AM183:AO183" si="2732">AL183</f>
        <v>838563</v>
      </c>
      <c r="AN183" s="44">
        <f t="shared" si="2732"/>
        <v>838563</v>
      </c>
      <c r="AO183" s="44">
        <f t="shared" si="2732"/>
        <v>838563</v>
      </c>
      <c r="AP183" s="44">
        <f>ROUND(AO183*(1+取值表!$D$12)*取值表!$H$12,0)</f>
        <v>916283</v>
      </c>
      <c r="AQ183" s="44">
        <f t="shared" ref="AQ183:AS183" si="2733">AP183</f>
        <v>916283</v>
      </c>
      <c r="AR183" s="44">
        <f t="shared" si="2733"/>
        <v>916283</v>
      </c>
      <c r="AS183" s="44">
        <f t="shared" si="2733"/>
        <v>916283</v>
      </c>
      <c r="AT183" s="44">
        <f>ROUND(AS183*(1+取值表!$D$12)*取值表!$H$12,0)</f>
        <v>1001207</v>
      </c>
      <c r="AU183" s="44">
        <f t="shared" ref="AU183:AW183" si="2734">AT183</f>
        <v>1001207</v>
      </c>
      <c r="AV183" s="44">
        <f t="shared" si="2734"/>
        <v>1001207</v>
      </c>
      <c r="AW183" s="44">
        <f t="shared" si="2734"/>
        <v>1001207</v>
      </c>
      <c r="AX183" s="44">
        <f>ROUND(AW183*(1+取值表!$D$12)*取值表!$H$12,0)</f>
        <v>1094002</v>
      </c>
      <c r="AY183" s="44">
        <f t="shared" ref="AY183:BA183" si="2735">AX183</f>
        <v>1094002</v>
      </c>
      <c r="AZ183" s="44">
        <f t="shared" si="2735"/>
        <v>1094002</v>
      </c>
      <c r="BA183" s="44">
        <f t="shared" si="2735"/>
        <v>1094002</v>
      </c>
      <c r="BB183" s="44">
        <f>ROUND(BA183*(1+取值表!$D$12)*取值表!$H$12,0)</f>
        <v>1195397</v>
      </c>
      <c r="BC183" s="44">
        <f t="shared" ref="BC183:BE183" si="2736">BB183</f>
        <v>1195397</v>
      </c>
      <c r="BD183" s="44">
        <f t="shared" si="2736"/>
        <v>1195397</v>
      </c>
      <c r="BE183" s="44">
        <f t="shared" si="2736"/>
        <v>1195397</v>
      </c>
      <c r="BF183" s="44">
        <f>ROUND(BE183*(1+取值表!$D$12)*取值表!$H$12,0)</f>
        <v>1306190</v>
      </c>
      <c r="BG183" s="44">
        <f t="shared" ref="BG183:BI183" si="2737">BF183</f>
        <v>1306190</v>
      </c>
      <c r="BH183" s="44">
        <f t="shared" si="2737"/>
        <v>1306190</v>
      </c>
      <c r="BI183" s="44">
        <f t="shared" si="2737"/>
        <v>1306190</v>
      </c>
      <c r="BJ183" s="44">
        <f>ROUND(BI183*(1+取值表!$D$12)*取值表!$H$12,0)</f>
        <v>1427251</v>
      </c>
      <c r="BK183" s="44">
        <f t="shared" ref="BK183:BM183" si="2738">BJ183</f>
        <v>1427251</v>
      </c>
      <c r="BL183" s="44">
        <f t="shared" si="2738"/>
        <v>1427251</v>
      </c>
      <c r="BM183" s="44">
        <f t="shared" si="2738"/>
        <v>1427251</v>
      </c>
      <c r="BN183" s="44">
        <f>ROUND(BM183*(1+取值表!$D$12)*取值表!$H$12,0)</f>
        <v>1559533</v>
      </c>
      <c r="BO183" s="44">
        <f t="shared" ref="BO183:BQ183" si="2739">BN183</f>
        <v>1559533</v>
      </c>
      <c r="BP183" s="44">
        <f t="shared" si="2739"/>
        <v>1559533</v>
      </c>
      <c r="BQ183" s="44">
        <f t="shared" si="2739"/>
        <v>1559533</v>
      </c>
      <c r="BR183" s="44">
        <f>ROUND(BQ183*(1+取值表!$D$12)*取值表!$H$12,0)</f>
        <v>1704075</v>
      </c>
      <c r="BS183" s="44">
        <f t="shared" ref="BS183:BU183" si="2740">BR183</f>
        <v>1704075</v>
      </c>
      <c r="BT183" s="44">
        <f t="shared" si="2740"/>
        <v>1704075</v>
      </c>
      <c r="BU183" s="44">
        <f t="shared" si="2740"/>
        <v>1704075</v>
      </c>
      <c r="BV183" s="44">
        <f>ROUND(BU183*(1+取值表!$D$12)*取值表!$H$12,0)</f>
        <v>1862013</v>
      </c>
      <c r="BW183" s="44">
        <f t="shared" ref="BW183:BY183" si="2741">BV183</f>
        <v>1862013</v>
      </c>
      <c r="BX183" s="44">
        <f t="shared" si="2741"/>
        <v>1862013</v>
      </c>
      <c r="BY183" s="44">
        <f t="shared" si="2741"/>
        <v>1862013</v>
      </c>
      <c r="BZ183" s="44">
        <f>ROUND(BY183*(1+取值表!$D$12)*取值表!$H$12,0)</f>
        <v>2034589</v>
      </c>
      <c r="CA183" s="44">
        <f t="shared" ref="CA183:CC183" si="2742">BZ183</f>
        <v>2034589</v>
      </c>
      <c r="CB183" s="44">
        <f t="shared" si="2742"/>
        <v>2034589</v>
      </c>
      <c r="CC183" s="44">
        <f t="shared" si="2742"/>
        <v>2034589</v>
      </c>
      <c r="CD183" s="44">
        <f>ROUND(CC183*(1+取值表!$D$12)*取值表!$H$12,0)</f>
        <v>2223160</v>
      </c>
      <c r="CE183" s="44">
        <f t="shared" ref="CE183:CG183" si="2743">CD183</f>
        <v>2223160</v>
      </c>
      <c r="CF183" s="44">
        <f t="shared" si="2743"/>
        <v>2223160</v>
      </c>
      <c r="CG183" s="44">
        <f t="shared" si="2743"/>
        <v>2223160</v>
      </c>
      <c r="CH183" s="44">
        <f>ROUND(CG183*(1+取值表!$D$12)*取值表!$H$12,0)</f>
        <v>2429209</v>
      </c>
      <c r="CI183" s="44">
        <f t="shared" ref="CI183:CK183" si="2744">CH183</f>
        <v>2429209</v>
      </c>
      <c r="CJ183" s="44">
        <f t="shared" si="2744"/>
        <v>2429209</v>
      </c>
      <c r="CK183" s="44">
        <f t="shared" si="2744"/>
        <v>2429209</v>
      </c>
      <c r="CL183" s="44">
        <f>ROUND(CK183*(1+取值表!$D$12)*取值表!$H$12,0)</f>
        <v>2654355</v>
      </c>
      <c r="CM183" s="44">
        <f t="shared" ref="CM183:CO183" si="2745">CL183</f>
        <v>2654355</v>
      </c>
      <c r="CN183" s="44">
        <f t="shared" si="2745"/>
        <v>2654355</v>
      </c>
      <c r="CO183" s="44">
        <f t="shared" si="2745"/>
        <v>2654355</v>
      </c>
      <c r="CP183" s="44">
        <f>ROUND(CO183*(1+取值表!$D$12)*取值表!$H$12,0)</f>
        <v>2900368</v>
      </c>
      <c r="CQ183" s="44">
        <f t="shared" ref="CQ183" si="2746">CP183</f>
        <v>2900368</v>
      </c>
      <c r="CR183" s="44">
        <f t="shared" ref="CR183" si="2747">CQ183</f>
        <v>2900368</v>
      </c>
      <c r="CS183" s="44">
        <f t="shared" ref="CS183" si="2748">CR183</f>
        <v>2900368</v>
      </c>
      <c r="CT183" s="44">
        <f>ROUND(CS183*(1+取值表!$D$12)*取值表!$H$12,0)</f>
        <v>3169182</v>
      </c>
      <c r="CU183" s="44">
        <f t="shared" ref="CU183" si="2749">CT183</f>
        <v>3169182</v>
      </c>
      <c r="CV183" s="44">
        <f t="shared" ref="CV183" si="2750">CU183</f>
        <v>3169182</v>
      </c>
      <c r="CW183" s="44">
        <f t="shared" ref="CW183" si="2751">CV183</f>
        <v>3169182</v>
      </c>
      <c r="CX183" s="44">
        <f>ROUND(CW183*(1+取值表!$D$12)*取值表!$H$12,0)</f>
        <v>3462911</v>
      </c>
      <c r="CY183" s="44">
        <f t="shared" ref="CY183" si="2752">CX183</f>
        <v>3462911</v>
      </c>
      <c r="CZ183" s="44">
        <f t="shared" ref="CZ183" si="2753">CY183</f>
        <v>3462911</v>
      </c>
      <c r="DA183" s="44">
        <f t="shared" ref="DA183" si="2754">CZ183</f>
        <v>3462911</v>
      </c>
      <c r="DB183" s="44">
        <f>ROUND(DA183*(1+取值表!$D$12)*取值表!$H$12,0)</f>
        <v>3783863</v>
      </c>
      <c r="DC183" s="44">
        <f t="shared" ref="DC183" si="2755">DB183</f>
        <v>3783863</v>
      </c>
      <c r="DD183" s="44">
        <f t="shared" ref="DD183" si="2756">DC183</f>
        <v>3783863</v>
      </c>
      <c r="DE183" s="44">
        <f t="shared" ref="DE183" si="2757">DD183</f>
        <v>3783863</v>
      </c>
      <c r="DF183" s="45">
        <f t="shared" si="1976"/>
        <v>159204346</v>
      </c>
    </row>
    <row r="184" spans="1:111" s="40" customFormat="1" ht="12">
      <c r="A184" s="517"/>
      <c r="B184" s="518"/>
      <c r="C184" s="450"/>
      <c r="D184" s="451"/>
      <c r="E184" s="452"/>
      <c r="F184" s="446"/>
      <c r="G184" s="446"/>
      <c r="H184" s="447"/>
      <c r="I184" s="41"/>
      <c r="J184" s="42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  <c r="CM184" s="44"/>
      <c r="CN184" s="44"/>
      <c r="CO184" s="44"/>
      <c r="CP184" s="44"/>
      <c r="CQ184" s="44"/>
      <c r="CR184" s="44"/>
      <c r="CS184" s="44"/>
      <c r="CT184" s="44"/>
      <c r="CU184" s="44"/>
      <c r="CV184" s="44"/>
      <c r="CW184" s="44"/>
      <c r="CX184" s="44"/>
      <c r="CY184" s="44"/>
      <c r="CZ184" s="44"/>
      <c r="DA184" s="44"/>
      <c r="DB184" s="44"/>
      <c r="DC184" s="44"/>
      <c r="DD184" s="44"/>
      <c r="DE184" s="44"/>
      <c r="DF184" s="45">
        <f t="shared" si="1976"/>
        <v>0</v>
      </c>
    </row>
    <row r="185" spans="1:111" s="40" customFormat="1" ht="12" customHeight="1">
      <c r="A185" s="516">
        <v>93</v>
      </c>
      <c r="B185" s="518" t="s">
        <v>190</v>
      </c>
      <c r="C185" s="450" t="s">
        <v>739</v>
      </c>
      <c r="D185" s="451" t="s">
        <v>191</v>
      </c>
      <c r="E185" s="452" t="s">
        <v>490</v>
      </c>
      <c r="F185" s="446">
        <v>582.67999999999995</v>
      </c>
      <c r="G185" s="446">
        <f>AVERAGE(6.5,7,7.5,8)</f>
        <v>7.25</v>
      </c>
      <c r="H185" s="447">
        <f>F185*G185*365</f>
        <v>1541916.9499999997</v>
      </c>
      <c r="I185" s="41">
        <v>192604.57</v>
      </c>
      <c r="J185" s="42">
        <f>K185</f>
        <v>372187</v>
      </c>
      <c r="K185" s="44">
        <f>L185</f>
        <v>372187</v>
      </c>
      <c r="L185" s="44">
        <f>ROUND(7*F185*365/4,0)</f>
        <v>372187</v>
      </c>
      <c r="M185" s="44">
        <f>N185</f>
        <v>398772</v>
      </c>
      <c r="N185" s="44">
        <f>O185</f>
        <v>398772</v>
      </c>
      <c r="O185" s="44">
        <f>P185</f>
        <v>398772</v>
      </c>
      <c r="P185" s="44">
        <f>ROUND(7.5*365*F185/4,0)</f>
        <v>398772</v>
      </c>
      <c r="Q185" s="44">
        <f>R185</f>
        <v>425356</v>
      </c>
      <c r="R185" s="44">
        <f>S185</f>
        <v>425356</v>
      </c>
      <c r="S185" s="44">
        <f>T185</f>
        <v>425356</v>
      </c>
      <c r="T185" s="43">
        <f>ROUND(8*F185*365/4,0)</f>
        <v>425356</v>
      </c>
      <c r="U185" s="44">
        <f>T185</f>
        <v>425356</v>
      </c>
      <c r="V185" s="44">
        <f>ROUND(U185*(1+取值表!$D$12)*取值表!$H$12,0)</f>
        <v>464779</v>
      </c>
      <c r="W185" s="44">
        <f>V185</f>
        <v>464779</v>
      </c>
      <c r="X185" s="44">
        <f>W185</f>
        <v>464779</v>
      </c>
      <c r="Y185" s="44">
        <f>X185</f>
        <v>464779</v>
      </c>
      <c r="Z185" s="44">
        <f>ROUND(Y185*(1+取值表!$D$12)*取值表!$H$12,0)</f>
        <v>507856</v>
      </c>
      <c r="AA185" s="44">
        <f t="shared" ref="AA185:AC185" si="2758">Z185</f>
        <v>507856</v>
      </c>
      <c r="AB185" s="44">
        <f t="shared" si="2758"/>
        <v>507856</v>
      </c>
      <c r="AC185" s="44">
        <f t="shared" si="2758"/>
        <v>507856</v>
      </c>
      <c r="AD185" s="44">
        <f>ROUND(AC185*(1+取值表!$D$12)*取值表!$H$12,0)</f>
        <v>554925</v>
      </c>
      <c r="AE185" s="44">
        <f t="shared" ref="AE185:AG185" si="2759">AD185</f>
        <v>554925</v>
      </c>
      <c r="AF185" s="44">
        <f t="shared" si="2759"/>
        <v>554925</v>
      </c>
      <c r="AG185" s="44">
        <f t="shared" si="2759"/>
        <v>554925</v>
      </c>
      <c r="AH185" s="44">
        <f>ROUND(AG185*(1+取值表!$D$12)*取值表!$H$12,0)</f>
        <v>606357</v>
      </c>
      <c r="AI185" s="44">
        <f t="shared" ref="AI185:AK185" si="2760">AH185</f>
        <v>606357</v>
      </c>
      <c r="AJ185" s="44">
        <f t="shared" si="2760"/>
        <v>606357</v>
      </c>
      <c r="AK185" s="44">
        <f t="shared" si="2760"/>
        <v>606357</v>
      </c>
      <c r="AL185" s="44">
        <f>ROUND(AK185*(1+取值表!$D$12)*取值表!$H$12,0)</f>
        <v>662556</v>
      </c>
      <c r="AM185" s="44">
        <f t="shared" ref="AM185:AO185" si="2761">AL185</f>
        <v>662556</v>
      </c>
      <c r="AN185" s="44">
        <f t="shared" si="2761"/>
        <v>662556</v>
      </c>
      <c r="AO185" s="44">
        <f t="shared" si="2761"/>
        <v>662556</v>
      </c>
      <c r="AP185" s="44">
        <f>ROUND(AO185*(1+取值表!$D$12)*取值表!$H$12,0)</f>
        <v>723964</v>
      </c>
      <c r="AQ185" s="44">
        <f t="shared" ref="AQ185:AS185" si="2762">AP185</f>
        <v>723964</v>
      </c>
      <c r="AR185" s="44">
        <f t="shared" si="2762"/>
        <v>723964</v>
      </c>
      <c r="AS185" s="44">
        <f t="shared" si="2762"/>
        <v>723964</v>
      </c>
      <c r="AT185" s="44">
        <f>ROUND(AS185*(1+取值表!$D$12)*取值表!$H$12,0)</f>
        <v>791063</v>
      </c>
      <c r="AU185" s="44">
        <f t="shared" ref="AU185:AW185" si="2763">AT185</f>
        <v>791063</v>
      </c>
      <c r="AV185" s="44">
        <f t="shared" si="2763"/>
        <v>791063</v>
      </c>
      <c r="AW185" s="44">
        <f t="shared" si="2763"/>
        <v>791063</v>
      </c>
      <c r="AX185" s="44">
        <f>ROUND(AW185*(1+取值表!$D$12)*取值表!$H$12,0)</f>
        <v>864381</v>
      </c>
      <c r="AY185" s="44">
        <f t="shared" ref="AY185:BA185" si="2764">AX185</f>
        <v>864381</v>
      </c>
      <c r="AZ185" s="44">
        <f t="shared" si="2764"/>
        <v>864381</v>
      </c>
      <c r="BA185" s="44">
        <f t="shared" si="2764"/>
        <v>864381</v>
      </c>
      <c r="BB185" s="44">
        <f>ROUND(BA185*(1+取值表!$D$12)*取值表!$H$12,0)</f>
        <v>944494</v>
      </c>
      <c r="BC185" s="44">
        <f t="shared" ref="BC185:BE185" si="2765">BB185</f>
        <v>944494</v>
      </c>
      <c r="BD185" s="44">
        <f t="shared" si="2765"/>
        <v>944494</v>
      </c>
      <c r="BE185" s="44">
        <f t="shared" si="2765"/>
        <v>944494</v>
      </c>
      <c r="BF185" s="44">
        <f>ROUND(BE185*(1+取值表!$D$12)*取值表!$H$12,0)</f>
        <v>1032032</v>
      </c>
      <c r="BG185" s="44">
        <f t="shared" ref="BG185:BI185" si="2766">BF185</f>
        <v>1032032</v>
      </c>
      <c r="BH185" s="44">
        <f t="shared" si="2766"/>
        <v>1032032</v>
      </c>
      <c r="BI185" s="44">
        <f t="shared" si="2766"/>
        <v>1032032</v>
      </c>
      <c r="BJ185" s="44">
        <f>ROUND(BI185*(1+取值表!$D$12)*取值表!$H$12,0)</f>
        <v>1127684</v>
      </c>
      <c r="BK185" s="44">
        <f t="shared" ref="BK185:BM185" si="2767">BJ185</f>
        <v>1127684</v>
      </c>
      <c r="BL185" s="44">
        <f t="shared" si="2767"/>
        <v>1127684</v>
      </c>
      <c r="BM185" s="44">
        <f t="shared" si="2767"/>
        <v>1127684</v>
      </c>
      <c r="BN185" s="44">
        <f>ROUND(BM185*(1+取值表!$D$12)*取值表!$H$12,0)</f>
        <v>1232201</v>
      </c>
      <c r="BO185" s="44">
        <f t="shared" ref="BO185:BQ185" si="2768">BN185</f>
        <v>1232201</v>
      </c>
      <c r="BP185" s="44">
        <f t="shared" si="2768"/>
        <v>1232201</v>
      </c>
      <c r="BQ185" s="44">
        <f t="shared" si="2768"/>
        <v>1232201</v>
      </c>
      <c r="BR185" s="44">
        <f>ROUND(BQ185*(1+取值表!$D$12)*取值表!$H$12,0)</f>
        <v>1346405</v>
      </c>
      <c r="BS185" s="44">
        <f t="shared" ref="BS185:BU185" si="2769">BR185</f>
        <v>1346405</v>
      </c>
      <c r="BT185" s="44">
        <f t="shared" si="2769"/>
        <v>1346405</v>
      </c>
      <c r="BU185" s="44">
        <f t="shared" si="2769"/>
        <v>1346405</v>
      </c>
      <c r="BV185" s="44">
        <f>ROUND(BU185*(1+取值表!$D$12)*取值表!$H$12,0)</f>
        <v>1471194</v>
      </c>
      <c r="BW185" s="44">
        <f t="shared" ref="BW185:BY185" si="2770">BV185</f>
        <v>1471194</v>
      </c>
      <c r="BX185" s="44">
        <f t="shared" si="2770"/>
        <v>1471194</v>
      </c>
      <c r="BY185" s="44">
        <f t="shared" si="2770"/>
        <v>1471194</v>
      </c>
      <c r="BZ185" s="44">
        <f>ROUND(BY185*(1+取值表!$D$12)*取值表!$H$12,0)</f>
        <v>1607548</v>
      </c>
      <c r="CA185" s="44">
        <f t="shared" ref="CA185:CC185" si="2771">BZ185</f>
        <v>1607548</v>
      </c>
      <c r="CB185" s="44">
        <f t="shared" si="2771"/>
        <v>1607548</v>
      </c>
      <c r="CC185" s="44">
        <f t="shared" si="2771"/>
        <v>1607548</v>
      </c>
      <c r="CD185" s="44">
        <f>ROUND(CC185*(1+取值表!$D$12)*取值表!$H$12,0)</f>
        <v>1756540</v>
      </c>
      <c r="CE185" s="44">
        <f t="shared" ref="CE185:CG185" si="2772">CD185</f>
        <v>1756540</v>
      </c>
      <c r="CF185" s="44">
        <f t="shared" si="2772"/>
        <v>1756540</v>
      </c>
      <c r="CG185" s="44">
        <f t="shared" si="2772"/>
        <v>1756540</v>
      </c>
      <c r="CH185" s="44">
        <f>ROUND(CG185*(1+取值表!$D$12)*取值表!$H$12,0)</f>
        <v>1919341</v>
      </c>
      <c r="CI185" s="44">
        <f t="shared" ref="CI185:CK185" si="2773">CH185</f>
        <v>1919341</v>
      </c>
      <c r="CJ185" s="44">
        <f t="shared" si="2773"/>
        <v>1919341</v>
      </c>
      <c r="CK185" s="44">
        <f t="shared" si="2773"/>
        <v>1919341</v>
      </c>
      <c r="CL185" s="44">
        <f>ROUND(CK185*(1+取值表!$D$12)*取值表!$H$12,0)</f>
        <v>2097231</v>
      </c>
      <c r="CM185" s="44">
        <f t="shared" ref="CM185:CO185" si="2774">CL185</f>
        <v>2097231</v>
      </c>
      <c r="CN185" s="44">
        <f t="shared" si="2774"/>
        <v>2097231</v>
      </c>
      <c r="CO185" s="44">
        <f t="shared" si="2774"/>
        <v>2097231</v>
      </c>
      <c r="CP185" s="44">
        <f>ROUND(CO185*(1+取值表!$D$12)*取值表!$H$12,0)</f>
        <v>2291608</v>
      </c>
      <c r="CQ185" s="44">
        <f t="shared" ref="CQ185" si="2775">CP185</f>
        <v>2291608</v>
      </c>
      <c r="CR185" s="44">
        <f t="shared" ref="CR185" si="2776">CQ185</f>
        <v>2291608</v>
      </c>
      <c r="CS185" s="44">
        <f t="shared" ref="CS185" si="2777">CR185</f>
        <v>2291608</v>
      </c>
      <c r="CT185" s="44">
        <f>ROUND(CS185*(1+取值表!$D$12)*取值表!$H$12,0)</f>
        <v>2504001</v>
      </c>
      <c r="CU185" s="44">
        <f t="shared" ref="CU185" si="2778">CT185</f>
        <v>2504001</v>
      </c>
      <c r="CV185" s="44">
        <f t="shared" ref="CV185" si="2779">CU185</f>
        <v>2504001</v>
      </c>
      <c r="CW185" s="44">
        <f t="shared" ref="CW185" si="2780">CV185</f>
        <v>2504001</v>
      </c>
      <c r="CX185" s="44">
        <f>ROUND(CW185*(1+取值表!$D$12)*取值表!$H$12,0)</f>
        <v>2736079</v>
      </c>
      <c r="CY185" s="44">
        <f t="shared" ref="CY185" si="2781">CX185</f>
        <v>2736079</v>
      </c>
      <c r="CZ185" s="44">
        <f t="shared" ref="CZ185" si="2782">CY185</f>
        <v>2736079</v>
      </c>
      <c r="DA185" s="44">
        <f t="shared" ref="DA185" si="2783">CZ185</f>
        <v>2736079</v>
      </c>
      <c r="DB185" s="44">
        <f>ROUND(DA185*(1+取值表!$D$12)*取值表!$H$12,0)</f>
        <v>2989666</v>
      </c>
      <c r="DC185" s="44">
        <f t="shared" ref="DC185" si="2784">DB185</f>
        <v>2989666</v>
      </c>
      <c r="DD185" s="44">
        <f t="shared" ref="DD185" si="2785">DC185</f>
        <v>2989666</v>
      </c>
      <c r="DE185" s="44">
        <f t="shared" ref="DE185" si="2786">DD185</f>
        <v>2989666</v>
      </c>
      <c r="DF185" s="45">
        <f t="shared" si="1976"/>
        <v>125766049</v>
      </c>
    </row>
    <row r="186" spans="1:111" s="40" customFormat="1" ht="12">
      <c r="A186" s="517"/>
      <c r="B186" s="518"/>
      <c r="C186" s="450"/>
      <c r="D186" s="451"/>
      <c r="E186" s="452"/>
      <c r="F186" s="446"/>
      <c r="G186" s="446"/>
      <c r="H186" s="447"/>
      <c r="I186" s="41"/>
      <c r="J186" s="42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  <c r="CM186" s="44"/>
      <c r="CN186" s="44"/>
      <c r="CO186" s="44"/>
      <c r="CP186" s="44"/>
      <c r="CQ186" s="44"/>
      <c r="CR186" s="44"/>
      <c r="CS186" s="44"/>
      <c r="CT186" s="44"/>
      <c r="CU186" s="44"/>
      <c r="CV186" s="44"/>
      <c r="CW186" s="44"/>
      <c r="CX186" s="44"/>
      <c r="CY186" s="44"/>
      <c r="CZ186" s="44"/>
      <c r="DA186" s="44"/>
      <c r="DB186" s="44"/>
      <c r="DC186" s="44"/>
      <c r="DD186" s="44"/>
      <c r="DE186" s="44"/>
      <c r="DF186" s="45">
        <f t="shared" si="1976"/>
        <v>0</v>
      </c>
    </row>
    <row r="187" spans="1:111" s="40" customFormat="1" ht="12" customHeight="1">
      <c r="A187" s="516">
        <v>94</v>
      </c>
      <c r="B187" s="518" t="s">
        <v>192</v>
      </c>
      <c r="C187" s="450" t="s">
        <v>740</v>
      </c>
      <c r="D187" s="451" t="s">
        <v>193</v>
      </c>
      <c r="E187" s="452" t="s">
        <v>490</v>
      </c>
      <c r="F187" s="446">
        <v>62.4</v>
      </c>
      <c r="G187" s="446">
        <f>AVERAGE(6.5,7,7.5,7.8)</f>
        <v>7.2</v>
      </c>
      <c r="H187" s="447">
        <f>F187*G187*365</f>
        <v>163987.19999999998</v>
      </c>
      <c r="I187" s="41">
        <v>41737.019999999997</v>
      </c>
      <c r="J187" s="42">
        <f>K187</f>
        <v>39858</v>
      </c>
      <c r="K187" s="44">
        <f>L187</f>
        <v>39858</v>
      </c>
      <c r="L187" s="44">
        <f>ROUND(7*F187*365/4,0)</f>
        <v>39858</v>
      </c>
      <c r="M187" s="44">
        <f>N187</f>
        <v>42705</v>
      </c>
      <c r="N187" s="44">
        <f>O187</f>
        <v>42705</v>
      </c>
      <c r="O187" s="44">
        <f>P187</f>
        <v>42705</v>
      </c>
      <c r="P187" s="44">
        <f>ROUND(7.5*365*F187/4,0)</f>
        <v>42705</v>
      </c>
      <c r="Q187" s="44">
        <f>R187</f>
        <v>44413</v>
      </c>
      <c r="R187" s="44">
        <f>S187</f>
        <v>44413</v>
      </c>
      <c r="S187" s="44">
        <f>T187</f>
        <v>44413</v>
      </c>
      <c r="T187" s="43">
        <f>ROUND(7.8*F187*365/4,0)</f>
        <v>44413</v>
      </c>
      <c r="U187" s="44">
        <f>T187</f>
        <v>44413</v>
      </c>
      <c r="V187" s="44">
        <f>ROUND(U187*(1+取值表!$D$12)*取值表!$H$12,0)</f>
        <v>48529</v>
      </c>
      <c r="W187" s="44">
        <f>V187</f>
        <v>48529</v>
      </c>
      <c r="X187" s="44">
        <f>W187</f>
        <v>48529</v>
      </c>
      <c r="Y187" s="44">
        <f>X187</f>
        <v>48529</v>
      </c>
      <c r="Z187" s="44">
        <f>ROUND(Y187*(1+取值表!$D$12)*取值表!$H$12,0)</f>
        <v>53027</v>
      </c>
      <c r="AA187" s="44">
        <f t="shared" ref="AA187:AC187" si="2787">Z187</f>
        <v>53027</v>
      </c>
      <c r="AB187" s="44">
        <f t="shared" si="2787"/>
        <v>53027</v>
      </c>
      <c r="AC187" s="44">
        <f t="shared" si="2787"/>
        <v>53027</v>
      </c>
      <c r="AD187" s="44">
        <f>ROUND(AC187*(1+取值表!$D$12)*取值表!$H$12,0)</f>
        <v>57942</v>
      </c>
      <c r="AE187" s="44">
        <f t="shared" ref="AE187:AG187" si="2788">AD187</f>
        <v>57942</v>
      </c>
      <c r="AF187" s="44">
        <f t="shared" si="2788"/>
        <v>57942</v>
      </c>
      <c r="AG187" s="44">
        <f t="shared" si="2788"/>
        <v>57942</v>
      </c>
      <c r="AH187" s="44">
        <f>ROUND(AG187*(1+取值表!$D$12)*取值表!$H$12,0)</f>
        <v>63312</v>
      </c>
      <c r="AI187" s="44">
        <f t="shared" ref="AI187:AK187" si="2789">AH187</f>
        <v>63312</v>
      </c>
      <c r="AJ187" s="44">
        <f t="shared" si="2789"/>
        <v>63312</v>
      </c>
      <c r="AK187" s="44">
        <f t="shared" si="2789"/>
        <v>63312</v>
      </c>
      <c r="AL187" s="44">
        <f>ROUND(AK187*(1+取值表!$D$12)*取值表!$H$12,0)</f>
        <v>69180</v>
      </c>
      <c r="AM187" s="44">
        <f t="shared" ref="AM187:AO187" si="2790">AL187</f>
        <v>69180</v>
      </c>
      <c r="AN187" s="44">
        <f t="shared" si="2790"/>
        <v>69180</v>
      </c>
      <c r="AO187" s="44">
        <f t="shared" si="2790"/>
        <v>69180</v>
      </c>
      <c r="AP187" s="44">
        <f>ROUND(AO187*(1+取值表!$D$12)*取值表!$H$12,0)</f>
        <v>75592</v>
      </c>
      <c r="AQ187" s="44">
        <f t="shared" ref="AQ187:AS187" si="2791">AP187</f>
        <v>75592</v>
      </c>
      <c r="AR187" s="44">
        <f t="shared" si="2791"/>
        <v>75592</v>
      </c>
      <c r="AS187" s="44">
        <f t="shared" si="2791"/>
        <v>75592</v>
      </c>
      <c r="AT187" s="44">
        <f>ROUND(AS187*(1+取值表!$D$12)*取值表!$H$12,0)</f>
        <v>82598</v>
      </c>
      <c r="AU187" s="44">
        <f t="shared" ref="AU187:AW187" si="2792">AT187</f>
        <v>82598</v>
      </c>
      <c r="AV187" s="44">
        <f t="shared" si="2792"/>
        <v>82598</v>
      </c>
      <c r="AW187" s="44">
        <f t="shared" si="2792"/>
        <v>82598</v>
      </c>
      <c r="AX187" s="44">
        <f>ROUND(AW187*(1+取值表!$D$12)*取值表!$H$12,0)</f>
        <v>90253</v>
      </c>
      <c r="AY187" s="44">
        <f t="shared" ref="AY187:BA187" si="2793">AX187</f>
        <v>90253</v>
      </c>
      <c r="AZ187" s="44">
        <f t="shared" si="2793"/>
        <v>90253</v>
      </c>
      <c r="BA187" s="44">
        <f t="shared" si="2793"/>
        <v>90253</v>
      </c>
      <c r="BB187" s="44">
        <f>ROUND(BA187*(1+取值表!$D$12)*取值表!$H$12,0)</f>
        <v>98618</v>
      </c>
      <c r="BC187" s="44">
        <f t="shared" ref="BC187:BE187" si="2794">BB187</f>
        <v>98618</v>
      </c>
      <c r="BD187" s="44">
        <f t="shared" si="2794"/>
        <v>98618</v>
      </c>
      <c r="BE187" s="44">
        <f t="shared" si="2794"/>
        <v>98618</v>
      </c>
      <c r="BF187" s="44">
        <f>ROUND(BE187*(1+取值表!$D$12)*取值表!$H$12,0)</f>
        <v>107758</v>
      </c>
      <c r="BG187" s="44">
        <f t="shared" ref="BG187:BI187" si="2795">BF187</f>
        <v>107758</v>
      </c>
      <c r="BH187" s="44">
        <f t="shared" si="2795"/>
        <v>107758</v>
      </c>
      <c r="BI187" s="44">
        <f t="shared" si="2795"/>
        <v>107758</v>
      </c>
      <c r="BJ187" s="44">
        <f>ROUND(BI187*(1+取值表!$D$12)*取值表!$H$12,0)</f>
        <v>117745</v>
      </c>
      <c r="BK187" s="44">
        <f t="shared" ref="BK187:BM187" si="2796">BJ187</f>
        <v>117745</v>
      </c>
      <c r="BL187" s="44">
        <f t="shared" si="2796"/>
        <v>117745</v>
      </c>
      <c r="BM187" s="44">
        <f t="shared" si="2796"/>
        <v>117745</v>
      </c>
      <c r="BN187" s="44">
        <f>ROUND(BM187*(1+取值表!$D$12)*取值表!$H$12,0)</f>
        <v>128658</v>
      </c>
      <c r="BO187" s="44">
        <f t="shared" ref="BO187:BQ187" si="2797">BN187</f>
        <v>128658</v>
      </c>
      <c r="BP187" s="44">
        <f t="shared" si="2797"/>
        <v>128658</v>
      </c>
      <c r="BQ187" s="44">
        <f t="shared" si="2797"/>
        <v>128658</v>
      </c>
      <c r="BR187" s="44">
        <f>ROUND(BQ187*(1+取值表!$D$12)*取值表!$H$12,0)</f>
        <v>140582</v>
      </c>
      <c r="BS187" s="44">
        <f t="shared" ref="BS187:BU187" si="2798">BR187</f>
        <v>140582</v>
      </c>
      <c r="BT187" s="44">
        <f t="shared" si="2798"/>
        <v>140582</v>
      </c>
      <c r="BU187" s="44">
        <f t="shared" si="2798"/>
        <v>140582</v>
      </c>
      <c r="BV187" s="44">
        <f>ROUND(BU187*(1+取值表!$D$12)*取值表!$H$12,0)</f>
        <v>153612</v>
      </c>
      <c r="BW187" s="44">
        <f t="shared" ref="BW187:BY187" si="2799">BV187</f>
        <v>153612</v>
      </c>
      <c r="BX187" s="44">
        <f t="shared" si="2799"/>
        <v>153612</v>
      </c>
      <c r="BY187" s="44">
        <f t="shared" si="2799"/>
        <v>153612</v>
      </c>
      <c r="BZ187" s="44">
        <f>ROUND(BY187*(1+取值表!$D$12)*取值表!$H$12,0)</f>
        <v>167849</v>
      </c>
      <c r="CA187" s="44">
        <f t="shared" ref="CA187:CC187" si="2800">BZ187</f>
        <v>167849</v>
      </c>
      <c r="CB187" s="44">
        <f t="shared" si="2800"/>
        <v>167849</v>
      </c>
      <c r="CC187" s="44">
        <f t="shared" si="2800"/>
        <v>167849</v>
      </c>
      <c r="CD187" s="44">
        <f>ROUND(CC187*(1+取值表!$D$12)*取值表!$H$12,0)</f>
        <v>183406</v>
      </c>
      <c r="CE187" s="44">
        <f t="shared" ref="CE187:CG187" si="2801">CD187</f>
        <v>183406</v>
      </c>
      <c r="CF187" s="44">
        <f t="shared" si="2801"/>
        <v>183406</v>
      </c>
      <c r="CG187" s="44">
        <f t="shared" si="2801"/>
        <v>183406</v>
      </c>
      <c r="CH187" s="44">
        <f>ROUND(CG187*(1+取值表!$D$12)*取值表!$H$12,0)</f>
        <v>200405</v>
      </c>
      <c r="CI187" s="44">
        <f t="shared" ref="CI187:CK187" si="2802">CH187</f>
        <v>200405</v>
      </c>
      <c r="CJ187" s="44">
        <f t="shared" si="2802"/>
        <v>200405</v>
      </c>
      <c r="CK187" s="44">
        <f t="shared" si="2802"/>
        <v>200405</v>
      </c>
      <c r="CL187" s="44">
        <f>ROUND(CK187*(1+取值表!$D$12)*取值表!$H$12,0)</f>
        <v>218979</v>
      </c>
      <c r="CM187" s="44">
        <f t="shared" ref="CM187:CO187" si="2803">CL187</f>
        <v>218979</v>
      </c>
      <c r="CN187" s="44">
        <f t="shared" si="2803"/>
        <v>218979</v>
      </c>
      <c r="CO187" s="44">
        <f t="shared" si="2803"/>
        <v>218979</v>
      </c>
      <c r="CP187" s="44">
        <f>ROUND(CO187*(1+取值表!$D$12)*取值表!$H$12,0)</f>
        <v>239275</v>
      </c>
      <c r="CQ187" s="44">
        <f t="shared" ref="CQ187" si="2804">CP187</f>
        <v>239275</v>
      </c>
      <c r="CR187" s="44">
        <f t="shared" ref="CR187" si="2805">CQ187</f>
        <v>239275</v>
      </c>
      <c r="CS187" s="44">
        <f t="shared" ref="CS187" si="2806">CR187</f>
        <v>239275</v>
      </c>
      <c r="CT187" s="44">
        <f>ROUND(CS187*(1+取值表!$D$12)*取值表!$H$12,0)</f>
        <v>261452</v>
      </c>
      <c r="CU187" s="44">
        <f t="shared" ref="CU187" si="2807">CT187</f>
        <v>261452</v>
      </c>
      <c r="CV187" s="44">
        <f t="shared" ref="CV187" si="2808">CU187</f>
        <v>261452</v>
      </c>
      <c r="CW187" s="44">
        <f t="shared" ref="CW187" si="2809">CV187</f>
        <v>261452</v>
      </c>
      <c r="CX187" s="44">
        <f>ROUND(CW187*(1+取值表!$D$12)*取值表!$H$12,0)</f>
        <v>285684</v>
      </c>
      <c r="CY187" s="44">
        <f t="shared" ref="CY187" si="2810">CX187</f>
        <v>285684</v>
      </c>
      <c r="CZ187" s="44">
        <f t="shared" ref="CZ187" si="2811">CY187</f>
        <v>285684</v>
      </c>
      <c r="DA187" s="44">
        <f t="shared" ref="DA187" si="2812">CZ187</f>
        <v>285684</v>
      </c>
      <c r="DB187" s="44">
        <f>ROUND(DA187*(1+取值表!$D$12)*取值表!$H$12,0)</f>
        <v>312162</v>
      </c>
      <c r="DC187" s="44">
        <f t="shared" ref="DC187" si="2813">DB187</f>
        <v>312162</v>
      </c>
      <c r="DD187" s="44">
        <f t="shared" ref="DD187" si="2814">DC187</f>
        <v>312162</v>
      </c>
      <c r="DE187" s="44">
        <f t="shared" ref="DE187" si="2815">DD187</f>
        <v>312162</v>
      </c>
      <c r="DF187" s="45">
        <f t="shared" si="1976"/>
        <v>13138931</v>
      </c>
    </row>
    <row r="188" spans="1:111" s="40" customFormat="1" ht="12">
      <c r="A188" s="517"/>
      <c r="B188" s="518"/>
      <c r="C188" s="450"/>
      <c r="D188" s="451"/>
      <c r="E188" s="452"/>
      <c r="F188" s="446"/>
      <c r="G188" s="446"/>
      <c r="H188" s="447"/>
      <c r="I188" s="41"/>
      <c r="J188" s="42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  <c r="CM188" s="44"/>
      <c r="CN188" s="44"/>
      <c r="CO188" s="44"/>
      <c r="CP188" s="44"/>
      <c r="CQ188" s="44"/>
      <c r="CR188" s="44"/>
      <c r="CS188" s="44"/>
      <c r="CT188" s="44"/>
      <c r="CU188" s="44"/>
      <c r="CV188" s="44"/>
      <c r="CW188" s="44"/>
      <c r="CX188" s="44"/>
      <c r="CY188" s="44"/>
      <c r="CZ188" s="44"/>
      <c r="DA188" s="44"/>
      <c r="DB188" s="44"/>
      <c r="DC188" s="44"/>
      <c r="DD188" s="44"/>
      <c r="DE188" s="44"/>
      <c r="DF188" s="45">
        <f t="shared" si="1976"/>
        <v>0</v>
      </c>
    </row>
    <row r="189" spans="1:111" s="40" customFormat="1" ht="12" customHeight="1">
      <c r="A189" s="516">
        <v>95</v>
      </c>
      <c r="B189" s="518" t="s">
        <v>194</v>
      </c>
      <c r="C189" s="450" t="s">
        <v>740</v>
      </c>
      <c r="D189" s="451" t="s">
        <v>191</v>
      </c>
      <c r="E189" s="452" t="s">
        <v>490</v>
      </c>
      <c r="F189" s="446">
        <v>582.67999999999995</v>
      </c>
      <c r="G189" s="446">
        <f>AVERAGE(6.5,7,7.5,8)</f>
        <v>7.25</v>
      </c>
      <c r="H189" s="447">
        <f>F189*G189*365</f>
        <v>1541916.9499999997</v>
      </c>
      <c r="I189" s="41">
        <v>380693.98</v>
      </c>
      <c r="J189" s="42">
        <f>K189</f>
        <v>372187</v>
      </c>
      <c r="K189" s="44">
        <f>L189</f>
        <v>372187</v>
      </c>
      <c r="L189" s="44">
        <f>ROUND(7*F189*365/4,0)</f>
        <v>372187</v>
      </c>
      <c r="M189" s="44">
        <f>N189</f>
        <v>398772</v>
      </c>
      <c r="N189" s="44">
        <f>O189</f>
        <v>398772</v>
      </c>
      <c r="O189" s="44">
        <f>P189</f>
        <v>398772</v>
      </c>
      <c r="P189" s="44">
        <f>ROUND(7.5*365*F189/4,0)</f>
        <v>398772</v>
      </c>
      <c r="Q189" s="44">
        <f>R189</f>
        <v>425356</v>
      </c>
      <c r="R189" s="44">
        <f>S189</f>
        <v>425356</v>
      </c>
      <c r="S189" s="44">
        <f>T189</f>
        <v>425356</v>
      </c>
      <c r="T189" s="43">
        <f>ROUND(8*F189*365/4,0)</f>
        <v>425356</v>
      </c>
      <c r="U189" s="44">
        <f>T189</f>
        <v>425356</v>
      </c>
      <c r="V189" s="44">
        <f>ROUND(U189*(1+取值表!$D$12)*取值表!$H$12,0)</f>
        <v>464779</v>
      </c>
      <c r="W189" s="44">
        <f>V189</f>
        <v>464779</v>
      </c>
      <c r="X189" s="44">
        <f>W189</f>
        <v>464779</v>
      </c>
      <c r="Y189" s="44">
        <f>X189</f>
        <v>464779</v>
      </c>
      <c r="Z189" s="44">
        <f>ROUND(Y189*(1+取值表!$D$12)*取值表!$H$12,0)</f>
        <v>507856</v>
      </c>
      <c r="AA189" s="44">
        <f t="shared" ref="AA189:AC189" si="2816">Z189</f>
        <v>507856</v>
      </c>
      <c r="AB189" s="44">
        <f t="shared" si="2816"/>
        <v>507856</v>
      </c>
      <c r="AC189" s="44">
        <f t="shared" si="2816"/>
        <v>507856</v>
      </c>
      <c r="AD189" s="44">
        <f>ROUND(AC189*(1+取值表!$D$12)*取值表!$H$12,0)</f>
        <v>554925</v>
      </c>
      <c r="AE189" s="44">
        <f t="shared" ref="AE189:AG189" si="2817">AD189</f>
        <v>554925</v>
      </c>
      <c r="AF189" s="44">
        <f t="shared" si="2817"/>
        <v>554925</v>
      </c>
      <c r="AG189" s="44">
        <f t="shared" si="2817"/>
        <v>554925</v>
      </c>
      <c r="AH189" s="44">
        <f>ROUND(AG189*(1+取值表!$D$12)*取值表!$H$12,0)</f>
        <v>606357</v>
      </c>
      <c r="AI189" s="44">
        <f t="shared" ref="AI189:AK189" si="2818">AH189</f>
        <v>606357</v>
      </c>
      <c r="AJ189" s="44">
        <f t="shared" si="2818"/>
        <v>606357</v>
      </c>
      <c r="AK189" s="44">
        <f t="shared" si="2818"/>
        <v>606357</v>
      </c>
      <c r="AL189" s="44">
        <f>ROUND(AK189*(1+取值表!$D$12)*取值表!$H$12,0)</f>
        <v>662556</v>
      </c>
      <c r="AM189" s="44">
        <f t="shared" ref="AM189:AO189" si="2819">AL189</f>
        <v>662556</v>
      </c>
      <c r="AN189" s="44">
        <f t="shared" si="2819"/>
        <v>662556</v>
      </c>
      <c r="AO189" s="44">
        <f t="shared" si="2819"/>
        <v>662556</v>
      </c>
      <c r="AP189" s="44">
        <f>ROUND(AO189*(1+取值表!$D$12)*取值表!$H$12,0)</f>
        <v>723964</v>
      </c>
      <c r="AQ189" s="44">
        <f t="shared" ref="AQ189:AS189" si="2820">AP189</f>
        <v>723964</v>
      </c>
      <c r="AR189" s="44">
        <f t="shared" si="2820"/>
        <v>723964</v>
      </c>
      <c r="AS189" s="44">
        <f t="shared" si="2820"/>
        <v>723964</v>
      </c>
      <c r="AT189" s="44">
        <f>ROUND(AS189*(1+取值表!$D$12)*取值表!$H$12,0)</f>
        <v>791063</v>
      </c>
      <c r="AU189" s="44">
        <f t="shared" ref="AU189:AW189" si="2821">AT189</f>
        <v>791063</v>
      </c>
      <c r="AV189" s="44">
        <f t="shared" si="2821"/>
        <v>791063</v>
      </c>
      <c r="AW189" s="44">
        <f t="shared" si="2821"/>
        <v>791063</v>
      </c>
      <c r="AX189" s="44">
        <f>ROUND(AW189*(1+取值表!$D$12)*取值表!$H$12,0)</f>
        <v>864381</v>
      </c>
      <c r="AY189" s="44">
        <f t="shared" ref="AY189:BA189" si="2822">AX189</f>
        <v>864381</v>
      </c>
      <c r="AZ189" s="44">
        <f t="shared" si="2822"/>
        <v>864381</v>
      </c>
      <c r="BA189" s="44">
        <f t="shared" si="2822"/>
        <v>864381</v>
      </c>
      <c r="BB189" s="44">
        <f>ROUND(BA189*(1+取值表!$D$12)*取值表!$H$12,0)</f>
        <v>944494</v>
      </c>
      <c r="BC189" s="44">
        <f t="shared" ref="BC189:BE189" si="2823">BB189</f>
        <v>944494</v>
      </c>
      <c r="BD189" s="44">
        <f t="shared" si="2823"/>
        <v>944494</v>
      </c>
      <c r="BE189" s="44">
        <f t="shared" si="2823"/>
        <v>944494</v>
      </c>
      <c r="BF189" s="44">
        <f>ROUND(BE189*(1+取值表!$D$12)*取值表!$H$12,0)</f>
        <v>1032032</v>
      </c>
      <c r="BG189" s="44">
        <f t="shared" ref="BG189:BI189" si="2824">BF189</f>
        <v>1032032</v>
      </c>
      <c r="BH189" s="44">
        <f t="shared" si="2824"/>
        <v>1032032</v>
      </c>
      <c r="BI189" s="44">
        <f t="shared" si="2824"/>
        <v>1032032</v>
      </c>
      <c r="BJ189" s="44">
        <f>ROUND(BI189*(1+取值表!$D$12)*取值表!$H$12,0)</f>
        <v>1127684</v>
      </c>
      <c r="BK189" s="44">
        <f t="shared" ref="BK189:BM189" si="2825">BJ189</f>
        <v>1127684</v>
      </c>
      <c r="BL189" s="44">
        <f t="shared" si="2825"/>
        <v>1127684</v>
      </c>
      <c r="BM189" s="44">
        <f t="shared" si="2825"/>
        <v>1127684</v>
      </c>
      <c r="BN189" s="44">
        <f>ROUND(BM189*(1+取值表!$D$12)*取值表!$H$12,0)</f>
        <v>1232201</v>
      </c>
      <c r="BO189" s="44">
        <f t="shared" ref="BO189:BQ189" si="2826">BN189</f>
        <v>1232201</v>
      </c>
      <c r="BP189" s="44">
        <f t="shared" si="2826"/>
        <v>1232201</v>
      </c>
      <c r="BQ189" s="44">
        <f t="shared" si="2826"/>
        <v>1232201</v>
      </c>
      <c r="BR189" s="44">
        <f>ROUND(BQ189*(1+取值表!$D$12)*取值表!$H$12,0)</f>
        <v>1346405</v>
      </c>
      <c r="BS189" s="44">
        <f t="shared" ref="BS189:BU189" si="2827">BR189</f>
        <v>1346405</v>
      </c>
      <c r="BT189" s="44">
        <f t="shared" si="2827"/>
        <v>1346405</v>
      </c>
      <c r="BU189" s="44">
        <f t="shared" si="2827"/>
        <v>1346405</v>
      </c>
      <c r="BV189" s="44">
        <f>ROUND(BU189*(1+取值表!$D$12)*取值表!$H$12,0)</f>
        <v>1471194</v>
      </c>
      <c r="BW189" s="44">
        <f t="shared" ref="BW189:BY189" si="2828">BV189</f>
        <v>1471194</v>
      </c>
      <c r="BX189" s="44">
        <f t="shared" si="2828"/>
        <v>1471194</v>
      </c>
      <c r="BY189" s="44">
        <f t="shared" si="2828"/>
        <v>1471194</v>
      </c>
      <c r="BZ189" s="44">
        <f>ROUND(BY189*(1+取值表!$D$12)*取值表!$H$12,0)</f>
        <v>1607548</v>
      </c>
      <c r="CA189" s="44">
        <f t="shared" ref="CA189:CC189" si="2829">BZ189</f>
        <v>1607548</v>
      </c>
      <c r="CB189" s="44">
        <f t="shared" si="2829"/>
        <v>1607548</v>
      </c>
      <c r="CC189" s="44">
        <f t="shared" si="2829"/>
        <v>1607548</v>
      </c>
      <c r="CD189" s="44">
        <f>ROUND(CC189*(1+取值表!$D$12)*取值表!$H$12,0)</f>
        <v>1756540</v>
      </c>
      <c r="CE189" s="44">
        <f t="shared" ref="CE189:CG189" si="2830">CD189</f>
        <v>1756540</v>
      </c>
      <c r="CF189" s="44">
        <f t="shared" si="2830"/>
        <v>1756540</v>
      </c>
      <c r="CG189" s="44">
        <f t="shared" si="2830"/>
        <v>1756540</v>
      </c>
      <c r="CH189" s="44">
        <f>ROUND(CG189*(1+取值表!$D$12)*取值表!$H$12,0)</f>
        <v>1919341</v>
      </c>
      <c r="CI189" s="44">
        <f t="shared" ref="CI189:CK189" si="2831">CH189</f>
        <v>1919341</v>
      </c>
      <c r="CJ189" s="44">
        <f t="shared" si="2831"/>
        <v>1919341</v>
      </c>
      <c r="CK189" s="44">
        <f t="shared" si="2831"/>
        <v>1919341</v>
      </c>
      <c r="CL189" s="44">
        <f>ROUND(CK189*(1+取值表!$D$12)*取值表!$H$12,0)</f>
        <v>2097231</v>
      </c>
      <c r="CM189" s="44">
        <f t="shared" ref="CM189:CO189" si="2832">CL189</f>
        <v>2097231</v>
      </c>
      <c r="CN189" s="44">
        <f t="shared" si="2832"/>
        <v>2097231</v>
      </c>
      <c r="CO189" s="44">
        <f t="shared" si="2832"/>
        <v>2097231</v>
      </c>
      <c r="CP189" s="44">
        <f>ROUND(CO189*(1+取值表!$D$12)*取值表!$H$12,0)</f>
        <v>2291608</v>
      </c>
      <c r="CQ189" s="44">
        <f t="shared" ref="CQ189" si="2833">CP189</f>
        <v>2291608</v>
      </c>
      <c r="CR189" s="44">
        <f t="shared" ref="CR189" si="2834">CQ189</f>
        <v>2291608</v>
      </c>
      <c r="CS189" s="44">
        <f t="shared" ref="CS189" si="2835">CR189</f>
        <v>2291608</v>
      </c>
      <c r="CT189" s="44">
        <f>ROUND(CS189*(1+取值表!$D$12)*取值表!$H$12,0)</f>
        <v>2504001</v>
      </c>
      <c r="CU189" s="44">
        <f t="shared" ref="CU189" si="2836">CT189</f>
        <v>2504001</v>
      </c>
      <c r="CV189" s="44">
        <f t="shared" ref="CV189" si="2837">CU189</f>
        <v>2504001</v>
      </c>
      <c r="CW189" s="44">
        <f t="shared" ref="CW189" si="2838">CV189</f>
        <v>2504001</v>
      </c>
      <c r="CX189" s="44">
        <f>ROUND(CW189*(1+取值表!$D$12)*取值表!$H$12,0)</f>
        <v>2736079</v>
      </c>
      <c r="CY189" s="44">
        <f t="shared" ref="CY189" si="2839">CX189</f>
        <v>2736079</v>
      </c>
      <c r="CZ189" s="44">
        <f t="shared" ref="CZ189" si="2840">CY189</f>
        <v>2736079</v>
      </c>
      <c r="DA189" s="44">
        <f t="shared" ref="DA189" si="2841">CZ189</f>
        <v>2736079</v>
      </c>
      <c r="DB189" s="44">
        <f>ROUND(DA189*(1+取值表!$D$12)*取值表!$H$12,0)</f>
        <v>2989666</v>
      </c>
      <c r="DC189" s="44">
        <f t="shared" ref="DC189" si="2842">DB189</f>
        <v>2989666</v>
      </c>
      <c r="DD189" s="44">
        <f t="shared" ref="DD189" si="2843">DC189</f>
        <v>2989666</v>
      </c>
      <c r="DE189" s="44">
        <f t="shared" ref="DE189" si="2844">DD189</f>
        <v>2989666</v>
      </c>
      <c r="DF189" s="45">
        <f t="shared" si="1976"/>
        <v>125766049</v>
      </c>
    </row>
    <row r="190" spans="1:111" s="40" customFormat="1" ht="12">
      <c r="A190" s="517"/>
      <c r="B190" s="518"/>
      <c r="C190" s="450"/>
      <c r="D190" s="451"/>
      <c r="E190" s="452"/>
      <c r="F190" s="446"/>
      <c r="G190" s="446"/>
      <c r="H190" s="447"/>
      <c r="I190" s="41"/>
      <c r="J190" s="42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  <c r="CM190" s="44"/>
      <c r="CN190" s="44"/>
      <c r="CO190" s="44"/>
      <c r="CP190" s="44"/>
      <c r="CQ190" s="44"/>
      <c r="CR190" s="44"/>
      <c r="CS190" s="44"/>
      <c r="CT190" s="44"/>
      <c r="CU190" s="44"/>
      <c r="CV190" s="44"/>
      <c r="CW190" s="44"/>
      <c r="CX190" s="44"/>
      <c r="CY190" s="44"/>
      <c r="CZ190" s="44"/>
      <c r="DA190" s="44"/>
      <c r="DB190" s="44"/>
      <c r="DC190" s="44"/>
      <c r="DD190" s="44"/>
      <c r="DE190" s="44"/>
      <c r="DF190" s="45">
        <f t="shared" si="1976"/>
        <v>0</v>
      </c>
    </row>
    <row r="191" spans="1:111" s="40" customFormat="1" ht="12" customHeight="1">
      <c r="A191" s="516">
        <v>96</v>
      </c>
      <c r="B191" s="518" t="s">
        <v>195</v>
      </c>
      <c r="C191" s="450" t="s">
        <v>741</v>
      </c>
      <c r="D191" s="451" t="s">
        <v>196</v>
      </c>
      <c r="E191" s="452" t="s">
        <v>490</v>
      </c>
      <c r="F191" s="446">
        <v>360.43</v>
      </c>
      <c r="G191" s="446">
        <f>AVERAGE(7,7.5,8)</f>
        <v>7.5</v>
      </c>
      <c r="H191" s="447">
        <f>F191*G191*365</f>
        <v>986677.125</v>
      </c>
      <c r="I191" s="41">
        <v>250944.88</v>
      </c>
      <c r="J191" s="42">
        <f>K191</f>
        <v>246669</v>
      </c>
      <c r="K191" s="44">
        <f>L191</f>
        <v>246669</v>
      </c>
      <c r="L191" s="44">
        <f>ROUND(7.5*F191*365/4,0)</f>
        <v>246669</v>
      </c>
      <c r="M191" s="44">
        <f>N191</f>
        <v>263114</v>
      </c>
      <c r="N191" s="44">
        <f>O191</f>
        <v>263114</v>
      </c>
      <c r="O191" s="44">
        <f>P191</f>
        <v>263114</v>
      </c>
      <c r="P191" s="43">
        <f>ROUND(8*F191*365/4,0)</f>
        <v>263114</v>
      </c>
      <c r="Q191" s="44">
        <f>P191</f>
        <v>263114</v>
      </c>
      <c r="R191" s="44">
        <f>ROUND(Q191*(1+取值表!$D$12)*取值表!$H$12,0)</f>
        <v>287500</v>
      </c>
      <c r="S191" s="44">
        <f>R191</f>
        <v>287500</v>
      </c>
      <c r="T191" s="44">
        <f>S191</f>
        <v>287500</v>
      </c>
      <c r="U191" s="44">
        <f>T191</f>
        <v>287500</v>
      </c>
      <c r="V191" s="44">
        <f>ROUND(U191*(1+取值表!$D$12)*取值表!$H$12,0)</f>
        <v>314146</v>
      </c>
      <c r="W191" s="44">
        <f>V191</f>
        <v>314146</v>
      </c>
      <c r="X191" s="44">
        <f>W191</f>
        <v>314146</v>
      </c>
      <c r="Y191" s="44">
        <f>X191</f>
        <v>314146</v>
      </c>
      <c r="Z191" s="44">
        <f>ROUND(Y191*(1+取值表!$D$12)*取值表!$H$12,0)</f>
        <v>343262</v>
      </c>
      <c r="AA191" s="44">
        <f t="shared" ref="AA191:AC191" si="2845">Z191</f>
        <v>343262</v>
      </c>
      <c r="AB191" s="44">
        <f t="shared" si="2845"/>
        <v>343262</v>
      </c>
      <c r="AC191" s="44">
        <f t="shared" si="2845"/>
        <v>343262</v>
      </c>
      <c r="AD191" s="44">
        <f>ROUND(AC191*(1+取值表!$D$12)*取值表!$H$12,0)</f>
        <v>375076</v>
      </c>
      <c r="AE191" s="44">
        <f t="shared" ref="AE191:AG191" si="2846">AD191</f>
        <v>375076</v>
      </c>
      <c r="AF191" s="44">
        <f t="shared" si="2846"/>
        <v>375076</v>
      </c>
      <c r="AG191" s="44">
        <f t="shared" si="2846"/>
        <v>375076</v>
      </c>
      <c r="AH191" s="44">
        <f>ROUND(AG191*(1+取值表!$D$12)*取值表!$H$12,0)</f>
        <v>409839</v>
      </c>
      <c r="AI191" s="44">
        <f t="shared" ref="AI191:AK191" si="2847">AH191</f>
        <v>409839</v>
      </c>
      <c r="AJ191" s="44">
        <f t="shared" si="2847"/>
        <v>409839</v>
      </c>
      <c r="AK191" s="44">
        <f t="shared" si="2847"/>
        <v>409839</v>
      </c>
      <c r="AL191" s="44">
        <f>ROUND(AK191*(1+取值表!$D$12)*取值表!$H$12,0)</f>
        <v>447824</v>
      </c>
      <c r="AM191" s="44">
        <f t="shared" ref="AM191:AO191" si="2848">AL191</f>
        <v>447824</v>
      </c>
      <c r="AN191" s="44">
        <f t="shared" si="2848"/>
        <v>447824</v>
      </c>
      <c r="AO191" s="44">
        <f t="shared" si="2848"/>
        <v>447824</v>
      </c>
      <c r="AP191" s="44">
        <f>ROUND(AO191*(1+取值表!$D$12)*取值表!$H$12,0)</f>
        <v>489330</v>
      </c>
      <c r="AQ191" s="44">
        <f t="shared" ref="AQ191:AS191" si="2849">AP191</f>
        <v>489330</v>
      </c>
      <c r="AR191" s="44">
        <f t="shared" si="2849"/>
        <v>489330</v>
      </c>
      <c r="AS191" s="44">
        <f t="shared" si="2849"/>
        <v>489330</v>
      </c>
      <c r="AT191" s="44">
        <f>ROUND(AS191*(1+取值表!$D$12)*取值表!$H$12,0)</f>
        <v>534682</v>
      </c>
      <c r="AU191" s="44">
        <f t="shared" ref="AU191:AW191" si="2850">AT191</f>
        <v>534682</v>
      </c>
      <c r="AV191" s="44">
        <f t="shared" si="2850"/>
        <v>534682</v>
      </c>
      <c r="AW191" s="44">
        <f t="shared" si="2850"/>
        <v>534682</v>
      </c>
      <c r="AX191" s="44">
        <f>ROUND(AW191*(1+取值表!$D$12)*取值表!$H$12,0)</f>
        <v>584238</v>
      </c>
      <c r="AY191" s="44">
        <f t="shared" ref="AY191:BA191" si="2851">AX191</f>
        <v>584238</v>
      </c>
      <c r="AZ191" s="44">
        <f t="shared" si="2851"/>
        <v>584238</v>
      </c>
      <c r="BA191" s="44">
        <f t="shared" si="2851"/>
        <v>584238</v>
      </c>
      <c r="BB191" s="44">
        <f>ROUND(BA191*(1+取值表!$D$12)*取值表!$H$12,0)</f>
        <v>638387</v>
      </c>
      <c r="BC191" s="44">
        <f t="shared" ref="BC191:BE191" si="2852">BB191</f>
        <v>638387</v>
      </c>
      <c r="BD191" s="44">
        <f t="shared" si="2852"/>
        <v>638387</v>
      </c>
      <c r="BE191" s="44">
        <f t="shared" si="2852"/>
        <v>638387</v>
      </c>
      <c r="BF191" s="44">
        <f>ROUND(BE191*(1+取值表!$D$12)*取值表!$H$12,0)</f>
        <v>697554</v>
      </c>
      <c r="BG191" s="44">
        <f t="shared" ref="BG191:BI191" si="2853">BF191</f>
        <v>697554</v>
      </c>
      <c r="BH191" s="44">
        <f t="shared" si="2853"/>
        <v>697554</v>
      </c>
      <c r="BI191" s="44">
        <f t="shared" si="2853"/>
        <v>697554</v>
      </c>
      <c r="BJ191" s="44">
        <f>ROUND(BI191*(1+取值表!$D$12)*取值表!$H$12,0)</f>
        <v>762205</v>
      </c>
      <c r="BK191" s="44">
        <f t="shared" ref="BK191:BM191" si="2854">BJ191</f>
        <v>762205</v>
      </c>
      <c r="BL191" s="44">
        <f t="shared" si="2854"/>
        <v>762205</v>
      </c>
      <c r="BM191" s="44">
        <f t="shared" si="2854"/>
        <v>762205</v>
      </c>
      <c r="BN191" s="44">
        <f>ROUND(BM191*(1+取值表!$D$12)*取值表!$H$12,0)</f>
        <v>832848</v>
      </c>
      <c r="BO191" s="44">
        <f t="shared" ref="BO191:BQ191" si="2855">BN191</f>
        <v>832848</v>
      </c>
      <c r="BP191" s="44">
        <f t="shared" si="2855"/>
        <v>832848</v>
      </c>
      <c r="BQ191" s="44">
        <f t="shared" si="2855"/>
        <v>832848</v>
      </c>
      <c r="BR191" s="44">
        <f>ROUND(BQ191*(1+取值表!$D$12)*取值表!$H$12,0)</f>
        <v>910039</v>
      </c>
      <c r="BS191" s="44">
        <f t="shared" ref="BS191:BU191" si="2856">BR191</f>
        <v>910039</v>
      </c>
      <c r="BT191" s="44">
        <f t="shared" si="2856"/>
        <v>910039</v>
      </c>
      <c r="BU191" s="44">
        <f t="shared" si="2856"/>
        <v>910039</v>
      </c>
      <c r="BV191" s="44">
        <f>ROUND(BU191*(1+取值表!$D$12)*取值表!$H$12,0)</f>
        <v>994384</v>
      </c>
      <c r="BW191" s="44">
        <f t="shared" ref="BW191:BY191" si="2857">BV191</f>
        <v>994384</v>
      </c>
      <c r="BX191" s="44">
        <f t="shared" si="2857"/>
        <v>994384</v>
      </c>
      <c r="BY191" s="44">
        <f t="shared" si="2857"/>
        <v>994384</v>
      </c>
      <c r="BZ191" s="44">
        <f>ROUND(BY191*(1+取值表!$D$12)*取值表!$H$12,0)</f>
        <v>1086546</v>
      </c>
      <c r="CA191" s="44">
        <f t="shared" ref="CA191:CC191" si="2858">BZ191</f>
        <v>1086546</v>
      </c>
      <c r="CB191" s="44">
        <f t="shared" si="2858"/>
        <v>1086546</v>
      </c>
      <c r="CC191" s="44">
        <f t="shared" si="2858"/>
        <v>1086546</v>
      </c>
      <c r="CD191" s="44">
        <f>ROUND(CC191*(1+取值表!$D$12)*取值表!$H$12,0)</f>
        <v>1187250</v>
      </c>
      <c r="CE191" s="44">
        <f t="shared" ref="CE191:CG191" si="2859">CD191</f>
        <v>1187250</v>
      </c>
      <c r="CF191" s="44">
        <f t="shared" si="2859"/>
        <v>1187250</v>
      </c>
      <c r="CG191" s="44">
        <f t="shared" si="2859"/>
        <v>1187250</v>
      </c>
      <c r="CH191" s="44">
        <f>ROUND(CG191*(1+取值表!$D$12)*取值表!$H$12,0)</f>
        <v>1297288</v>
      </c>
      <c r="CI191" s="44">
        <f t="shared" ref="CI191:CK191" si="2860">CH191</f>
        <v>1297288</v>
      </c>
      <c r="CJ191" s="44">
        <f t="shared" si="2860"/>
        <v>1297288</v>
      </c>
      <c r="CK191" s="44">
        <f t="shared" si="2860"/>
        <v>1297288</v>
      </c>
      <c r="CL191" s="44">
        <f>ROUND(CK191*(1+取值表!$D$12)*取值表!$H$12,0)</f>
        <v>1417524</v>
      </c>
      <c r="CM191" s="44">
        <f t="shared" ref="CM191:CO191" si="2861">CL191</f>
        <v>1417524</v>
      </c>
      <c r="CN191" s="44">
        <f t="shared" si="2861"/>
        <v>1417524</v>
      </c>
      <c r="CO191" s="44">
        <f t="shared" si="2861"/>
        <v>1417524</v>
      </c>
      <c r="CP191" s="44">
        <f>ROUND(CO191*(1+取值表!$D$12)*取值表!$H$12,0)</f>
        <v>1548904</v>
      </c>
      <c r="CQ191" s="44">
        <f t="shared" ref="CQ191" si="2862">CP191</f>
        <v>1548904</v>
      </c>
      <c r="CR191" s="44">
        <f t="shared" ref="CR191" si="2863">CQ191</f>
        <v>1548904</v>
      </c>
      <c r="CS191" s="44">
        <f t="shared" ref="CS191" si="2864">CR191</f>
        <v>1548904</v>
      </c>
      <c r="CT191" s="44">
        <f>ROUND(CS191*(1+取值表!$D$12)*取值表!$H$12,0)</f>
        <v>1692461</v>
      </c>
      <c r="CU191" s="44">
        <f t="shared" ref="CU191" si="2865">CT191</f>
        <v>1692461</v>
      </c>
      <c r="CV191" s="44">
        <f t="shared" ref="CV191" si="2866">CU191</f>
        <v>1692461</v>
      </c>
      <c r="CW191" s="44">
        <f t="shared" ref="CW191" si="2867">CV191</f>
        <v>1692461</v>
      </c>
      <c r="CX191" s="44">
        <f>ROUND(CW191*(1+取值表!$D$12)*取值表!$H$12,0)</f>
        <v>1849323</v>
      </c>
      <c r="CY191" s="44">
        <f t="shared" ref="CY191" si="2868">CX191</f>
        <v>1849323</v>
      </c>
      <c r="CZ191" s="44">
        <f t="shared" ref="CZ191" si="2869">CY191</f>
        <v>1849323</v>
      </c>
      <c r="DA191" s="44">
        <f t="shared" ref="DA191" si="2870">CZ191</f>
        <v>1849323</v>
      </c>
      <c r="DB191" s="44">
        <f>ROUND(DA191*(1+取值表!$D$12)*取值表!$H$12,0)</f>
        <v>2020723</v>
      </c>
      <c r="DC191" s="44">
        <f t="shared" ref="DC191" si="2871">DB191</f>
        <v>2020723</v>
      </c>
      <c r="DD191" s="44">
        <f t="shared" ref="DD191" si="2872">DC191</f>
        <v>2020723</v>
      </c>
      <c r="DE191" s="44">
        <f t="shared" ref="DE191" si="2873">DD191</f>
        <v>2020723</v>
      </c>
      <c r="DF191" s="45">
        <f t="shared" si="1976"/>
        <v>84940909</v>
      </c>
    </row>
    <row r="192" spans="1:111" s="40" customFormat="1" ht="12">
      <c r="A192" s="517"/>
      <c r="B192" s="518"/>
      <c r="C192" s="450"/>
      <c r="D192" s="451"/>
      <c r="E192" s="452"/>
      <c r="F192" s="446"/>
      <c r="G192" s="446"/>
      <c r="H192" s="447"/>
      <c r="I192" s="41"/>
      <c r="J192" s="42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  <c r="CM192" s="44"/>
      <c r="CN192" s="44"/>
      <c r="CO192" s="44"/>
      <c r="CP192" s="44"/>
      <c r="CQ192" s="44"/>
      <c r="CR192" s="44"/>
      <c r="CS192" s="44"/>
      <c r="CT192" s="44"/>
      <c r="CU192" s="44"/>
      <c r="CV192" s="44"/>
      <c r="CW192" s="44"/>
      <c r="CX192" s="44"/>
      <c r="CY192" s="44"/>
      <c r="CZ192" s="44"/>
      <c r="DA192" s="44"/>
      <c r="DB192" s="44"/>
      <c r="DC192" s="44"/>
      <c r="DD192" s="44"/>
      <c r="DE192" s="44"/>
      <c r="DF192" s="45">
        <f t="shared" si="1976"/>
        <v>0</v>
      </c>
    </row>
    <row r="193" spans="1:110" s="40" customFormat="1" ht="12" customHeight="1">
      <c r="A193" s="516">
        <v>97</v>
      </c>
      <c r="B193" s="518" t="s">
        <v>197</v>
      </c>
      <c r="C193" s="450" t="s">
        <v>742</v>
      </c>
      <c r="D193" s="451" t="s">
        <v>491</v>
      </c>
      <c r="E193" s="452" t="s">
        <v>490</v>
      </c>
      <c r="F193" s="446">
        <v>216.86</v>
      </c>
      <c r="G193" s="446">
        <v>7.5</v>
      </c>
      <c r="H193" s="447">
        <f>F193*G193*365</f>
        <v>593654.25</v>
      </c>
      <c r="I193" s="41">
        <v>161671.84</v>
      </c>
      <c r="J193" s="44">
        <f>K193</f>
        <v>148414</v>
      </c>
      <c r="K193" s="44">
        <f>L193</f>
        <v>148414</v>
      </c>
      <c r="L193" s="44">
        <f>M193</f>
        <v>148414</v>
      </c>
      <c r="M193" s="43">
        <f>ROUND(7.5*F193*365/4,0)</f>
        <v>148414</v>
      </c>
      <c r="N193" s="44">
        <f>ROUND(M193*(1+取值表!$D$12)*取值表!$H$12,0)</f>
        <v>162169</v>
      </c>
      <c r="O193" s="44">
        <f>N193</f>
        <v>162169</v>
      </c>
      <c r="P193" s="44">
        <f>O193</f>
        <v>162169</v>
      </c>
      <c r="Q193" s="44">
        <f>P193</f>
        <v>162169</v>
      </c>
      <c r="R193" s="44">
        <f>ROUND(Q193*(1+取值表!$D$12)*取值表!$H$12,0)</f>
        <v>177199</v>
      </c>
      <c r="S193" s="44">
        <f>R193</f>
        <v>177199</v>
      </c>
      <c r="T193" s="44">
        <f>S193</f>
        <v>177199</v>
      </c>
      <c r="U193" s="44">
        <f>T193</f>
        <v>177199</v>
      </c>
      <c r="V193" s="44">
        <f>ROUND(U193*(1+取值表!$D$12)*取值表!$H$12,0)</f>
        <v>193622</v>
      </c>
      <c r="W193" s="44">
        <f t="shared" ref="W193:Y193" si="2874">V193</f>
        <v>193622</v>
      </c>
      <c r="X193" s="44">
        <f t="shared" si="2874"/>
        <v>193622</v>
      </c>
      <c r="Y193" s="44">
        <f t="shared" si="2874"/>
        <v>193622</v>
      </c>
      <c r="Z193" s="44">
        <f>ROUND(Y193*(1+取值表!$D$12)*取值表!$H$12,0)</f>
        <v>211567</v>
      </c>
      <c r="AA193" s="44">
        <f t="shared" ref="AA193:AC193" si="2875">Z193</f>
        <v>211567</v>
      </c>
      <c r="AB193" s="44">
        <f t="shared" si="2875"/>
        <v>211567</v>
      </c>
      <c r="AC193" s="44">
        <f t="shared" si="2875"/>
        <v>211567</v>
      </c>
      <c r="AD193" s="44">
        <f>ROUND(AC193*(1+取值表!$D$12)*取值表!$H$12,0)</f>
        <v>231176</v>
      </c>
      <c r="AE193" s="44">
        <f t="shared" ref="AE193:AG193" si="2876">AD193</f>
        <v>231176</v>
      </c>
      <c r="AF193" s="44">
        <f t="shared" si="2876"/>
        <v>231176</v>
      </c>
      <c r="AG193" s="44">
        <f t="shared" si="2876"/>
        <v>231176</v>
      </c>
      <c r="AH193" s="44">
        <f>ROUND(AG193*(1+取值表!$D$12)*取值表!$H$12,0)</f>
        <v>252602</v>
      </c>
      <c r="AI193" s="44">
        <f t="shared" ref="AI193:AK193" si="2877">AH193</f>
        <v>252602</v>
      </c>
      <c r="AJ193" s="44">
        <f t="shared" si="2877"/>
        <v>252602</v>
      </c>
      <c r="AK193" s="44">
        <f t="shared" si="2877"/>
        <v>252602</v>
      </c>
      <c r="AL193" s="44">
        <f>ROUND(AK193*(1+取值表!$D$12)*取值表!$H$12,0)</f>
        <v>276014</v>
      </c>
      <c r="AM193" s="44">
        <f t="shared" ref="AM193:AO193" si="2878">AL193</f>
        <v>276014</v>
      </c>
      <c r="AN193" s="44">
        <f t="shared" si="2878"/>
        <v>276014</v>
      </c>
      <c r="AO193" s="44">
        <f t="shared" si="2878"/>
        <v>276014</v>
      </c>
      <c r="AP193" s="44">
        <f>ROUND(AO193*(1+取值表!$D$12)*取值表!$H$12,0)</f>
        <v>301596</v>
      </c>
      <c r="AQ193" s="44">
        <f t="shared" ref="AQ193:AS193" si="2879">AP193</f>
        <v>301596</v>
      </c>
      <c r="AR193" s="44">
        <f t="shared" si="2879"/>
        <v>301596</v>
      </c>
      <c r="AS193" s="44">
        <f t="shared" si="2879"/>
        <v>301596</v>
      </c>
      <c r="AT193" s="44">
        <f>ROUND(AS193*(1+取值表!$D$12)*取值表!$H$12,0)</f>
        <v>329549</v>
      </c>
      <c r="AU193" s="44">
        <f t="shared" ref="AU193:AW193" si="2880">AT193</f>
        <v>329549</v>
      </c>
      <c r="AV193" s="44">
        <f t="shared" si="2880"/>
        <v>329549</v>
      </c>
      <c r="AW193" s="44">
        <f t="shared" si="2880"/>
        <v>329549</v>
      </c>
      <c r="AX193" s="44">
        <f>ROUND(AW193*(1+取值表!$D$12)*取值表!$H$12,0)</f>
        <v>360093</v>
      </c>
      <c r="AY193" s="44">
        <f t="shared" ref="AY193:BA193" si="2881">AX193</f>
        <v>360093</v>
      </c>
      <c r="AZ193" s="44">
        <f t="shared" si="2881"/>
        <v>360093</v>
      </c>
      <c r="BA193" s="44">
        <f t="shared" si="2881"/>
        <v>360093</v>
      </c>
      <c r="BB193" s="44">
        <f>ROUND(BA193*(1+取值表!$D$12)*取值表!$H$12,0)</f>
        <v>393467</v>
      </c>
      <c r="BC193" s="44">
        <f t="shared" ref="BC193:BE193" si="2882">BB193</f>
        <v>393467</v>
      </c>
      <c r="BD193" s="44">
        <f t="shared" si="2882"/>
        <v>393467</v>
      </c>
      <c r="BE193" s="44">
        <f t="shared" si="2882"/>
        <v>393467</v>
      </c>
      <c r="BF193" s="44">
        <f>ROUND(BE193*(1+取值表!$D$12)*取值表!$H$12,0)</f>
        <v>429935</v>
      </c>
      <c r="BG193" s="44">
        <f t="shared" ref="BG193:BI193" si="2883">BF193</f>
        <v>429935</v>
      </c>
      <c r="BH193" s="44">
        <f t="shared" si="2883"/>
        <v>429935</v>
      </c>
      <c r="BI193" s="44">
        <f t="shared" si="2883"/>
        <v>429935</v>
      </c>
      <c r="BJ193" s="44">
        <f>ROUND(BI193*(1+取值表!$D$12)*取值表!$H$12,0)</f>
        <v>469783</v>
      </c>
      <c r="BK193" s="44">
        <f t="shared" ref="BK193:BM193" si="2884">BJ193</f>
        <v>469783</v>
      </c>
      <c r="BL193" s="44">
        <f t="shared" si="2884"/>
        <v>469783</v>
      </c>
      <c r="BM193" s="44">
        <f t="shared" si="2884"/>
        <v>469783</v>
      </c>
      <c r="BN193" s="44">
        <f>ROUND(BM193*(1+取值表!$D$12)*取值表!$H$12,0)</f>
        <v>513324</v>
      </c>
      <c r="BO193" s="44">
        <f t="shared" ref="BO193:BQ193" si="2885">BN193</f>
        <v>513324</v>
      </c>
      <c r="BP193" s="44">
        <f t="shared" si="2885"/>
        <v>513324</v>
      </c>
      <c r="BQ193" s="44">
        <f t="shared" si="2885"/>
        <v>513324</v>
      </c>
      <c r="BR193" s="44">
        <f>ROUND(BQ193*(1+取值表!$D$12)*取值表!$H$12,0)</f>
        <v>560900</v>
      </c>
      <c r="BS193" s="44">
        <f t="shared" ref="BS193:BU193" si="2886">BR193</f>
        <v>560900</v>
      </c>
      <c r="BT193" s="44">
        <f t="shared" si="2886"/>
        <v>560900</v>
      </c>
      <c r="BU193" s="44">
        <f t="shared" si="2886"/>
        <v>560900</v>
      </c>
      <c r="BV193" s="44">
        <f>ROUND(BU193*(1+取值表!$D$12)*取值表!$H$12,0)</f>
        <v>612886</v>
      </c>
      <c r="BW193" s="44">
        <f t="shared" ref="BW193:BY193" si="2887">BV193</f>
        <v>612886</v>
      </c>
      <c r="BX193" s="44">
        <f t="shared" si="2887"/>
        <v>612886</v>
      </c>
      <c r="BY193" s="44">
        <f t="shared" si="2887"/>
        <v>612886</v>
      </c>
      <c r="BZ193" s="44">
        <f>ROUND(BY193*(1+取值表!$D$12)*取值表!$H$12,0)</f>
        <v>669690</v>
      </c>
      <c r="CA193" s="44">
        <f t="shared" ref="CA193:CC193" si="2888">BZ193</f>
        <v>669690</v>
      </c>
      <c r="CB193" s="44">
        <f t="shared" si="2888"/>
        <v>669690</v>
      </c>
      <c r="CC193" s="44">
        <f t="shared" si="2888"/>
        <v>669690</v>
      </c>
      <c r="CD193" s="44">
        <f>ROUND(CC193*(1+取值表!$D$12)*取值表!$H$12,0)</f>
        <v>731759</v>
      </c>
      <c r="CE193" s="44">
        <f t="shared" ref="CE193:CG193" si="2889">CD193</f>
        <v>731759</v>
      </c>
      <c r="CF193" s="44">
        <f t="shared" si="2889"/>
        <v>731759</v>
      </c>
      <c r="CG193" s="44">
        <f t="shared" si="2889"/>
        <v>731759</v>
      </c>
      <c r="CH193" s="44">
        <f>ROUND(CG193*(1+取值表!$D$12)*取值表!$H$12,0)</f>
        <v>799580</v>
      </c>
      <c r="CI193" s="44">
        <f t="shared" ref="CI193:CK193" si="2890">CH193</f>
        <v>799580</v>
      </c>
      <c r="CJ193" s="44">
        <f t="shared" si="2890"/>
        <v>799580</v>
      </c>
      <c r="CK193" s="44">
        <f t="shared" si="2890"/>
        <v>799580</v>
      </c>
      <c r="CL193" s="44">
        <f>ROUND(CK193*(1+取值表!$D$12)*取值表!$H$12,0)</f>
        <v>873687</v>
      </c>
      <c r="CM193" s="44">
        <f t="shared" ref="CM193:CO193" si="2891">CL193</f>
        <v>873687</v>
      </c>
      <c r="CN193" s="44">
        <f t="shared" si="2891"/>
        <v>873687</v>
      </c>
      <c r="CO193" s="44">
        <f t="shared" si="2891"/>
        <v>873687</v>
      </c>
      <c r="CP193" s="44">
        <f>ROUND(CO193*(1+取值表!$D$12)*取值表!$H$12,0)</f>
        <v>954663</v>
      </c>
      <c r="CQ193" s="44">
        <f t="shared" ref="CQ193" si="2892">CP193</f>
        <v>954663</v>
      </c>
      <c r="CR193" s="44">
        <f t="shared" ref="CR193" si="2893">CQ193</f>
        <v>954663</v>
      </c>
      <c r="CS193" s="44">
        <f t="shared" ref="CS193" si="2894">CR193</f>
        <v>954663</v>
      </c>
      <c r="CT193" s="44">
        <f>ROUND(CS193*(1+取值表!$D$12)*取值表!$H$12,0)</f>
        <v>1043144</v>
      </c>
      <c r="CU193" s="44">
        <f t="shared" ref="CU193" si="2895">CT193</f>
        <v>1043144</v>
      </c>
      <c r="CV193" s="44">
        <f t="shared" ref="CV193" si="2896">CU193</f>
        <v>1043144</v>
      </c>
      <c r="CW193" s="44">
        <f t="shared" ref="CW193" si="2897">CV193</f>
        <v>1043144</v>
      </c>
      <c r="CX193" s="44">
        <f>ROUND(CW193*(1+取值表!$D$12)*取值表!$H$12,0)</f>
        <v>1139825</v>
      </c>
      <c r="CY193" s="44">
        <f t="shared" ref="CY193" si="2898">CX193</f>
        <v>1139825</v>
      </c>
      <c r="CZ193" s="44">
        <f t="shared" ref="CZ193" si="2899">CY193</f>
        <v>1139825</v>
      </c>
      <c r="DA193" s="44">
        <f t="shared" ref="DA193" si="2900">CZ193</f>
        <v>1139825</v>
      </c>
      <c r="DB193" s="44">
        <f>ROUND(DA193*(1+取值表!$D$12)*取值表!$H$12,0)</f>
        <v>1245467</v>
      </c>
      <c r="DC193" s="44">
        <f t="shared" ref="DC193" si="2901">DB193</f>
        <v>1245467</v>
      </c>
      <c r="DD193" s="44">
        <f t="shared" ref="DD193" si="2902">DC193</f>
        <v>1245467</v>
      </c>
      <c r="DE193" s="44">
        <f t="shared" ref="DE193" si="2903">DD193</f>
        <v>1245467</v>
      </c>
      <c r="DF193" s="45">
        <f t="shared" si="1976"/>
        <v>52328444</v>
      </c>
    </row>
    <row r="194" spans="1:110" s="40" customFormat="1" ht="12">
      <c r="A194" s="517"/>
      <c r="B194" s="518"/>
      <c r="C194" s="450"/>
      <c r="D194" s="451"/>
      <c r="E194" s="452"/>
      <c r="F194" s="446"/>
      <c r="G194" s="446"/>
      <c r="H194" s="447"/>
      <c r="I194" s="41"/>
      <c r="J194" s="42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4"/>
      <c r="CO194" s="44"/>
      <c r="CP194" s="44"/>
      <c r="CQ194" s="44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4"/>
      <c r="DC194" s="44"/>
      <c r="DD194" s="44"/>
      <c r="DE194" s="44"/>
      <c r="DF194" s="45">
        <f t="shared" si="1976"/>
        <v>0</v>
      </c>
    </row>
    <row r="195" spans="1:110" s="40" customFormat="1" ht="12" customHeight="1">
      <c r="A195" s="516">
        <v>98</v>
      </c>
      <c r="B195" s="518" t="s">
        <v>198</v>
      </c>
      <c r="C195" s="450" t="s">
        <v>743</v>
      </c>
      <c r="D195" s="451" t="s">
        <v>199</v>
      </c>
      <c r="E195" s="452" t="s">
        <v>490</v>
      </c>
      <c r="F195" s="446">
        <v>401.59</v>
      </c>
      <c r="G195" s="446">
        <f>AVERAGE(12,13)</f>
        <v>12.5</v>
      </c>
      <c r="H195" s="447">
        <f>F195*G195*365</f>
        <v>1832254.375</v>
      </c>
      <c r="I195" s="41">
        <v>417754</v>
      </c>
      <c r="J195" s="42">
        <f>K195</f>
        <v>439741</v>
      </c>
      <c r="K195" s="44">
        <f>L195</f>
        <v>439741</v>
      </c>
      <c r="L195" s="42">
        <f>ROUND(12*365*F195/4,0)</f>
        <v>439741</v>
      </c>
      <c r="M195" s="44">
        <f>N195</f>
        <v>476386</v>
      </c>
      <c r="N195" s="44">
        <f>O195</f>
        <v>476386</v>
      </c>
      <c r="O195" s="44">
        <f>P195</f>
        <v>476386</v>
      </c>
      <c r="P195" s="43">
        <f>ROUND(13*F195*365/4,0)</f>
        <v>476386</v>
      </c>
      <c r="Q195" s="44">
        <f>P195</f>
        <v>476386</v>
      </c>
      <c r="R195" s="44">
        <f>ROUND(Q195*(1+取值表!$D$12)*取值表!$H$12,0)</f>
        <v>520539</v>
      </c>
      <c r="S195" s="44">
        <f>R195</f>
        <v>520539</v>
      </c>
      <c r="T195" s="44">
        <f>S195</f>
        <v>520539</v>
      </c>
      <c r="U195" s="44">
        <f>T195</f>
        <v>520539</v>
      </c>
      <c r="V195" s="44">
        <f>ROUND(U195*(1+取值表!$D$12)*取值表!$H$12,0)</f>
        <v>568784</v>
      </c>
      <c r="W195" s="44">
        <f t="shared" ref="W195:Y195" si="2904">V195</f>
        <v>568784</v>
      </c>
      <c r="X195" s="44">
        <f t="shared" si="2904"/>
        <v>568784</v>
      </c>
      <c r="Y195" s="44">
        <f t="shared" si="2904"/>
        <v>568784</v>
      </c>
      <c r="Z195" s="44">
        <f>ROUND(Y195*(1+取值表!$D$12)*取值表!$H$12,0)</f>
        <v>621500</v>
      </c>
      <c r="AA195" s="44">
        <f t="shared" ref="AA195:AC195" si="2905">Z195</f>
        <v>621500</v>
      </c>
      <c r="AB195" s="44">
        <f t="shared" si="2905"/>
        <v>621500</v>
      </c>
      <c r="AC195" s="44">
        <f t="shared" si="2905"/>
        <v>621500</v>
      </c>
      <c r="AD195" s="44">
        <f>ROUND(AC195*(1+取值表!$D$12)*取值表!$H$12,0)</f>
        <v>679102</v>
      </c>
      <c r="AE195" s="44">
        <f t="shared" ref="AE195:AG195" si="2906">AD195</f>
        <v>679102</v>
      </c>
      <c r="AF195" s="44">
        <f t="shared" si="2906"/>
        <v>679102</v>
      </c>
      <c r="AG195" s="44">
        <f t="shared" si="2906"/>
        <v>679102</v>
      </c>
      <c r="AH195" s="44">
        <f>ROUND(AG195*(1+取值表!$D$12)*取值表!$H$12,0)</f>
        <v>742043</v>
      </c>
      <c r="AI195" s="44">
        <f t="shared" ref="AI195:AK195" si="2907">AH195</f>
        <v>742043</v>
      </c>
      <c r="AJ195" s="44">
        <f t="shared" si="2907"/>
        <v>742043</v>
      </c>
      <c r="AK195" s="44">
        <f t="shared" si="2907"/>
        <v>742043</v>
      </c>
      <c r="AL195" s="44">
        <f>ROUND(AK195*(1+取值表!$D$12)*取值表!$H$12,0)</f>
        <v>810818</v>
      </c>
      <c r="AM195" s="44">
        <f t="shared" ref="AM195:AO195" si="2908">AL195</f>
        <v>810818</v>
      </c>
      <c r="AN195" s="44">
        <f t="shared" si="2908"/>
        <v>810818</v>
      </c>
      <c r="AO195" s="44">
        <f t="shared" si="2908"/>
        <v>810818</v>
      </c>
      <c r="AP195" s="44">
        <f>ROUND(AO195*(1+取值表!$D$12)*取值表!$H$12,0)</f>
        <v>885967</v>
      </c>
      <c r="AQ195" s="44">
        <f t="shared" ref="AQ195:AS195" si="2909">AP195</f>
        <v>885967</v>
      </c>
      <c r="AR195" s="44">
        <f t="shared" si="2909"/>
        <v>885967</v>
      </c>
      <c r="AS195" s="44">
        <f t="shared" si="2909"/>
        <v>885967</v>
      </c>
      <c r="AT195" s="44">
        <f>ROUND(AS195*(1+取值表!$D$12)*取值表!$H$12,0)</f>
        <v>968081</v>
      </c>
      <c r="AU195" s="44">
        <f t="shared" ref="AU195:AW195" si="2910">AT195</f>
        <v>968081</v>
      </c>
      <c r="AV195" s="44">
        <f t="shared" si="2910"/>
        <v>968081</v>
      </c>
      <c r="AW195" s="44">
        <f t="shared" si="2910"/>
        <v>968081</v>
      </c>
      <c r="AX195" s="44">
        <f>ROUND(AW195*(1+取值表!$D$12)*取值表!$H$12,0)</f>
        <v>1057805</v>
      </c>
      <c r="AY195" s="44">
        <f t="shared" ref="AY195:BA195" si="2911">AX195</f>
        <v>1057805</v>
      </c>
      <c r="AZ195" s="44">
        <f t="shared" si="2911"/>
        <v>1057805</v>
      </c>
      <c r="BA195" s="44">
        <f t="shared" si="2911"/>
        <v>1057805</v>
      </c>
      <c r="BB195" s="44">
        <f>ROUND(BA195*(1+取值表!$D$12)*取值表!$H$12,0)</f>
        <v>1155845</v>
      </c>
      <c r="BC195" s="44">
        <f t="shared" ref="BC195:BE195" si="2912">BB195</f>
        <v>1155845</v>
      </c>
      <c r="BD195" s="44">
        <f t="shared" si="2912"/>
        <v>1155845</v>
      </c>
      <c r="BE195" s="44">
        <f t="shared" si="2912"/>
        <v>1155845</v>
      </c>
      <c r="BF195" s="44">
        <f>ROUND(BE195*(1+取值表!$D$12)*取值表!$H$12,0)</f>
        <v>1262972</v>
      </c>
      <c r="BG195" s="44">
        <f t="shared" ref="BG195:BI195" si="2913">BF195</f>
        <v>1262972</v>
      </c>
      <c r="BH195" s="44">
        <f t="shared" si="2913"/>
        <v>1262972</v>
      </c>
      <c r="BI195" s="44">
        <f t="shared" si="2913"/>
        <v>1262972</v>
      </c>
      <c r="BJ195" s="44">
        <f>ROUND(BI195*(1+取值表!$D$12)*取值表!$H$12,0)</f>
        <v>1380028</v>
      </c>
      <c r="BK195" s="44">
        <f t="shared" ref="BK195:BM195" si="2914">BJ195</f>
        <v>1380028</v>
      </c>
      <c r="BL195" s="44">
        <f t="shared" si="2914"/>
        <v>1380028</v>
      </c>
      <c r="BM195" s="44">
        <f t="shared" si="2914"/>
        <v>1380028</v>
      </c>
      <c r="BN195" s="44">
        <f>ROUND(BM195*(1+取值表!$D$12)*取值表!$H$12,0)</f>
        <v>1507933</v>
      </c>
      <c r="BO195" s="44">
        <f t="shared" ref="BO195:BQ195" si="2915">BN195</f>
        <v>1507933</v>
      </c>
      <c r="BP195" s="44">
        <f t="shared" si="2915"/>
        <v>1507933</v>
      </c>
      <c r="BQ195" s="44">
        <f t="shared" si="2915"/>
        <v>1507933</v>
      </c>
      <c r="BR195" s="44">
        <f>ROUND(BQ195*(1+取值表!$D$12)*取值表!$H$12,0)</f>
        <v>1647692</v>
      </c>
      <c r="BS195" s="44">
        <f t="shared" ref="BS195:BU195" si="2916">BR195</f>
        <v>1647692</v>
      </c>
      <c r="BT195" s="44">
        <f t="shared" si="2916"/>
        <v>1647692</v>
      </c>
      <c r="BU195" s="44">
        <f t="shared" si="2916"/>
        <v>1647692</v>
      </c>
      <c r="BV195" s="44">
        <f>ROUND(BU195*(1+取值表!$D$12)*取值表!$H$12,0)</f>
        <v>1800405</v>
      </c>
      <c r="BW195" s="44">
        <f t="shared" ref="BW195:BY195" si="2917">BV195</f>
        <v>1800405</v>
      </c>
      <c r="BX195" s="44">
        <f t="shared" si="2917"/>
        <v>1800405</v>
      </c>
      <c r="BY195" s="44">
        <f t="shared" si="2917"/>
        <v>1800405</v>
      </c>
      <c r="BZ195" s="44">
        <f>ROUND(BY195*(1+取值表!$D$12)*取值表!$H$12,0)</f>
        <v>1967271</v>
      </c>
      <c r="CA195" s="44">
        <f t="shared" ref="CA195:CC195" si="2918">BZ195</f>
        <v>1967271</v>
      </c>
      <c r="CB195" s="44">
        <f t="shared" si="2918"/>
        <v>1967271</v>
      </c>
      <c r="CC195" s="44">
        <f t="shared" si="2918"/>
        <v>1967271</v>
      </c>
      <c r="CD195" s="44">
        <f>ROUND(CC195*(1+取值表!$D$12)*取值表!$H$12,0)</f>
        <v>2149603</v>
      </c>
      <c r="CE195" s="44">
        <f t="shared" ref="CE195:CG195" si="2919">CD195</f>
        <v>2149603</v>
      </c>
      <c r="CF195" s="44">
        <f t="shared" si="2919"/>
        <v>2149603</v>
      </c>
      <c r="CG195" s="44">
        <f t="shared" si="2919"/>
        <v>2149603</v>
      </c>
      <c r="CH195" s="44">
        <f>ROUND(CG195*(1+取值表!$D$12)*取值表!$H$12,0)</f>
        <v>2348834</v>
      </c>
      <c r="CI195" s="44">
        <f t="shared" ref="CI195:CK195" si="2920">CH195</f>
        <v>2348834</v>
      </c>
      <c r="CJ195" s="44">
        <f t="shared" si="2920"/>
        <v>2348834</v>
      </c>
      <c r="CK195" s="44">
        <f t="shared" si="2920"/>
        <v>2348834</v>
      </c>
      <c r="CL195" s="44">
        <f>ROUND(CK195*(1+取值表!$D$12)*取值表!$H$12,0)</f>
        <v>2566530</v>
      </c>
      <c r="CM195" s="44">
        <f t="shared" ref="CM195:CO195" si="2921">CL195</f>
        <v>2566530</v>
      </c>
      <c r="CN195" s="44">
        <f t="shared" si="2921"/>
        <v>2566530</v>
      </c>
      <c r="CO195" s="44">
        <f t="shared" si="2921"/>
        <v>2566530</v>
      </c>
      <c r="CP195" s="44">
        <f>ROUND(CO195*(1+取值表!$D$12)*取值表!$H$12,0)</f>
        <v>2804403</v>
      </c>
      <c r="CQ195" s="44">
        <f t="shared" ref="CQ195" si="2922">CP195</f>
        <v>2804403</v>
      </c>
      <c r="CR195" s="44">
        <f t="shared" ref="CR195" si="2923">CQ195</f>
        <v>2804403</v>
      </c>
      <c r="CS195" s="44">
        <f t="shared" ref="CS195" si="2924">CR195</f>
        <v>2804403</v>
      </c>
      <c r="CT195" s="44">
        <f>ROUND(CS195*(1+取值表!$D$12)*取值表!$H$12,0)</f>
        <v>3064323</v>
      </c>
      <c r="CU195" s="44">
        <f t="shared" ref="CU195" si="2925">CT195</f>
        <v>3064323</v>
      </c>
      <c r="CV195" s="44">
        <f t="shared" ref="CV195" si="2926">CU195</f>
        <v>3064323</v>
      </c>
      <c r="CW195" s="44">
        <f t="shared" ref="CW195" si="2927">CV195</f>
        <v>3064323</v>
      </c>
      <c r="CX195" s="44">
        <f>ROUND(CW195*(1+取值表!$D$12)*取值表!$H$12,0)</f>
        <v>3348333</v>
      </c>
      <c r="CY195" s="44">
        <f t="shared" ref="CY195" si="2928">CX195</f>
        <v>3348333</v>
      </c>
      <c r="CZ195" s="44">
        <f t="shared" ref="CZ195" si="2929">CY195</f>
        <v>3348333</v>
      </c>
      <c r="DA195" s="44">
        <f t="shared" ref="DA195" si="2930">CZ195</f>
        <v>3348333</v>
      </c>
      <c r="DB195" s="44">
        <f>ROUND(DA195*(1+取值表!$D$12)*取值表!$H$12,0)</f>
        <v>3658666</v>
      </c>
      <c r="DC195" s="44">
        <f t="shared" ref="DC195" si="2931">DB195</f>
        <v>3658666</v>
      </c>
      <c r="DD195" s="44">
        <f t="shared" ref="DD195" si="2932">DC195</f>
        <v>3658666</v>
      </c>
      <c r="DE195" s="44">
        <f t="shared" ref="DE195" si="2933">DD195</f>
        <v>3658666</v>
      </c>
      <c r="DF195" s="45">
        <f t="shared" si="1976"/>
        <v>153771061</v>
      </c>
    </row>
    <row r="196" spans="1:110" s="40" customFormat="1" ht="12">
      <c r="A196" s="517"/>
      <c r="B196" s="518"/>
      <c r="C196" s="450"/>
      <c r="D196" s="451"/>
      <c r="E196" s="452"/>
      <c r="F196" s="446"/>
      <c r="G196" s="446"/>
      <c r="H196" s="447"/>
      <c r="I196" s="41"/>
      <c r="J196" s="42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  <c r="CM196" s="44"/>
      <c r="CN196" s="44"/>
      <c r="CO196" s="44"/>
      <c r="CP196" s="44"/>
      <c r="CQ196" s="44"/>
      <c r="CR196" s="44"/>
      <c r="CS196" s="44"/>
      <c r="CT196" s="44"/>
      <c r="CU196" s="44"/>
      <c r="CV196" s="44"/>
      <c r="CW196" s="44"/>
      <c r="CX196" s="44"/>
      <c r="CY196" s="44"/>
      <c r="CZ196" s="44"/>
      <c r="DA196" s="44"/>
      <c r="DB196" s="44"/>
      <c r="DC196" s="44"/>
      <c r="DD196" s="44"/>
      <c r="DE196" s="44"/>
      <c r="DF196" s="45">
        <f t="shared" ref="DF196:DF259" si="2934">SUM(J196:DE196)</f>
        <v>0</v>
      </c>
    </row>
    <row r="197" spans="1:110" s="40" customFormat="1" ht="12">
      <c r="A197" s="516">
        <v>99</v>
      </c>
      <c r="B197" s="518" t="s">
        <v>200</v>
      </c>
      <c r="C197" s="450" t="s">
        <v>201</v>
      </c>
      <c r="D197" s="451" t="s">
        <v>492</v>
      </c>
      <c r="E197" s="452" t="s">
        <v>490</v>
      </c>
      <c r="F197" s="446">
        <v>17.79</v>
      </c>
      <c r="G197" s="446">
        <v>32.5</v>
      </c>
      <c r="H197" s="447">
        <f>F197*G197*365</f>
        <v>211033.87499999997</v>
      </c>
      <c r="I197" s="41">
        <v>52758.48</v>
      </c>
      <c r="J197" s="43">
        <f>ROUND(F197*G197*365/4,0)</f>
        <v>52758</v>
      </c>
      <c r="K197" s="44">
        <f>J197</f>
        <v>52758</v>
      </c>
      <c r="L197" s="44">
        <f>K197</f>
        <v>52758</v>
      </c>
      <c r="M197" s="44">
        <f>L197</f>
        <v>52758</v>
      </c>
      <c r="N197" s="44">
        <f>ROUND(M197*(1+取值表!$D$12)*取值表!$H$12,0)</f>
        <v>57648</v>
      </c>
      <c r="O197" s="44">
        <f>N197</f>
        <v>57648</v>
      </c>
      <c r="P197" s="44">
        <f>O197</f>
        <v>57648</v>
      </c>
      <c r="Q197" s="44">
        <f>P197</f>
        <v>57648</v>
      </c>
      <c r="R197" s="44">
        <f>ROUND(Q197*(1+取值表!$D$12)*取值表!$H$12,0)</f>
        <v>62991</v>
      </c>
      <c r="S197" s="44">
        <f t="shared" ref="S197:U197" si="2935">R197</f>
        <v>62991</v>
      </c>
      <c r="T197" s="44">
        <f t="shared" si="2935"/>
        <v>62991</v>
      </c>
      <c r="U197" s="44">
        <f t="shared" si="2935"/>
        <v>62991</v>
      </c>
      <c r="V197" s="44">
        <f>ROUND(U197*(1+取值表!$D$12)*取值表!$H$12,0)</f>
        <v>68829</v>
      </c>
      <c r="W197" s="44">
        <f t="shared" ref="W197:Y197" si="2936">V197</f>
        <v>68829</v>
      </c>
      <c r="X197" s="44">
        <f t="shared" si="2936"/>
        <v>68829</v>
      </c>
      <c r="Y197" s="44">
        <f t="shared" si="2936"/>
        <v>68829</v>
      </c>
      <c r="Z197" s="44">
        <f>ROUND(Y197*(1+取值表!$D$12)*取值表!$H$12,0)</f>
        <v>75208</v>
      </c>
      <c r="AA197" s="44">
        <f t="shared" ref="AA197:AC197" si="2937">Z197</f>
        <v>75208</v>
      </c>
      <c r="AB197" s="44">
        <f t="shared" si="2937"/>
        <v>75208</v>
      </c>
      <c r="AC197" s="44">
        <f t="shared" si="2937"/>
        <v>75208</v>
      </c>
      <c r="AD197" s="44">
        <f>ROUND(AC197*(1+取值表!$D$12)*取值表!$H$12,0)</f>
        <v>82178</v>
      </c>
      <c r="AE197" s="44">
        <f t="shared" ref="AE197:AG197" si="2938">AD197</f>
        <v>82178</v>
      </c>
      <c r="AF197" s="44">
        <f t="shared" si="2938"/>
        <v>82178</v>
      </c>
      <c r="AG197" s="44">
        <f t="shared" si="2938"/>
        <v>82178</v>
      </c>
      <c r="AH197" s="44">
        <f>ROUND(AG197*(1+取值表!$D$12)*取值表!$H$12,0)</f>
        <v>89794</v>
      </c>
      <c r="AI197" s="44">
        <f t="shared" ref="AI197:AK197" si="2939">AH197</f>
        <v>89794</v>
      </c>
      <c r="AJ197" s="44">
        <f t="shared" si="2939"/>
        <v>89794</v>
      </c>
      <c r="AK197" s="44">
        <f t="shared" si="2939"/>
        <v>89794</v>
      </c>
      <c r="AL197" s="44">
        <f>ROUND(AK197*(1+取值表!$D$12)*取值表!$H$12,0)</f>
        <v>98116</v>
      </c>
      <c r="AM197" s="44">
        <f t="shared" ref="AM197:AO197" si="2940">AL197</f>
        <v>98116</v>
      </c>
      <c r="AN197" s="44">
        <f t="shared" si="2940"/>
        <v>98116</v>
      </c>
      <c r="AO197" s="44">
        <f t="shared" si="2940"/>
        <v>98116</v>
      </c>
      <c r="AP197" s="44">
        <f>ROUND(AO197*(1+取值表!$D$12)*取值表!$H$12,0)</f>
        <v>107210</v>
      </c>
      <c r="AQ197" s="44">
        <f t="shared" ref="AQ197:AS197" si="2941">AP197</f>
        <v>107210</v>
      </c>
      <c r="AR197" s="44">
        <f t="shared" si="2941"/>
        <v>107210</v>
      </c>
      <c r="AS197" s="44">
        <f t="shared" si="2941"/>
        <v>107210</v>
      </c>
      <c r="AT197" s="44">
        <f>ROUND(AS197*(1+取值表!$D$12)*取值表!$H$12,0)</f>
        <v>117147</v>
      </c>
      <c r="AU197" s="44">
        <f t="shared" ref="AU197:AW197" si="2942">AT197</f>
        <v>117147</v>
      </c>
      <c r="AV197" s="44">
        <f t="shared" si="2942"/>
        <v>117147</v>
      </c>
      <c r="AW197" s="44">
        <f t="shared" si="2942"/>
        <v>117147</v>
      </c>
      <c r="AX197" s="44">
        <f>ROUND(AW197*(1+取值表!$D$12)*取值表!$H$12,0)</f>
        <v>128005</v>
      </c>
      <c r="AY197" s="44">
        <f t="shared" ref="AY197:BA197" si="2943">AX197</f>
        <v>128005</v>
      </c>
      <c r="AZ197" s="44">
        <f t="shared" si="2943"/>
        <v>128005</v>
      </c>
      <c r="BA197" s="44">
        <f t="shared" si="2943"/>
        <v>128005</v>
      </c>
      <c r="BB197" s="44">
        <f>ROUND(BA197*(1+取值表!$D$12)*取值表!$H$12,0)</f>
        <v>139869</v>
      </c>
      <c r="BC197" s="44">
        <f t="shared" ref="BC197:BE197" si="2944">BB197</f>
        <v>139869</v>
      </c>
      <c r="BD197" s="44">
        <f t="shared" si="2944"/>
        <v>139869</v>
      </c>
      <c r="BE197" s="44">
        <f t="shared" si="2944"/>
        <v>139869</v>
      </c>
      <c r="BF197" s="44">
        <f>ROUND(BE197*(1+取值表!$D$12)*取值表!$H$12,0)</f>
        <v>152832</v>
      </c>
      <c r="BG197" s="44">
        <f t="shared" ref="BG197:BI197" si="2945">BF197</f>
        <v>152832</v>
      </c>
      <c r="BH197" s="44">
        <f t="shared" si="2945"/>
        <v>152832</v>
      </c>
      <c r="BI197" s="44">
        <f t="shared" si="2945"/>
        <v>152832</v>
      </c>
      <c r="BJ197" s="44">
        <f>ROUND(BI197*(1+取值表!$D$12)*取值表!$H$12,0)</f>
        <v>166997</v>
      </c>
      <c r="BK197" s="44">
        <f t="shared" ref="BK197:BM197" si="2946">BJ197</f>
        <v>166997</v>
      </c>
      <c r="BL197" s="44">
        <f t="shared" si="2946"/>
        <v>166997</v>
      </c>
      <c r="BM197" s="44">
        <f t="shared" si="2946"/>
        <v>166997</v>
      </c>
      <c r="BN197" s="44">
        <f>ROUND(BM197*(1+取值表!$D$12)*取值表!$H$12,0)</f>
        <v>182475</v>
      </c>
      <c r="BO197" s="44">
        <f t="shared" ref="BO197:BQ197" si="2947">BN197</f>
        <v>182475</v>
      </c>
      <c r="BP197" s="44">
        <f t="shared" si="2947"/>
        <v>182475</v>
      </c>
      <c r="BQ197" s="44">
        <f t="shared" si="2947"/>
        <v>182475</v>
      </c>
      <c r="BR197" s="44">
        <f>ROUND(BQ197*(1+取值表!$D$12)*取值表!$H$12,0)</f>
        <v>199387</v>
      </c>
      <c r="BS197" s="44">
        <f t="shared" ref="BS197:BU197" si="2948">BR197</f>
        <v>199387</v>
      </c>
      <c r="BT197" s="44">
        <f t="shared" si="2948"/>
        <v>199387</v>
      </c>
      <c r="BU197" s="44">
        <f t="shared" si="2948"/>
        <v>199387</v>
      </c>
      <c r="BV197" s="44">
        <f>ROUND(BU197*(1+取值表!$D$12)*取值表!$H$12,0)</f>
        <v>217867</v>
      </c>
      <c r="BW197" s="44">
        <f t="shared" ref="BW197:BY197" si="2949">BV197</f>
        <v>217867</v>
      </c>
      <c r="BX197" s="44">
        <f t="shared" si="2949"/>
        <v>217867</v>
      </c>
      <c r="BY197" s="44">
        <f t="shared" si="2949"/>
        <v>217867</v>
      </c>
      <c r="BZ197" s="44">
        <f>ROUND(BY197*(1+取值表!$D$12)*取值表!$H$12,0)</f>
        <v>238060</v>
      </c>
      <c r="CA197" s="44">
        <f t="shared" ref="CA197:CC197" si="2950">BZ197</f>
        <v>238060</v>
      </c>
      <c r="CB197" s="44">
        <f t="shared" si="2950"/>
        <v>238060</v>
      </c>
      <c r="CC197" s="44">
        <f t="shared" si="2950"/>
        <v>238060</v>
      </c>
      <c r="CD197" s="44">
        <f>ROUND(CC197*(1+取值表!$D$12)*取值表!$H$12,0)</f>
        <v>260124</v>
      </c>
      <c r="CE197" s="44">
        <f t="shared" ref="CE197:CG197" si="2951">CD197</f>
        <v>260124</v>
      </c>
      <c r="CF197" s="44">
        <f t="shared" si="2951"/>
        <v>260124</v>
      </c>
      <c r="CG197" s="44">
        <f t="shared" si="2951"/>
        <v>260124</v>
      </c>
      <c r="CH197" s="44">
        <f>ROUND(CG197*(1+取值表!$D$12)*取值表!$H$12,0)</f>
        <v>284233</v>
      </c>
      <c r="CI197" s="44">
        <f t="shared" ref="CI197:CK197" si="2952">CH197</f>
        <v>284233</v>
      </c>
      <c r="CJ197" s="44">
        <f t="shared" si="2952"/>
        <v>284233</v>
      </c>
      <c r="CK197" s="44">
        <f t="shared" si="2952"/>
        <v>284233</v>
      </c>
      <c r="CL197" s="44">
        <f>ROUND(CK197*(1+取值表!$D$12)*取值表!$H$12,0)</f>
        <v>310576</v>
      </c>
      <c r="CM197" s="44">
        <f t="shared" ref="CM197:CO197" si="2953">CL197</f>
        <v>310576</v>
      </c>
      <c r="CN197" s="44">
        <f t="shared" si="2953"/>
        <v>310576</v>
      </c>
      <c r="CO197" s="44">
        <f t="shared" si="2953"/>
        <v>310576</v>
      </c>
      <c r="CP197" s="44">
        <f>ROUND(CO197*(1+取值表!$D$12)*取值表!$H$12,0)</f>
        <v>339361</v>
      </c>
      <c r="CQ197" s="44">
        <f t="shared" ref="CQ197" si="2954">CP197</f>
        <v>339361</v>
      </c>
      <c r="CR197" s="44">
        <f t="shared" ref="CR197" si="2955">CQ197</f>
        <v>339361</v>
      </c>
      <c r="CS197" s="44">
        <f t="shared" ref="CS197" si="2956">CR197</f>
        <v>339361</v>
      </c>
      <c r="CT197" s="44">
        <f>ROUND(CS197*(1+取值表!$D$12)*取值表!$H$12,0)</f>
        <v>370814</v>
      </c>
      <c r="CU197" s="44">
        <f t="shared" ref="CU197" si="2957">CT197</f>
        <v>370814</v>
      </c>
      <c r="CV197" s="44">
        <f t="shared" ref="CV197" si="2958">CU197</f>
        <v>370814</v>
      </c>
      <c r="CW197" s="44">
        <f t="shared" ref="CW197" si="2959">CV197</f>
        <v>370814</v>
      </c>
      <c r="CX197" s="44">
        <f>ROUND(CW197*(1+取值表!$D$12)*取值表!$H$12,0)</f>
        <v>405182</v>
      </c>
      <c r="CY197" s="44">
        <f t="shared" ref="CY197" si="2960">CX197</f>
        <v>405182</v>
      </c>
      <c r="CZ197" s="44">
        <f t="shared" ref="CZ197" si="2961">CY197</f>
        <v>405182</v>
      </c>
      <c r="DA197" s="44">
        <f t="shared" ref="DA197" si="2962">CZ197</f>
        <v>405182</v>
      </c>
      <c r="DB197" s="44">
        <f>ROUND(DA197*(1+取值表!$D$12)*取值表!$H$12,0)</f>
        <v>442735</v>
      </c>
      <c r="DC197" s="44">
        <f t="shared" ref="DC197" si="2963">DB197</f>
        <v>442735</v>
      </c>
      <c r="DD197" s="44">
        <f t="shared" ref="DD197" si="2964">DC197</f>
        <v>442735</v>
      </c>
      <c r="DE197" s="44">
        <f t="shared" ref="DE197" si="2965">DD197</f>
        <v>442735</v>
      </c>
      <c r="DF197" s="45">
        <f t="shared" si="2934"/>
        <v>18601584</v>
      </c>
    </row>
    <row r="198" spans="1:110" s="40" customFormat="1" ht="12">
      <c r="A198" s="517"/>
      <c r="B198" s="518"/>
      <c r="C198" s="450"/>
      <c r="D198" s="451"/>
      <c r="E198" s="452"/>
      <c r="F198" s="446"/>
      <c r="G198" s="446"/>
      <c r="H198" s="447"/>
      <c r="I198" s="41"/>
      <c r="J198" s="42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4"/>
      <c r="CO198" s="44"/>
      <c r="CP198" s="44"/>
      <c r="CQ198" s="44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4"/>
      <c r="DC198" s="44"/>
      <c r="DD198" s="44"/>
      <c r="DE198" s="44"/>
      <c r="DF198" s="45">
        <f t="shared" si="2934"/>
        <v>0</v>
      </c>
    </row>
    <row r="199" spans="1:110" s="40" customFormat="1" ht="12">
      <c r="A199" s="516">
        <v>100</v>
      </c>
      <c r="B199" s="518" t="s">
        <v>202</v>
      </c>
      <c r="C199" s="450" t="s">
        <v>203</v>
      </c>
      <c r="D199" s="451" t="s">
        <v>493</v>
      </c>
      <c r="E199" s="452" t="s">
        <v>490</v>
      </c>
      <c r="F199" s="446">
        <v>64.930000000000007</v>
      </c>
      <c r="G199" s="446">
        <v>22</v>
      </c>
      <c r="H199" s="447">
        <f>F199*G199*365</f>
        <v>521387.9</v>
      </c>
      <c r="I199" s="41">
        <v>127384.54</v>
      </c>
      <c r="J199" s="42">
        <f>ROUND(F199*G199*365/4,0)</f>
        <v>130347</v>
      </c>
      <c r="K199" s="43">
        <f>J199</f>
        <v>130347</v>
      </c>
      <c r="L199" s="44">
        <f>K199</f>
        <v>130347</v>
      </c>
      <c r="M199" s="44">
        <f>L199</f>
        <v>130347</v>
      </c>
      <c r="N199" s="44">
        <f>ROUND(M199*(1+取值表!$D$12)*取值表!$H$12,0)</f>
        <v>142428</v>
      </c>
      <c r="O199" s="44">
        <f>N199</f>
        <v>142428</v>
      </c>
      <c r="P199" s="44">
        <f>O199</f>
        <v>142428</v>
      </c>
      <c r="Q199" s="42">
        <f>P199</f>
        <v>142428</v>
      </c>
      <c r="R199" s="44">
        <f>ROUND(Q199*(1+取值表!$D$12)*取值表!$H$12,0)</f>
        <v>155629</v>
      </c>
      <c r="S199" s="44">
        <f t="shared" ref="S199:U199" si="2966">R199</f>
        <v>155629</v>
      </c>
      <c r="T199" s="44">
        <f t="shared" si="2966"/>
        <v>155629</v>
      </c>
      <c r="U199" s="42">
        <f t="shared" si="2966"/>
        <v>155629</v>
      </c>
      <c r="V199" s="44">
        <f>ROUND(U199*(1+取值表!$D$12)*取值表!$H$12,0)</f>
        <v>170053</v>
      </c>
      <c r="W199" s="44">
        <f t="shared" ref="W199:Y199" si="2967">V199</f>
        <v>170053</v>
      </c>
      <c r="X199" s="44">
        <f t="shared" si="2967"/>
        <v>170053</v>
      </c>
      <c r="Y199" s="42">
        <f t="shared" si="2967"/>
        <v>170053</v>
      </c>
      <c r="Z199" s="44">
        <f>ROUND(Y199*(1+取值表!$D$12)*取值表!$H$12,0)</f>
        <v>185814</v>
      </c>
      <c r="AA199" s="44">
        <f t="shared" ref="AA199:AC199" si="2968">Z199</f>
        <v>185814</v>
      </c>
      <c r="AB199" s="44">
        <f t="shared" si="2968"/>
        <v>185814</v>
      </c>
      <c r="AC199" s="42">
        <f t="shared" si="2968"/>
        <v>185814</v>
      </c>
      <c r="AD199" s="44">
        <f>ROUND(AC199*(1+取值表!$D$12)*取值表!$H$12,0)</f>
        <v>203036</v>
      </c>
      <c r="AE199" s="44">
        <f t="shared" ref="AE199:AG199" si="2969">AD199</f>
        <v>203036</v>
      </c>
      <c r="AF199" s="44">
        <f t="shared" si="2969"/>
        <v>203036</v>
      </c>
      <c r="AG199" s="42">
        <f t="shared" si="2969"/>
        <v>203036</v>
      </c>
      <c r="AH199" s="44">
        <f>ROUND(AG199*(1+取值表!$D$12)*取值表!$H$12,0)</f>
        <v>221854</v>
      </c>
      <c r="AI199" s="44">
        <f t="shared" ref="AI199:AK199" si="2970">AH199</f>
        <v>221854</v>
      </c>
      <c r="AJ199" s="44">
        <f t="shared" si="2970"/>
        <v>221854</v>
      </c>
      <c r="AK199" s="42">
        <f t="shared" si="2970"/>
        <v>221854</v>
      </c>
      <c r="AL199" s="44">
        <f>ROUND(AK199*(1+取值表!$D$12)*取值表!$H$12,0)</f>
        <v>242416</v>
      </c>
      <c r="AM199" s="44">
        <f t="shared" ref="AM199:AO199" si="2971">AL199</f>
        <v>242416</v>
      </c>
      <c r="AN199" s="44">
        <f t="shared" si="2971"/>
        <v>242416</v>
      </c>
      <c r="AO199" s="42">
        <f t="shared" si="2971"/>
        <v>242416</v>
      </c>
      <c r="AP199" s="44">
        <f>ROUND(AO199*(1+取值表!$D$12)*取值表!$H$12,0)</f>
        <v>264884</v>
      </c>
      <c r="AQ199" s="44">
        <f t="shared" ref="AQ199:AS199" si="2972">AP199</f>
        <v>264884</v>
      </c>
      <c r="AR199" s="44">
        <f t="shared" si="2972"/>
        <v>264884</v>
      </c>
      <c r="AS199" s="42">
        <f t="shared" si="2972"/>
        <v>264884</v>
      </c>
      <c r="AT199" s="44">
        <f>ROUND(AS199*(1+取值表!$D$12)*取值表!$H$12,0)</f>
        <v>289434</v>
      </c>
      <c r="AU199" s="44">
        <f t="shared" ref="AU199:AW199" si="2973">AT199</f>
        <v>289434</v>
      </c>
      <c r="AV199" s="44">
        <f t="shared" si="2973"/>
        <v>289434</v>
      </c>
      <c r="AW199" s="42">
        <f t="shared" si="2973"/>
        <v>289434</v>
      </c>
      <c r="AX199" s="44">
        <f>ROUND(AW199*(1+取值表!$D$12)*取值表!$H$12,0)</f>
        <v>316260</v>
      </c>
      <c r="AY199" s="44">
        <f t="shared" ref="AY199:BA199" si="2974">AX199</f>
        <v>316260</v>
      </c>
      <c r="AZ199" s="44">
        <f t="shared" si="2974"/>
        <v>316260</v>
      </c>
      <c r="BA199" s="42">
        <f t="shared" si="2974"/>
        <v>316260</v>
      </c>
      <c r="BB199" s="44">
        <f>ROUND(BA199*(1+取值表!$D$12)*取值表!$H$12,0)</f>
        <v>345572</v>
      </c>
      <c r="BC199" s="44">
        <f t="shared" ref="BC199:BE199" si="2975">BB199</f>
        <v>345572</v>
      </c>
      <c r="BD199" s="44">
        <f t="shared" si="2975"/>
        <v>345572</v>
      </c>
      <c r="BE199" s="42">
        <f t="shared" si="2975"/>
        <v>345572</v>
      </c>
      <c r="BF199" s="44">
        <f>ROUND(BE199*(1+取值表!$D$12)*取值表!$H$12,0)</f>
        <v>377601</v>
      </c>
      <c r="BG199" s="44">
        <f t="shared" ref="BG199:BI199" si="2976">BF199</f>
        <v>377601</v>
      </c>
      <c r="BH199" s="44">
        <f t="shared" si="2976"/>
        <v>377601</v>
      </c>
      <c r="BI199" s="42">
        <f t="shared" si="2976"/>
        <v>377601</v>
      </c>
      <c r="BJ199" s="44">
        <f>ROUND(BI199*(1+取值表!$D$12)*取值表!$H$12,0)</f>
        <v>412598</v>
      </c>
      <c r="BK199" s="44">
        <f t="shared" ref="BK199:BM199" si="2977">BJ199</f>
        <v>412598</v>
      </c>
      <c r="BL199" s="44">
        <f t="shared" si="2977"/>
        <v>412598</v>
      </c>
      <c r="BM199" s="42">
        <f t="shared" si="2977"/>
        <v>412598</v>
      </c>
      <c r="BN199" s="44">
        <f>ROUND(BM199*(1+取值表!$D$12)*取值表!$H$12,0)</f>
        <v>450839</v>
      </c>
      <c r="BO199" s="44">
        <f t="shared" ref="BO199:BQ199" si="2978">BN199</f>
        <v>450839</v>
      </c>
      <c r="BP199" s="44">
        <f t="shared" si="2978"/>
        <v>450839</v>
      </c>
      <c r="BQ199" s="42">
        <f t="shared" si="2978"/>
        <v>450839</v>
      </c>
      <c r="BR199" s="44">
        <f>ROUND(BQ199*(1+取值表!$D$12)*取值表!$H$12,0)</f>
        <v>492624</v>
      </c>
      <c r="BS199" s="44">
        <f t="shared" ref="BS199:BU199" si="2979">BR199</f>
        <v>492624</v>
      </c>
      <c r="BT199" s="44">
        <f t="shared" si="2979"/>
        <v>492624</v>
      </c>
      <c r="BU199" s="42">
        <f t="shared" si="2979"/>
        <v>492624</v>
      </c>
      <c r="BV199" s="44">
        <f>ROUND(BU199*(1+取值表!$D$12)*取值表!$H$12,0)</f>
        <v>538282</v>
      </c>
      <c r="BW199" s="44">
        <f t="shared" ref="BW199:BY199" si="2980">BV199</f>
        <v>538282</v>
      </c>
      <c r="BX199" s="44">
        <f t="shared" si="2980"/>
        <v>538282</v>
      </c>
      <c r="BY199" s="42">
        <f t="shared" si="2980"/>
        <v>538282</v>
      </c>
      <c r="BZ199" s="44">
        <f>ROUND(BY199*(1+取值表!$D$12)*取值表!$H$12,0)</f>
        <v>588171</v>
      </c>
      <c r="CA199" s="44">
        <f t="shared" ref="CA199:CC199" si="2981">BZ199</f>
        <v>588171</v>
      </c>
      <c r="CB199" s="44">
        <f t="shared" si="2981"/>
        <v>588171</v>
      </c>
      <c r="CC199" s="42">
        <f t="shared" si="2981"/>
        <v>588171</v>
      </c>
      <c r="CD199" s="44">
        <f>ROUND(CC199*(1+取值表!$D$12)*取值表!$H$12,0)</f>
        <v>642684</v>
      </c>
      <c r="CE199" s="44">
        <f t="shared" ref="CE199:CG199" si="2982">CD199</f>
        <v>642684</v>
      </c>
      <c r="CF199" s="44">
        <f t="shared" si="2982"/>
        <v>642684</v>
      </c>
      <c r="CG199" s="42">
        <f t="shared" si="2982"/>
        <v>642684</v>
      </c>
      <c r="CH199" s="44">
        <f>ROUND(CG199*(1+取值表!$D$12)*取值表!$H$12,0)</f>
        <v>702250</v>
      </c>
      <c r="CI199" s="44">
        <f t="shared" ref="CI199:CK199" si="2983">CH199</f>
        <v>702250</v>
      </c>
      <c r="CJ199" s="44">
        <f t="shared" si="2983"/>
        <v>702250</v>
      </c>
      <c r="CK199" s="42">
        <f t="shared" si="2983"/>
        <v>702250</v>
      </c>
      <c r="CL199" s="44">
        <f>ROUND(CK199*(1+取值表!$D$12)*取值表!$H$12,0)</f>
        <v>767336</v>
      </c>
      <c r="CM199" s="44">
        <f t="shared" ref="CM199:CO199" si="2984">CL199</f>
        <v>767336</v>
      </c>
      <c r="CN199" s="44">
        <f t="shared" si="2984"/>
        <v>767336</v>
      </c>
      <c r="CO199" s="42">
        <f t="shared" si="2984"/>
        <v>767336</v>
      </c>
      <c r="CP199" s="44">
        <f>ROUND(CO199*(1+取值表!$D$12)*取值表!$H$12,0)</f>
        <v>838455</v>
      </c>
      <c r="CQ199" s="44">
        <f t="shared" ref="CQ199" si="2985">CP199</f>
        <v>838455</v>
      </c>
      <c r="CR199" s="44">
        <f t="shared" ref="CR199" si="2986">CQ199</f>
        <v>838455</v>
      </c>
      <c r="CS199" s="42">
        <f t="shared" ref="CS199" si="2987">CR199</f>
        <v>838455</v>
      </c>
      <c r="CT199" s="44">
        <f>ROUND(CS199*(1+取值表!$D$12)*取值表!$H$12,0)</f>
        <v>916165</v>
      </c>
      <c r="CU199" s="44">
        <f t="shared" ref="CU199" si="2988">CT199</f>
        <v>916165</v>
      </c>
      <c r="CV199" s="44">
        <f t="shared" ref="CV199" si="2989">CU199</f>
        <v>916165</v>
      </c>
      <c r="CW199" s="42">
        <f t="shared" ref="CW199" si="2990">CV199</f>
        <v>916165</v>
      </c>
      <c r="CX199" s="44">
        <f>ROUND(CW199*(1+取值表!$D$12)*取值表!$H$12,0)</f>
        <v>1001078</v>
      </c>
      <c r="CY199" s="44">
        <f t="shared" ref="CY199" si="2991">CX199</f>
        <v>1001078</v>
      </c>
      <c r="CZ199" s="44">
        <f t="shared" ref="CZ199" si="2992">CY199</f>
        <v>1001078</v>
      </c>
      <c r="DA199" s="42">
        <f t="shared" ref="DA199" si="2993">CZ199</f>
        <v>1001078</v>
      </c>
      <c r="DB199" s="44">
        <f>ROUND(DA199*(1+取值表!$D$12)*取值表!$H$12,0)</f>
        <v>1093861</v>
      </c>
      <c r="DC199" s="44">
        <f t="shared" ref="DC199" si="2994">DB199</f>
        <v>1093861</v>
      </c>
      <c r="DD199" s="44">
        <f t="shared" ref="DD199" si="2995">DC199</f>
        <v>1093861</v>
      </c>
      <c r="DE199" s="42">
        <f t="shared" ref="DE199" si="2996">DD199</f>
        <v>1093861</v>
      </c>
      <c r="DF199" s="45">
        <f t="shared" si="2934"/>
        <v>45958684</v>
      </c>
    </row>
    <row r="200" spans="1:110" s="40" customFormat="1" ht="12">
      <c r="A200" s="517"/>
      <c r="B200" s="518"/>
      <c r="C200" s="450"/>
      <c r="D200" s="451"/>
      <c r="E200" s="452"/>
      <c r="F200" s="446"/>
      <c r="G200" s="446"/>
      <c r="H200" s="447"/>
      <c r="I200" s="41">
        <v>0</v>
      </c>
      <c r="J200" s="42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  <c r="CM200" s="44"/>
      <c r="CN200" s="44"/>
      <c r="CO200" s="44"/>
      <c r="CP200" s="44"/>
      <c r="CQ200" s="44"/>
      <c r="CR200" s="44"/>
      <c r="CS200" s="44"/>
      <c r="CT200" s="44"/>
      <c r="CU200" s="44"/>
      <c r="CV200" s="44"/>
      <c r="CW200" s="44"/>
      <c r="CX200" s="44"/>
      <c r="CY200" s="44"/>
      <c r="CZ200" s="44"/>
      <c r="DA200" s="44"/>
      <c r="DB200" s="44"/>
      <c r="DC200" s="44"/>
      <c r="DD200" s="44"/>
      <c r="DE200" s="44"/>
      <c r="DF200" s="45">
        <f t="shared" si="2934"/>
        <v>0</v>
      </c>
    </row>
    <row r="201" spans="1:110" s="40" customFormat="1" ht="12" customHeight="1">
      <c r="A201" s="516">
        <v>101</v>
      </c>
      <c r="B201" s="518" t="s">
        <v>204</v>
      </c>
      <c r="C201" s="450" t="s">
        <v>744</v>
      </c>
      <c r="D201" s="451" t="s">
        <v>494</v>
      </c>
      <c r="E201" s="452" t="s">
        <v>490</v>
      </c>
      <c r="F201" s="446">
        <v>189</v>
      </c>
      <c r="G201" s="446">
        <v>18.5</v>
      </c>
      <c r="H201" s="447">
        <f>F201*G201*365</f>
        <v>1276222.5</v>
      </c>
      <c r="I201" s="41">
        <v>310432.5</v>
      </c>
      <c r="J201" s="42">
        <f>ROUND(F201*G201*365/4,0)</f>
        <v>319056</v>
      </c>
      <c r="K201" s="44">
        <f t="shared" ref="K201:Q201" si="2997">J201</f>
        <v>319056</v>
      </c>
      <c r="L201" s="44">
        <f t="shared" si="2997"/>
        <v>319056</v>
      </c>
      <c r="M201" s="44">
        <f t="shared" si="2997"/>
        <v>319056</v>
      </c>
      <c r="N201" s="44">
        <f t="shared" si="2997"/>
        <v>319056</v>
      </c>
      <c r="O201" s="43">
        <f t="shared" si="2997"/>
        <v>319056</v>
      </c>
      <c r="P201" s="44">
        <f t="shared" si="2997"/>
        <v>319056</v>
      </c>
      <c r="Q201" s="44">
        <f t="shared" si="2997"/>
        <v>319056</v>
      </c>
      <c r="R201" s="44">
        <f>ROUND(Q201*(1+取值表!$D$12)*取值表!$H$12,0)</f>
        <v>348627</v>
      </c>
      <c r="S201" s="44">
        <f>R201</f>
        <v>348627</v>
      </c>
      <c r="T201" s="44">
        <f>S201</f>
        <v>348627</v>
      </c>
      <c r="U201" s="44">
        <f>T201</f>
        <v>348627</v>
      </c>
      <c r="V201" s="44">
        <f>ROUND(U201*(1+取值表!$D$12)*取值表!$H$12,0)</f>
        <v>380939</v>
      </c>
      <c r="W201" s="44">
        <f t="shared" ref="W201:Y201" si="2998">V201</f>
        <v>380939</v>
      </c>
      <c r="X201" s="44">
        <f t="shared" si="2998"/>
        <v>380939</v>
      </c>
      <c r="Y201" s="44">
        <f t="shared" si="2998"/>
        <v>380939</v>
      </c>
      <c r="Z201" s="44">
        <f>ROUND(Y201*(1+取值表!$D$12)*取值表!$H$12,0)</f>
        <v>416245</v>
      </c>
      <c r="AA201" s="44">
        <f t="shared" ref="AA201:AC201" si="2999">Z201</f>
        <v>416245</v>
      </c>
      <c r="AB201" s="44">
        <f t="shared" si="2999"/>
        <v>416245</v>
      </c>
      <c r="AC201" s="44">
        <f t="shared" si="2999"/>
        <v>416245</v>
      </c>
      <c r="AD201" s="44">
        <f>ROUND(AC201*(1+取值表!$D$12)*取值表!$H$12,0)</f>
        <v>454824</v>
      </c>
      <c r="AE201" s="44">
        <f t="shared" ref="AE201:AG201" si="3000">AD201</f>
        <v>454824</v>
      </c>
      <c r="AF201" s="44">
        <f t="shared" si="3000"/>
        <v>454824</v>
      </c>
      <c r="AG201" s="44">
        <f t="shared" si="3000"/>
        <v>454824</v>
      </c>
      <c r="AH201" s="44">
        <f>ROUND(AG201*(1+取值表!$D$12)*取值表!$H$12,0)</f>
        <v>496978</v>
      </c>
      <c r="AI201" s="44">
        <f t="shared" ref="AI201:AK201" si="3001">AH201</f>
        <v>496978</v>
      </c>
      <c r="AJ201" s="44">
        <f t="shared" si="3001"/>
        <v>496978</v>
      </c>
      <c r="AK201" s="44">
        <f t="shared" si="3001"/>
        <v>496978</v>
      </c>
      <c r="AL201" s="44">
        <f>ROUND(AK201*(1+取值表!$D$12)*取值表!$H$12,0)</f>
        <v>543039</v>
      </c>
      <c r="AM201" s="44">
        <f t="shared" ref="AM201:AO201" si="3002">AL201</f>
        <v>543039</v>
      </c>
      <c r="AN201" s="44">
        <f t="shared" si="3002"/>
        <v>543039</v>
      </c>
      <c r="AO201" s="44">
        <f t="shared" si="3002"/>
        <v>543039</v>
      </c>
      <c r="AP201" s="44">
        <f>ROUND(AO201*(1+取值表!$D$12)*取值表!$H$12,0)</f>
        <v>593369</v>
      </c>
      <c r="AQ201" s="44">
        <f t="shared" ref="AQ201:AS201" si="3003">AP201</f>
        <v>593369</v>
      </c>
      <c r="AR201" s="44">
        <f t="shared" si="3003"/>
        <v>593369</v>
      </c>
      <c r="AS201" s="44">
        <f t="shared" si="3003"/>
        <v>593369</v>
      </c>
      <c r="AT201" s="44">
        <f>ROUND(AS201*(1+取值表!$D$12)*取值表!$H$12,0)</f>
        <v>648364</v>
      </c>
      <c r="AU201" s="44">
        <f t="shared" ref="AU201:AW201" si="3004">AT201</f>
        <v>648364</v>
      </c>
      <c r="AV201" s="44">
        <f t="shared" si="3004"/>
        <v>648364</v>
      </c>
      <c r="AW201" s="44">
        <f t="shared" si="3004"/>
        <v>648364</v>
      </c>
      <c r="AX201" s="44">
        <f>ROUND(AW201*(1+取值表!$D$12)*取值表!$H$12,0)</f>
        <v>708456</v>
      </c>
      <c r="AY201" s="44">
        <f t="shared" ref="AY201:BA201" si="3005">AX201</f>
        <v>708456</v>
      </c>
      <c r="AZ201" s="44">
        <f t="shared" si="3005"/>
        <v>708456</v>
      </c>
      <c r="BA201" s="44">
        <f t="shared" si="3005"/>
        <v>708456</v>
      </c>
      <c r="BB201" s="44">
        <f>ROUND(BA201*(1+取值表!$D$12)*取值表!$H$12,0)</f>
        <v>774118</v>
      </c>
      <c r="BC201" s="44">
        <f t="shared" ref="BC201:BE201" si="3006">BB201</f>
        <v>774118</v>
      </c>
      <c r="BD201" s="44">
        <f t="shared" si="3006"/>
        <v>774118</v>
      </c>
      <c r="BE201" s="44">
        <f t="shared" si="3006"/>
        <v>774118</v>
      </c>
      <c r="BF201" s="44">
        <f>ROUND(BE201*(1+取值表!$D$12)*取值表!$H$12,0)</f>
        <v>845865</v>
      </c>
      <c r="BG201" s="44">
        <f t="shared" ref="BG201:BI201" si="3007">BF201</f>
        <v>845865</v>
      </c>
      <c r="BH201" s="44">
        <f t="shared" si="3007"/>
        <v>845865</v>
      </c>
      <c r="BI201" s="44">
        <f t="shared" si="3007"/>
        <v>845865</v>
      </c>
      <c r="BJ201" s="44">
        <f>ROUND(BI201*(1+取值表!$D$12)*取值表!$H$12,0)</f>
        <v>924262</v>
      </c>
      <c r="BK201" s="44">
        <f t="shared" ref="BK201:BM201" si="3008">BJ201</f>
        <v>924262</v>
      </c>
      <c r="BL201" s="44">
        <f t="shared" si="3008"/>
        <v>924262</v>
      </c>
      <c r="BM201" s="44">
        <f t="shared" si="3008"/>
        <v>924262</v>
      </c>
      <c r="BN201" s="44">
        <f>ROUND(BM201*(1+取值表!$D$12)*取值表!$H$12,0)</f>
        <v>1009925</v>
      </c>
      <c r="BO201" s="44">
        <f t="shared" ref="BO201:BQ201" si="3009">BN201</f>
        <v>1009925</v>
      </c>
      <c r="BP201" s="44">
        <f t="shared" si="3009"/>
        <v>1009925</v>
      </c>
      <c r="BQ201" s="44">
        <f t="shared" si="3009"/>
        <v>1009925</v>
      </c>
      <c r="BR201" s="44">
        <f>ROUND(BQ201*(1+取值表!$D$12)*取值表!$H$12,0)</f>
        <v>1103528</v>
      </c>
      <c r="BS201" s="44">
        <f t="shared" ref="BS201:BU201" si="3010">BR201</f>
        <v>1103528</v>
      </c>
      <c r="BT201" s="44">
        <f t="shared" si="3010"/>
        <v>1103528</v>
      </c>
      <c r="BU201" s="44">
        <f t="shared" si="3010"/>
        <v>1103528</v>
      </c>
      <c r="BV201" s="44">
        <f>ROUND(BU201*(1+取值表!$D$12)*取值表!$H$12,0)</f>
        <v>1205806</v>
      </c>
      <c r="BW201" s="44">
        <f t="shared" ref="BW201:BY201" si="3011">BV201</f>
        <v>1205806</v>
      </c>
      <c r="BX201" s="44">
        <f t="shared" si="3011"/>
        <v>1205806</v>
      </c>
      <c r="BY201" s="44">
        <f t="shared" si="3011"/>
        <v>1205806</v>
      </c>
      <c r="BZ201" s="44">
        <f>ROUND(BY201*(1+取值表!$D$12)*取值表!$H$12,0)</f>
        <v>1317563</v>
      </c>
      <c r="CA201" s="44">
        <f t="shared" ref="CA201:CC201" si="3012">BZ201</f>
        <v>1317563</v>
      </c>
      <c r="CB201" s="44">
        <f t="shared" si="3012"/>
        <v>1317563</v>
      </c>
      <c r="CC201" s="44">
        <f t="shared" si="3012"/>
        <v>1317563</v>
      </c>
      <c r="CD201" s="44">
        <f>ROUND(CC201*(1+取值表!$D$12)*取值表!$H$12,0)</f>
        <v>1439678</v>
      </c>
      <c r="CE201" s="44">
        <f t="shared" ref="CE201:CG201" si="3013">CD201</f>
        <v>1439678</v>
      </c>
      <c r="CF201" s="44">
        <f t="shared" si="3013"/>
        <v>1439678</v>
      </c>
      <c r="CG201" s="44">
        <f t="shared" si="3013"/>
        <v>1439678</v>
      </c>
      <c r="CH201" s="44">
        <f>ROUND(CG201*(1+取值表!$D$12)*取值表!$H$12,0)</f>
        <v>1573111</v>
      </c>
      <c r="CI201" s="44">
        <f t="shared" ref="CI201:CK201" si="3014">CH201</f>
        <v>1573111</v>
      </c>
      <c r="CJ201" s="44">
        <f t="shared" si="3014"/>
        <v>1573111</v>
      </c>
      <c r="CK201" s="44">
        <f t="shared" si="3014"/>
        <v>1573111</v>
      </c>
      <c r="CL201" s="44">
        <f>ROUND(CK201*(1+取值表!$D$12)*取值表!$H$12,0)</f>
        <v>1718911</v>
      </c>
      <c r="CM201" s="44">
        <f t="shared" ref="CM201:CO201" si="3015">CL201</f>
        <v>1718911</v>
      </c>
      <c r="CN201" s="44">
        <f t="shared" si="3015"/>
        <v>1718911</v>
      </c>
      <c r="CO201" s="44">
        <f t="shared" si="3015"/>
        <v>1718911</v>
      </c>
      <c r="CP201" s="44">
        <f>ROUND(CO201*(1+取值表!$D$12)*取值表!$H$12,0)</f>
        <v>1878224</v>
      </c>
      <c r="CQ201" s="44">
        <f t="shared" ref="CQ201" si="3016">CP201</f>
        <v>1878224</v>
      </c>
      <c r="CR201" s="44">
        <f t="shared" ref="CR201" si="3017">CQ201</f>
        <v>1878224</v>
      </c>
      <c r="CS201" s="44">
        <f t="shared" ref="CS201" si="3018">CR201</f>
        <v>1878224</v>
      </c>
      <c r="CT201" s="44">
        <f>ROUND(CS201*(1+取值表!$D$12)*取值表!$H$12,0)</f>
        <v>2052303</v>
      </c>
      <c r="CU201" s="44">
        <f t="shared" ref="CU201" si="3019">CT201</f>
        <v>2052303</v>
      </c>
      <c r="CV201" s="44">
        <f t="shared" ref="CV201" si="3020">CU201</f>
        <v>2052303</v>
      </c>
      <c r="CW201" s="44">
        <f t="shared" ref="CW201" si="3021">CV201</f>
        <v>2052303</v>
      </c>
      <c r="CX201" s="44">
        <f>ROUND(CW201*(1+取值表!$D$12)*取值表!$H$12,0)</f>
        <v>2242516</v>
      </c>
      <c r="CY201" s="44">
        <f t="shared" ref="CY201" si="3022">CX201</f>
        <v>2242516</v>
      </c>
      <c r="CZ201" s="44">
        <f t="shared" ref="CZ201" si="3023">CY201</f>
        <v>2242516</v>
      </c>
      <c r="DA201" s="44">
        <f t="shared" ref="DA201" si="3024">CZ201</f>
        <v>2242516</v>
      </c>
      <c r="DB201" s="44">
        <f>ROUND(DA201*(1+取值表!$D$12)*取值表!$H$12,0)</f>
        <v>2450359</v>
      </c>
      <c r="DC201" s="44">
        <f t="shared" ref="DC201" si="3025">DB201</f>
        <v>2450359</v>
      </c>
      <c r="DD201" s="44">
        <f t="shared" ref="DD201" si="3026">DC201</f>
        <v>2450359</v>
      </c>
      <c r="DE201" s="44">
        <f t="shared" ref="DE201" si="3027">DD201</f>
        <v>2450359</v>
      </c>
      <c r="DF201" s="45">
        <f t="shared" si="2934"/>
        <v>103060488</v>
      </c>
    </row>
    <row r="202" spans="1:110" s="40" customFormat="1" ht="12">
      <c r="A202" s="517"/>
      <c r="B202" s="518"/>
      <c r="C202" s="450"/>
      <c r="D202" s="451"/>
      <c r="E202" s="452"/>
      <c r="F202" s="446"/>
      <c r="G202" s="446"/>
      <c r="H202" s="447"/>
      <c r="I202" s="41"/>
      <c r="J202" s="42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  <c r="CM202" s="44"/>
      <c r="CN202" s="44"/>
      <c r="CO202" s="44"/>
      <c r="CP202" s="44"/>
      <c r="CQ202" s="44"/>
      <c r="CR202" s="44"/>
      <c r="CS202" s="44"/>
      <c r="CT202" s="44"/>
      <c r="CU202" s="44"/>
      <c r="CV202" s="44"/>
      <c r="CW202" s="44"/>
      <c r="CX202" s="44"/>
      <c r="CY202" s="44"/>
      <c r="CZ202" s="44"/>
      <c r="DA202" s="44"/>
      <c r="DB202" s="44"/>
      <c r="DC202" s="44"/>
      <c r="DD202" s="44"/>
      <c r="DE202" s="44"/>
      <c r="DF202" s="45">
        <f t="shared" si="2934"/>
        <v>0</v>
      </c>
    </row>
    <row r="203" spans="1:110" s="40" customFormat="1" ht="12" customHeight="1">
      <c r="A203" s="516">
        <v>102</v>
      </c>
      <c r="B203" s="518" t="s">
        <v>205</v>
      </c>
      <c r="C203" s="450" t="s">
        <v>206</v>
      </c>
      <c r="D203" s="451" t="s">
        <v>207</v>
      </c>
      <c r="E203" s="452" t="s">
        <v>490</v>
      </c>
      <c r="F203" s="446">
        <v>279.69</v>
      </c>
      <c r="G203" s="446">
        <v>14.5</v>
      </c>
      <c r="H203" s="447">
        <f>F203*G203*365</f>
        <v>1480259.325</v>
      </c>
      <c r="I203" s="41">
        <v>370064.83</v>
      </c>
      <c r="J203" s="42">
        <f>ROUND(F203*G203*365/4,0)</f>
        <v>370065</v>
      </c>
      <c r="K203" s="44">
        <f t="shared" ref="K203:Q203" si="3028">J203</f>
        <v>370065</v>
      </c>
      <c r="L203" s="44">
        <f t="shared" si="3028"/>
        <v>370065</v>
      </c>
      <c r="M203" s="44">
        <f t="shared" si="3028"/>
        <v>370065</v>
      </c>
      <c r="N203" s="44">
        <f t="shared" si="3028"/>
        <v>370065</v>
      </c>
      <c r="O203" s="44">
        <f t="shared" si="3028"/>
        <v>370065</v>
      </c>
      <c r="P203" s="44">
        <f t="shared" si="3028"/>
        <v>370065</v>
      </c>
      <c r="Q203" s="43">
        <f t="shared" si="3028"/>
        <v>370065</v>
      </c>
      <c r="R203" s="44">
        <f>ROUND(Q203*(1+取值表!$D$12)*取值表!$H$12,0)</f>
        <v>404364</v>
      </c>
      <c r="S203" s="44">
        <f>R203</f>
        <v>404364</v>
      </c>
      <c r="T203" s="44">
        <f>S203</f>
        <v>404364</v>
      </c>
      <c r="U203" s="44">
        <f>T203</f>
        <v>404364</v>
      </c>
      <c r="V203" s="44">
        <f>ROUND(U203*(1+取值表!$D$12)*取值表!$H$12,0)</f>
        <v>441842</v>
      </c>
      <c r="W203" s="44">
        <f t="shared" ref="W203:Y203" si="3029">V203</f>
        <v>441842</v>
      </c>
      <c r="X203" s="44">
        <f t="shared" si="3029"/>
        <v>441842</v>
      </c>
      <c r="Y203" s="44">
        <f t="shared" si="3029"/>
        <v>441842</v>
      </c>
      <c r="Z203" s="44">
        <f>ROUND(Y203*(1+取值表!$D$12)*取值表!$H$12,0)</f>
        <v>482793</v>
      </c>
      <c r="AA203" s="44">
        <f t="shared" ref="AA203:AC203" si="3030">Z203</f>
        <v>482793</v>
      </c>
      <c r="AB203" s="44">
        <f t="shared" si="3030"/>
        <v>482793</v>
      </c>
      <c r="AC203" s="44">
        <f t="shared" si="3030"/>
        <v>482793</v>
      </c>
      <c r="AD203" s="44">
        <f>ROUND(AC203*(1+取值表!$D$12)*取值表!$H$12,0)</f>
        <v>527540</v>
      </c>
      <c r="AE203" s="44">
        <f t="shared" ref="AE203:AG203" si="3031">AD203</f>
        <v>527540</v>
      </c>
      <c r="AF203" s="44">
        <f t="shared" si="3031"/>
        <v>527540</v>
      </c>
      <c r="AG203" s="44">
        <f t="shared" si="3031"/>
        <v>527540</v>
      </c>
      <c r="AH203" s="44">
        <f>ROUND(AG203*(1+取值表!$D$12)*取值表!$H$12,0)</f>
        <v>576434</v>
      </c>
      <c r="AI203" s="44">
        <f t="shared" ref="AI203:AK203" si="3032">AH203</f>
        <v>576434</v>
      </c>
      <c r="AJ203" s="44">
        <f t="shared" si="3032"/>
        <v>576434</v>
      </c>
      <c r="AK203" s="44">
        <f t="shared" si="3032"/>
        <v>576434</v>
      </c>
      <c r="AL203" s="44">
        <f>ROUND(AK203*(1+取值表!$D$12)*取值表!$H$12,0)</f>
        <v>629859</v>
      </c>
      <c r="AM203" s="44">
        <f t="shared" ref="AM203:AO203" si="3033">AL203</f>
        <v>629859</v>
      </c>
      <c r="AN203" s="44">
        <f t="shared" si="3033"/>
        <v>629859</v>
      </c>
      <c r="AO203" s="44">
        <f t="shared" si="3033"/>
        <v>629859</v>
      </c>
      <c r="AP203" s="44">
        <f>ROUND(AO203*(1+取值表!$D$12)*取值表!$H$12,0)</f>
        <v>688236</v>
      </c>
      <c r="AQ203" s="44">
        <f t="shared" ref="AQ203:AS203" si="3034">AP203</f>
        <v>688236</v>
      </c>
      <c r="AR203" s="44">
        <f t="shared" si="3034"/>
        <v>688236</v>
      </c>
      <c r="AS203" s="44">
        <f t="shared" si="3034"/>
        <v>688236</v>
      </c>
      <c r="AT203" s="44">
        <f>ROUND(AS203*(1+取值表!$D$12)*取值表!$H$12,0)</f>
        <v>752024</v>
      </c>
      <c r="AU203" s="44">
        <f t="shared" ref="AU203:AW203" si="3035">AT203</f>
        <v>752024</v>
      </c>
      <c r="AV203" s="44">
        <f t="shared" si="3035"/>
        <v>752024</v>
      </c>
      <c r="AW203" s="44">
        <f t="shared" si="3035"/>
        <v>752024</v>
      </c>
      <c r="AX203" s="44">
        <f>ROUND(AW203*(1+取值表!$D$12)*取值表!$H$12,0)</f>
        <v>821724</v>
      </c>
      <c r="AY203" s="44">
        <f t="shared" ref="AY203:BA203" si="3036">AX203</f>
        <v>821724</v>
      </c>
      <c r="AZ203" s="44">
        <f t="shared" si="3036"/>
        <v>821724</v>
      </c>
      <c r="BA203" s="44">
        <f t="shared" si="3036"/>
        <v>821724</v>
      </c>
      <c r="BB203" s="44">
        <f>ROUND(BA203*(1+取值表!$D$12)*取值表!$H$12,0)</f>
        <v>897884</v>
      </c>
      <c r="BC203" s="44">
        <f t="shared" ref="BC203:BE203" si="3037">BB203</f>
        <v>897884</v>
      </c>
      <c r="BD203" s="44">
        <f t="shared" si="3037"/>
        <v>897884</v>
      </c>
      <c r="BE203" s="44">
        <f t="shared" si="3037"/>
        <v>897884</v>
      </c>
      <c r="BF203" s="44">
        <f>ROUND(BE203*(1+取值表!$D$12)*取值表!$H$12,0)</f>
        <v>981102</v>
      </c>
      <c r="BG203" s="44">
        <f t="shared" ref="BG203:BI203" si="3038">BF203</f>
        <v>981102</v>
      </c>
      <c r="BH203" s="44">
        <f t="shared" si="3038"/>
        <v>981102</v>
      </c>
      <c r="BI203" s="44">
        <f t="shared" si="3038"/>
        <v>981102</v>
      </c>
      <c r="BJ203" s="44">
        <f>ROUND(BI203*(1+取值表!$D$12)*取值表!$H$12,0)</f>
        <v>1072033</v>
      </c>
      <c r="BK203" s="44">
        <f t="shared" ref="BK203:BM203" si="3039">BJ203</f>
        <v>1072033</v>
      </c>
      <c r="BL203" s="44">
        <f t="shared" si="3039"/>
        <v>1072033</v>
      </c>
      <c r="BM203" s="44">
        <f t="shared" si="3039"/>
        <v>1072033</v>
      </c>
      <c r="BN203" s="44">
        <f>ROUND(BM203*(1+取值表!$D$12)*取值表!$H$12,0)</f>
        <v>1171392</v>
      </c>
      <c r="BO203" s="44">
        <f t="shared" ref="BO203:BQ203" si="3040">BN203</f>
        <v>1171392</v>
      </c>
      <c r="BP203" s="44">
        <f t="shared" si="3040"/>
        <v>1171392</v>
      </c>
      <c r="BQ203" s="44">
        <f t="shared" si="3040"/>
        <v>1171392</v>
      </c>
      <c r="BR203" s="44">
        <f>ROUND(BQ203*(1+取值表!$D$12)*取值表!$H$12,0)</f>
        <v>1279960</v>
      </c>
      <c r="BS203" s="44">
        <f t="shared" ref="BS203:BU203" si="3041">BR203</f>
        <v>1279960</v>
      </c>
      <c r="BT203" s="44">
        <f t="shared" si="3041"/>
        <v>1279960</v>
      </c>
      <c r="BU203" s="44">
        <f t="shared" si="3041"/>
        <v>1279960</v>
      </c>
      <c r="BV203" s="44">
        <f>ROUND(BU203*(1+取值表!$D$12)*取值表!$H$12,0)</f>
        <v>1398590</v>
      </c>
      <c r="BW203" s="44">
        <f t="shared" ref="BW203:BY203" si="3042">BV203</f>
        <v>1398590</v>
      </c>
      <c r="BX203" s="44">
        <f t="shared" si="3042"/>
        <v>1398590</v>
      </c>
      <c r="BY203" s="44">
        <f t="shared" si="3042"/>
        <v>1398590</v>
      </c>
      <c r="BZ203" s="44">
        <f>ROUND(BY203*(1+取值表!$D$12)*取值表!$H$12,0)</f>
        <v>1528215</v>
      </c>
      <c r="CA203" s="44">
        <f t="shared" ref="CA203:CC203" si="3043">BZ203</f>
        <v>1528215</v>
      </c>
      <c r="CB203" s="44">
        <f t="shared" si="3043"/>
        <v>1528215</v>
      </c>
      <c r="CC203" s="44">
        <f t="shared" si="3043"/>
        <v>1528215</v>
      </c>
      <c r="CD203" s="44">
        <f>ROUND(CC203*(1+取值表!$D$12)*取值表!$H$12,0)</f>
        <v>1669854</v>
      </c>
      <c r="CE203" s="44">
        <f t="shared" ref="CE203:CG203" si="3044">CD203</f>
        <v>1669854</v>
      </c>
      <c r="CF203" s="44">
        <f t="shared" si="3044"/>
        <v>1669854</v>
      </c>
      <c r="CG203" s="44">
        <f t="shared" si="3044"/>
        <v>1669854</v>
      </c>
      <c r="CH203" s="44">
        <f>ROUND(CG203*(1+取值表!$D$12)*取值表!$H$12,0)</f>
        <v>1824621</v>
      </c>
      <c r="CI203" s="44">
        <f t="shared" ref="CI203:CK203" si="3045">CH203</f>
        <v>1824621</v>
      </c>
      <c r="CJ203" s="44">
        <f t="shared" si="3045"/>
        <v>1824621</v>
      </c>
      <c r="CK203" s="44">
        <f t="shared" si="3045"/>
        <v>1824621</v>
      </c>
      <c r="CL203" s="44">
        <f>ROUND(CK203*(1+取值表!$D$12)*取值表!$H$12,0)</f>
        <v>1993732</v>
      </c>
      <c r="CM203" s="44">
        <f t="shared" ref="CM203:CO203" si="3046">CL203</f>
        <v>1993732</v>
      </c>
      <c r="CN203" s="44">
        <f t="shared" si="3046"/>
        <v>1993732</v>
      </c>
      <c r="CO203" s="44">
        <f t="shared" si="3046"/>
        <v>1993732</v>
      </c>
      <c r="CP203" s="44">
        <f>ROUND(CO203*(1+取值表!$D$12)*取值表!$H$12,0)</f>
        <v>2178517</v>
      </c>
      <c r="CQ203" s="44">
        <f t="shared" ref="CQ203" si="3047">CP203</f>
        <v>2178517</v>
      </c>
      <c r="CR203" s="44">
        <f t="shared" ref="CR203" si="3048">CQ203</f>
        <v>2178517</v>
      </c>
      <c r="CS203" s="44">
        <f t="shared" ref="CS203" si="3049">CR203</f>
        <v>2178517</v>
      </c>
      <c r="CT203" s="44">
        <f>ROUND(CS203*(1+取值表!$D$12)*取值表!$H$12,0)</f>
        <v>2380428</v>
      </c>
      <c r="CU203" s="44">
        <f t="shared" ref="CU203" si="3050">CT203</f>
        <v>2380428</v>
      </c>
      <c r="CV203" s="44">
        <f t="shared" ref="CV203" si="3051">CU203</f>
        <v>2380428</v>
      </c>
      <c r="CW203" s="44">
        <f t="shared" ref="CW203" si="3052">CV203</f>
        <v>2380428</v>
      </c>
      <c r="CX203" s="44">
        <f>ROUND(CW203*(1+取值表!$D$12)*取值表!$H$12,0)</f>
        <v>2601053</v>
      </c>
      <c r="CY203" s="44">
        <f t="shared" ref="CY203" si="3053">CX203</f>
        <v>2601053</v>
      </c>
      <c r="CZ203" s="44">
        <f t="shared" ref="CZ203" si="3054">CY203</f>
        <v>2601053</v>
      </c>
      <c r="DA203" s="44">
        <f t="shared" ref="DA203" si="3055">CZ203</f>
        <v>2601053</v>
      </c>
      <c r="DB203" s="44">
        <f>ROUND(DA203*(1+取值表!$D$12)*取值表!$H$12,0)</f>
        <v>2842126</v>
      </c>
      <c r="DC203" s="44">
        <f t="shared" ref="DC203" si="3056">DB203</f>
        <v>2842126</v>
      </c>
      <c r="DD203" s="44">
        <f t="shared" ref="DD203" si="3057">DC203</f>
        <v>2842126</v>
      </c>
      <c r="DE203" s="44">
        <f t="shared" ref="DE203" si="3058">DD203</f>
        <v>2842126</v>
      </c>
      <c r="DF203" s="45">
        <f t="shared" si="2934"/>
        <v>119537812</v>
      </c>
    </row>
    <row r="204" spans="1:110" s="40" customFormat="1" ht="12">
      <c r="A204" s="517"/>
      <c r="B204" s="518"/>
      <c r="C204" s="450"/>
      <c r="D204" s="451"/>
      <c r="E204" s="452"/>
      <c r="F204" s="446"/>
      <c r="G204" s="446"/>
      <c r="H204" s="447"/>
      <c r="I204" s="41"/>
      <c r="J204" s="42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  <c r="CM204" s="44"/>
      <c r="CN204" s="44"/>
      <c r="CO204" s="44"/>
      <c r="CP204" s="44"/>
      <c r="CQ204" s="44"/>
      <c r="CR204" s="44"/>
      <c r="CS204" s="44"/>
      <c r="CT204" s="44"/>
      <c r="CU204" s="44"/>
      <c r="CV204" s="44"/>
      <c r="CW204" s="44"/>
      <c r="CX204" s="44"/>
      <c r="CY204" s="44"/>
      <c r="CZ204" s="44"/>
      <c r="DA204" s="44"/>
      <c r="DB204" s="44"/>
      <c r="DC204" s="44"/>
      <c r="DD204" s="44"/>
      <c r="DE204" s="44"/>
      <c r="DF204" s="45">
        <f t="shared" si="2934"/>
        <v>0</v>
      </c>
    </row>
    <row r="205" spans="1:110" s="52" customFormat="1" ht="12" customHeight="1">
      <c r="A205" s="516">
        <v>103</v>
      </c>
      <c r="B205" s="456" t="s">
        <v>208</v>
      </c>
      <c r="C205" s="457" t="s">
        <v>209</v>
      </c>
      <c r="D205" s="458" t="s">
        <v>495</v>
      </c>
      <c r="E205" s="459" t="s">
        <v>490</v>
      </c>
      <c r="F205" s="453">
        <v>289.64999999999998</v>
      </c>
      <c r="G205" s="453">
        <f>AVERAGE(14,14.5,14.5,15)</f>
        <v>14.5</v>
      </c>
      <c r="H205" s="454">
        <f>F205*G205*365</f>
        <v>1532972.6249999998</v>
      </c>
      <c r="I205" s="219">
        <v>380600.1</v>
      </c>
      <c r="J205" s="42">
        <f>K205</f>
        <v>370028</v>
      </c>
      <c r="K205" s="42">
        <f>L205</f>
        <v>370028</v>
      </c>
      <c r="L205" s="42">
        <f>M205</f>
        <v>370028</v>
      </c>
      <c r="M205" s="42">
        <f>N205</f>
        <v>370028</v>
      </c>
      <c r="N205" s="42">
        <f>O205</f>
        <v>370028</v>
      </c>
      <c r="O205" s="42">
        <f>ROUND(14*365*F205/4,0)</f>
        <v>370028</v>
      </c>
      <c r="P205" s="42">
        <f>Q205</f>
        <v>383243</v>
      </c>
      <c r="Q205" s="42">
        <f>R205</f>
        <v>383243</v>
      </c>
      <c r="R205" s="42">
        <f>S205</f>
        <v>383243</v>
      </c>
      <c r="S205" s="42">
        <f>ROUND(14.5*365*F205/4,0)</f>
        <v>383243</v>
      </c>
      <c r="T205" s="42">
        <f>U205</f>
        <v>396458</v>
      </c>
      <c r="U205" s="42">
        <f>V205</f>
        <v>396458</v>
      </c>
      <c r="V205" s="42">
        <f>W205</f>
        <v>396458</v>
      </c>
      <c r="W205" s="43">
        <f>ROUND(15*365*F205/4,0)</f>
        <v>396458</v>
      </c>
      <c r="X205" s="42">
        <f>W205</f>
        <v>396458</v>
      </c>
      <c r="Y205" s="42">
        <f>X205</f>
        <v>396458</v>
      </c>
      <c r="Z205" s="44">
        <f>ROUND(Y205*(1+取值表!$D$12)*取值表!$H$12,0)</f>
        <v>433203</v>
      </c>
      <c r="AA205" s="42">
        <f>Z205</f>
        <v>433203</v>
      </c>
      <c r="AB205" s="42">
        <f>AA205</f>
        <v>433203</v>
      </c>
      <c r="AC205" s="42">
        <f>AB205</f>
        <v>433203</v>
      </c>
      <c r="AD205" s="44">
        <f>ROUND(AC205*(1+取值表!$D$12)*取值表!$H$12,0)</f>
        <v>473353</v>
      </c>
      <c r="AE205" s="42">
        <f t="shared" ref="AE205:AG205" si="3059">AD205</f>
        <v>473353</v>
      </c>
      <c r="AF205" s="42">
        <f t="shared" si="3059"/>
        <v>473353</v>
      </c>
      <c r="AG205" s="42">
        <f t="shared" si="3059"/>
        <v>473353</v>
      </c>
      <c r="AH205" s="44">
        <f>ROUND(AG205*(1+取值表!$D$12)*取值表!$H$12,0)</f>
        <v>517225</v>
      </c>
      <c r="AI205" s="42">
        <f t="shared" ref="AI205:AK205" si="3060">AH205</f>
        <v>517225</v>
      </c>
      <c r="AJ205" s="42">
        <f t="shared" si="3060"/>
        <v>517225</v>
      </c>
      <c r="AK205" s="42">
        <f t="shared" si="3060"/>
        <v>517225</v>
      </c>
      <c r="AL205" s="44">
        <f>ROUND(AK205*(1+取值表!$D$12)*取值表!$H$12,0)</f>
        <v>565163</v>
      </c>
      <c r="AM205" s="42">
        <f t="shared" ref="AM205:AO205" si="3061">AL205</f>
        <v>565163</v>
      </c>
      <c r="AN205" s="42">
        <f t="shared" si="3061"/>
        <v>565163</v>
      </c>
      <c r="AO205" s="42">
        <f t="shared" si="3061"/>
        <v>565163</v>
      </c>
      <c r="AP205" s="44">
        <f>ROUND(AO205*(1+取值表!$D$12)*取值表!$H$12,0)</f>
        <v>617544</v>
      </c>
      <c r="AQ205" s="42">
        <f t="shared" ref="AQ205:AS205" si="3062">AP205</f>
        <v>617544</v>
      </c>
      <c r="AR205" s="42">
        <f t="shared" si="3062"/>
        <v>617544</v>
      </c>
      <c r="AS205" s="42">
        <f t="shared" si="3062"/>
        <v>617544</v>
      </c>
      <c r="AT205" s="44">
        <f>ROUND(AS205*(1+取值表!$D$12)*取值表!$H$12,0)</f>
        <v>674780</v>
      </c>
      <c r="AU205" s="42">
        <f t="shared" ref="AU205:AW205" si="3063">AT205</f>
        <v>674780</v>
      </c>
      <c r="AV205" s="42">
        <f t="shared" si="3063"/>
        <v>674780</v>
      </c>
      <c r="AW205" s="42">
        <f t="shared" si="3063"/>
        <v>674780</v>
      </c>
      <c r="AX205" s="44">
        <f>ROUND(AW205*(1+取值表!$D$12)*取值表!$H$12,0)</f>
        <v>737320</v>
      </c>
      <c r="AY205" s="42">
        <f t="shared" ref="AY205:BA205" si="3064">AX205</f>
        <v>737320</v>
      </c>
      <c r="AZ205" s="42">
        <f t="shared" si="3064"/>
        <v>737320</v>
      </c>
      <c r="BA205" s="42">
        <f t="shared" si="3064"/>
        <v>737320</v>
      </c>
      <c r="BB205" s="44">
        <f>ROUND(BA205*(1+取值表!$D$12)*取值表!$H$12,0)</f>
        <v>805657</v>
      </c>
      <c r="BC205" s="42">
        <f t="shared" ref="BC205:BE205" si="3065">BB205</f>
        <v>805657</v>
      </c>
      <c r="BD205" s="42">
        <f t="shared" si="3065"/>
        <v>805657</v>
      </c>
      <c r="BE205" s="42">
        <f t="shared" si="3065"/>
        <v>805657</v>
      </c>
      <c r="BF205" s="44">
        <f>ROUND(BE205*(1+取值表!$D$12)*取值表!$H$12,0)</f>
        <v>880328</v>
      </c>
      <c r="BG205" s="42">
        <f t="shared" ref="BG205:BI205" si="3066">BF205</f>
        <v>880328</v>
      </c>
      <c r="BH205" s="42">
        <f t="shared" si="3066"/>
        <v>880328</v>
      </c>
      <c r="BI205" s="42">
        <f t="shared" si="3066"/>
        <v>880328</v>
      </c>
      <c r="BJ205" s="44">
        <f>ROUND(BI205*(1+取值表!$D$12)*取值表!$H$12,0)</f>
        <v>961919</v>
      </c>
      <c r="BK205" s="42">
        <f t="shared" ref="BK205:BM205" si="3067">BJ205</f>
        <v>961919</v>
      </c>
      <c r="BL205" s="42">
        <f t="shared" si="3067"/>
        <v>961919</v>
      </c>
      <c r="BM205" s="42">
        <f t="shared" si="3067"/>
        <v>961919</v>
      </c>
      <c r="BN205" s="44">
        <f>ROUND(BM205*(1+取值表!$D$12)*取值表!$H$12,0)</f>
        <v>1051072</v>
      </c>
      <c r="BO205" s="42">
        <f t="shared" ref="BO205:BQ205" si="3068">BN205</f>
        <v>1051072</v>
      </c>
      <c r="BP205" s="42">
        <f t="shared" si="3068"/>
        <v>1051072</v>
      </c>
      <c r="BQ205" s="42">
        <f t="shared" si="3068"/>
        <v>1051072</v>
      </c>
      <c r="BR205" s="44">
        <f>ROUND(BQ205*(1+取值表!$D$12)*取值表!$H$12,0)</f>
        <v>1148488</v>
      </c>
      <c r="BS205" s="42">
        <f t="shared" ref="BS205:BU205" si="3069">BR205</f>
        <v>1148488</v>
      </c>
      <c r="BT205" s="42">
        <f t="shared" si="3069"/>
        <v>1148488</v>
      </c>
      <c r="BU205" s="42">
        <f t="shared" si="3069"/>
        <v>1148488</v>
      </c>
      <c r="BV205" s="44">
        <f>ROUND(BU205*(1+取值表!$D$12)*取值表!$H$12,0)</f>
        <v>1254933</v>
      </c>
      <c r="BW205" s="42">
        <f t="shared" ref="BW205:BY205" si="3070">BV205</f>
        <v>1254933</v>
      </c>
      <c r="BX205" s="42">
        <f t="shared" si="3070"/>
        <v>1254933</v>
      </c>
      <c r="BY205" s="42">
        <f t="shared" si="3070"/>
        <v>1254933</v>
      </c>
      <c r="BZ205" s="44">
        <f>ROUND(BY205*(1+取值表!$D$12)*取值表!$H$12,0)</f>
        <v>1371244</v>
      </c>
      <c r="CA205" s="42">
        <f t="shared" ref="CA205:CC205" si="3071">BZ205</f>
        <v>1371244</v>
      </c>
      <c r="CB205" s="42">
        <f t="shared" si="3071"/>
        <v>1371244</v>
      </c>
      <c r="CC205" s="42">
        <f t="shared" si="3071"/>
        <v>1371244</v>
      </c>
      <c r="CD205" s="44">
        <f>ROUND(CC205*(1+取值表!$D$12)*取值表!$H$12,0)</f>
        <v>1498335</v>
      </c>
      <c r="CE205" s="42">
        <f t="shared" ref="CE205:CG205" si="3072">CD205</f>
        <v>1498335</v>
      </c>
      <c r="CF205" s="42">
        <f t="shared" si="3072"/>
        <v>1498335</v>
      </c>
      <c r="CG205" s="42">
        <f t="shared" si="3072"/>
        <v>1498335</v>
      </c>
      <c r="CH205" s="44">
        <f>ROUND(CG205*(1+取值表!$D$12)*取值表!$H$12,0)</f>
        <v>1637205</v>
      </c>
      <c r="CI205" s="42">
        <f t="shared" ref="CI205:CK205" si="3073">CH205</f>
        <v>1637205</v>
      </c>
      <c r="CJ205" s="42">
        <f t="shared" si="3073"/>
        <v>1637205</v>
      </c>
      <c r="CK205" s="42">
        <f t="shared" si="3073"/>
        <v>1637205</v>
      </c>
      <c r="CL205" s="44">
        <f>ROUND(CK205*(1+取值表!$D$12)*取值表!$H$12,0)</f>
        <v>1788946</v>
      </c>
      <c r="CM205" s="42">
        <f t="shared" ref="CM205:CO205" si="3074">CL205</f>
        <v>1788946</v>
      </c>
      <c r="CN205" s="42">
        <f t="shared" si="3074"/>
        <v>1788946</v>
      </c>
      <c r="CO205" s="42">
        <f t="shared" si="3074"/>
        <v>1788946</v>
      </c>
      <c r="CP205" s="44">
        <f>ROUND(CO205*(1+取值表!$D$12)*取值表!$H$12,0)</f>
        <v>1954750</v>
      </c>
      <c r="CQ205" s="42">
        <f t="shared" ref="CQ205" si="3075">CP205</f>
        <v>1954750</v>
      </c>
      <c r="CR205" s="42">
        <f t="shared" ref="CR205" si="3076">CQ205</f>
        <v>1954750</v>
      </c>
      <c r="CS205" s="42">
        <f t="shared" ref="CS205" si="3077">CR205</f>
        <v>1954750</v>
      </c>
      <c r="CT205" s="44">
        <f>ROUND(CS205*(1+取值表!$D$12)*取值表!$H$12,0)</f>
        <v>2135922</v>
      </c>
      <c r="CU205" s="42">
        <f t="shared" ref="CU205" si="3078">CT205</f>
        <v>2135922</v>
      </c>
      <c r="CV205" s="42">
        <f t="shared" ref="CV205" si="3079">CU205</f>
        <v>2135922</v>
      </c>
      <c r="CW205" s="42">
        <f t="shared" ref="CW205" si="3080">CV205</f>
        <v>2135922</v>
      </c>
      <c r="CX205" s="44">
        <f>ROUND(CW205*(1+取值表!$D$12)*取值表!$H$12,0)</f>
        <v>2333885</v>
      </c>
      <c r="CY205" s="42">
        <f t="shared" ref="CY205" si="3081">CX205</f>
        <v>2333885</v>
      </c>
      <c r="CZ205" s="42">
        <f t="shared" ref="CZ205" si="3082">CY205</f>
        <v>2333885</v>
      </c>
      <c r="DA205" s="42">
        <f t="shared" ref="DA205" si="3083">CZ205</f>
        <v>2333885</v>
      </c>
      <c r="DB205" s="44">
        <f>ROUND(DA205*(1+取值表!$D$12)*取值表!$H$12,0)</f>
        <v>2550196</v>
      </c>
      <c r="DC205" s="42">
        <f t="shared" ref="DC205" si="3084">DB205</f>
        <v>2550196</v>
      </c>
      <c r="DD205" s="42">
        <f t="shared" ref="DD205" si="3085">DC205</f>
        <v>2550196</v>
      </c>
      <c r="DE205" s="42">
        <f t="shared" ref="DE205" si="3086">DD205</f>
        <v>2550196</v>
      </c>
      <c r="DF205" s="45">
        <f t="shared" si="2934"/>
        <v>107697760</v>
      </c>
    </row>
    <row r="206" spans="1:110" s="52" customFormat="1" ht="12">
      <c r="A206" s="517"/>
      <c r="B206" s="456"/>
      <c r="C206" s="457"/>
      <c r="D206" s="458"/>
      <c r="E206" s="459"/>
      <c r="F206" s="453"/>
      <c r="G206" s="453"/>
      <c r="H206" s="454"/>
      <c r="I206" s="219">
        <v>0</v>
      </c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  <c r="BT206" s="42"/>
      <c r="BU206" s="42"/>
      <c r="BV206" s="42"/>
      <c r="BW206" s="42"/>
      <c r="BX206" s="42"/>
      <c r="BY206" s="42"/>
      <c r="BZ206" s="42"/>
      <c r="CA206" s="42"/>
      <c r="CB206" s="42"/>
      <c r="CC206" s="42"/>
      <c r="CD206" s="42"/>
      <c r="CE206" s="42"/>
      <c r="CF206" s="42"/>
      <c r="CG206" s="42"/>
      <c r="CH206" s="42"/>
      <c r="CI206" s="42"/>
      <c r="CJ206" s="42"/>
      <c r="CK206" s="42"/>
      <c r="CL206" s="42"/>
      <c r="CM206" s="42"/>
      <c r="CN206" s="42"/>
      <c r="CO206" s="42"/>
      <c r="CP206" s="42"/>
      <c r="CQ206" s="42"/>
      <c r="CR206" s="42"/>
      <c r="CS206" s="42"/>
      <c r="CT206" s="42"/>
      <c r="CU206" s="42"/>
      <c r="CV206" s="42"/>
      <c r="CW206" s="42"/>
      <c r="CX206" s="42"/>
      <c r="CY206" s="42"/>
      <c r="CZ206" s="42"/>
      <c r="DA206" s="42"/>
      <c r="DB206" s="42"/>
      <c r="DC206" s="42"/>
      <c r="DD206" s="42"/>
      <c r="DE206" s="42"/>
      <c r="DF206" s="45">
        <f t="shared" si="2934"/>
        <v>0</v>
      </c>
    </row>
    <row r="207" spans="1:110" s="40" customFormat="1" ht="12" customHeight="1">
      <c r="A207" s="516">
        <v>104</v>
      </c>
      <c r="B207" s="518" t="s">
        <v>210</v>
      </c>
      <c r="C207" s="450" t="s">
        <v>13</v>
      </c>
      <c r="D207" s="451" t="s">
        <v>211</v>
      </c>
      <c r="E207" s="452" t="s">
        <v>490</v>
      </c>
      <c r="F207" s="446">
        <v>220.61</v>
      </c>
      <c r="G207" s="446">
        <f>AVERAGE(15,16)</f>
        <v>15.5</v>
      </c>
      <c r="H207" s="447">
        <f>F207*G207*365</f>
        <v>1248101.0750000002</v>
      </c>
      <c r="I207" s="41">
        <v>294511.59000000003</v>
      </c>
      <c r="J207" s="42">
        <f>ROUND(15*365*F207/4,0)</f>
        <v>301960</v>
      </c>
      <c r="K207" s="44">
        <f>L207</f>
        <v>322091</v>
      </c>
      <c r="L207" s="44">
        <f>M207</f>
        <v>322091</v>
      </c>
      <c r="M207" s="44">
        <f>N207</f>
        <v>322091</v>
      </c>
      <c r="N207" s="43">
        <f>ROUND(16*365*F207/4,0)</f>
        <v>322091</v>
      </c>
      <c r="O207" s="44">
        <f>N207</f>
        <v>322091</v>
      </c>
      <c r="P207" s="44">
        <f>O207</f>
        <v>322091</v>
      </c>
      <c r="Q207" s="44">
        <f>P207</f>
        <v>322091</v>
      </c>
      <c r="R207" s="44">
        <f>ROUND(Q207*(1+取值表!$D$12)*取值表!$H$12,0)</f>
        <v>351943</v>
      </c>
      <c r="S207" s="44">
        <f>R207</f>
        <v>351943</v>
      </c>
      <c r="T207" s="44">
        <f>S207</f>
        <v>351943</v>
      </c>
      <c r="U207" s="44">
        <f>T207</f>
        <v>351943</v>
      </c>
      <c r="V207" s="44">
        <f>ROUND(U207*(1+取值表!$D$12)*取值表!$H$12,0)</f>
        <v>384562</v>
      </c>
      <c r="W207" s="44">
        <f t="shared" ref="W207:Y207" si="3087">V207</f>
        <v>384562</v>
      </c>
      <c r="X207" s="44">
        <f t="shared" si="3087"/>
        <v>384562</v>
      </c>
      <c r="Y207" s="44">
        <f t="shared" si="3087"/>
        <v>384562</v>
      </c>
      <c r="Z207" s="44">
        <f>ROUND(Y207*(1+取值表!$D$12)*取值表!$H$12,0)</f>
        <v>420204</v>
      </c>
      <c r="AA207" s="44">
        <f t="shared" ref="AA207:AC207" si="3088">Z207</f>
        <v>420204</v>
      </c>
      <c r="AB207" s="44">
        <f t="shared" si="3088"/>
        <v>420204</v>
      </c>
      <c r="AC207" s="44">
        <f t="shared" si="3088"/>
        <v>420204</v>
      </c>
      <c r="AD207" s="44">
        <f>ROUND(AC207*(1+取值表!$D$12)*取值表!$H$12,0)</f>
        <v>459150</v>
      </c>
      <c r="AE207" s="44">
        <f t="shared" ref="AE207:AG207" si="3089">AD207</f>
        <v>459150</v>
      </c>
      <c r="AF207" s="44">
        <f t="shared" si="3089"/>
        <v>459150</v>
      </c>
      <c r="AG207" s="44">
        <f t="shared" si="3089"/>
        <v>459150</v>
      </c>
      <c r="AH207" s="44">
        <f>ROUND(AG207*(1+取值表!$D$12)*取值表!$H$12,0)</f>
        <v>501705</v>
      </c>
      <c r="AI207" s="44">
        <f t="shared" ref="AI207:AK207" si="3090">AH207</f>
        <v>501705</v>
      </c>
      <c r="AJ207" s="44">
        <f t="shared" si="3090"/>
        <v>501705</v>
      </c>
      <c r="AK207" s="44">
        <f t="shared" si="3090"/>
        <v>501705</v>
      </c>
      <c r="AL207" s="44">
        <f>ROUND(AK207*(1+取值表!$D$12)*取值表!$H$12,0)</f>
        <v>548204</v>
      </c>
      <c r="AM207" s="44">
        <f t="shared" ref="AM207:AO207" si="3091">AL207</f>
        <v>548204</v>
      </c>
      <c r="AN207" s="44">
        <f t="shared" si="3091"/>
        <v>548204</v>
      </c>
      <c r="AO207" s="44">
        <f t="shared" si="3091"/>
        <v>548204</v>
      </c>
      <c r="AP207" s="44">
        <f>ROUND(AO207*(1+取值表!$D$12)*取值表!$H$12,0)</f>
        <v>599013</v>
      </c>
      <c r="AQ207" s="44">
        <f t="shared" ref="AQ207:AS207" si="3092">AP207</f>
        <v>599013</v>
      </c>
      <c r="AR207" s="44">
        <f t="shared" si="3092"/>
        <v>599013</v>
      </c>
      <c r="AS207" s="44">
        <f t="shared" si="3092"/>
        <v>599013</v>
      </c>
      <c r="AT207" s="44">
        <f>ROUND(AS207*(1+取值表!$D$12)*取值表!$H$12,0)</f>
        <v>654531</v>
      </c>
      <c r="AU207" s="44">
        <f t="shared" ref="AU207:AW207" si="3093">AT207</f>
        <v>654531</v>
      </c>
      <c r="AV207" s="44">
        <f t="shared" si="3093"/>
        <v>654531</v>
      </c>
      <c r="AW207" s="44">
        <f t="shared" si="3093"/>
        <v>654531</v>
      </c>
      <c r="AX207" s="44">
        <f>ROUND(AW207*(1+取值表!$D$12)*取值表!$H$12,0)</f>
        <v>715195</v>
      </c>
      <c r="AY207" s="44">
        <f t="shared" ref="AY207:BA207" si="3094">AX207</f>
        <v>715195</v>
      </c>
      <c r="AZ207" s="44">
        <f t="shared" si="3094"/>
        <v>715195</v>
      </c>
      <c r="BA207" s="44">
        <f t="shared" si="3094"/>
        <v>715195</v>
      </c>
      <c r="BB207" s="44">
        <f>ROUND(BA207*(1+取值表!$D$12)*取值表!$H$12,0)</f>
        <v>781481</v>
      </c>
      <c r="BC207" s="44">
        <f t="shared" ref="BC207:BE207" si="3095">BB207</f>
        <v>781481</v>
      </c>
      <c r="BD207" s="44">
        <f t="shared" si="3095"/>
        <v>781481</v>
      </c>
      <c r="BE207" s="44">
        <f t="shared" si="3095"/>
        <v>781481</v>
      </c>
      <c r="BF207" s="44">
        <f>ROUND(BE207*(1+取值表!$D$12)*取值表!$H$12,0)</f>
        <v>853911</v>
      </c>
      <c r="BG207" s="44">
        <f t="shared" ref="BG207:BI207" si="3096">BF207</f>
        <v>853911</v>
      </c>
      <c r="BH207" s="44">
        <f t="shared" si="3096"/>
        <v>853911</v>
      </c>
      <c r="BI207" s="44">
        <f t="shared" si="3096"/>
        <v>853911</v>
      </c>
      <c r="BJ207" s="44">
        <f>ROUND(BI207*(1+取值表!$D$12)*取值表!$H$12,0)</f>
        <v>933054</v>
      </c>
      <c r="BK207" s="44">
        <f t="shared" ref="BK207:BM207" si="3097">BJ207</f>
        <v>933054</v>
      </c>
      <c r="BL207" s="44">
        <f t="shared" si="3097"/>
        <v>933054</v>
      </c>
      <c r="BM207" s="44">
        <f t="shared" si="3097"/>
        <v>933054</v>
      </c>
      <c r="BN207" s="44">
        <f>ROUND(BM207*(1+取值表!$D$12)*取值表!$H$12,0)</f>
        <v>1019532</v>
      </c>
      <c r="BO207" s="44">
        <f t="shared" ref="BO207:BQ207" si="3098">BN207</f>
        <v>1019532</v>
      </c>
      <c r="BP207" s="44">
        <f t="shared" si="3098"/>
        <v>1019532</v>
      </c>
      <c r="BQ207" s="44">
        <f t="shared" si="3098"/>
        <v>1019532</v>
      </c>
      <c r="BR207" s="44">
        <f>ROUND(BQ207*(1+取值表!$D$12)*取值表!$H$12,0)</f>
        <v>1114025</v>
      </c>
      <c r="BS207" s="44">
        <f t="shared" ref="BS207:BU207" si="3099">BR207</f>
        <v>1114025</v>
      </c>
      <c r="BT207" s="44">
        <f t="shared" si="3099"/>
        <v>1114025</v>
      </c>
      <c r="BU207" s="44">
        <f t="shared" si="3099"/>
        <v>1114025</v>
      </c>
      <c r="BV207" s="44">
        <f>ROUND(BU207*(1+取值表!$D$12)*取值表!$H$12,0)</f>
        <v>1217276</v>
      </c>
      <c r="BW207" s="44">
        <f t="shared" ref="BW207:BY207" si="3100">BV207</f>
        <v>1217276</v>
      </c>
      <c r="BX207" s="44">
        <f t="shared" si="3100"/>
        <v>1217276</v>
      </c>
      <c r="BY207" s="44">
        <f t="shared" si="3100"/>
        <v>1217276</v>
      </c>
      <c r="BZ207" s="44">
        <f>ROUND(BY207*(1+取值表!$D$12)*取值表!$H$12,0)</f>
        <v>1330096</v>
      </c>
      <c r="CA207" s="44">
        <f t="shared" ref="CA207:CC207" si="3101">BZ207</f>
        <v>1330096</v>
      </c>
      <c r="CB207" s="44">
        <f t="shared" si="3101"/>
        <v>1330096</v>
      </c>
      <c r="CC207" s="44">
        <f t="shared" si="3101"/>
        <v>1330096</v>
      </c>
      <c r="CD207" s="44">
        <f>ROUND(CC207*(1+取值表!$D$12)*取值表!$H$12,0)</f>
        <v>1453373</v>
      </c>
      <c r="CE207" s="44">
        <f t="shared" ref="CE207:CG207" si="3102">CD207</f>
        <v>1453373</v>
      </c>
      <c r="CF207" s="44">
        <f t="shared" si="3102"/>
        <v>1453373</v>
      </c>
      <c r="CG207" s="44">
        <f t="shared" si="3102"/>
        <v>1453373</v>
      </c>
      <c r="CH207" s="44">
        <f>ROUND(CG207*(1+取值表!$D$12)*取值表!$H$12,0)</f>
        <v>1588076</v>
      </c>
      <c r="CI207" s="44">
        <f t="shared" ref="CI207:CK207" si="3103">CH207</f>
        <v>1588076</v>
      </c>
      <c r="CJ207" s="44">
        <f t="shared" si="3103"/>
        <v>1588076</v>
      </c>
      <c r="CK207" s="44">
        <f t="shared" si="3103"/>
        <v>1588076</v>
      </c>
      <c r="CL207" s="44">
        <f>ROUND(CK207*(1+取值表!$D$12)*取值表!$H$12,0)</f>
        <v>1735263</v>
      </c>
      <c r="CM207" s="44">
        <f t="shared" ref="CM207:CO207" si="3104">CL207</f>
        <v>1735263</v>
      </c>
      <c r="CN207" s="44">
        <f t="shared" si="3104"/>
        <v>1735263</v>
      </c>
      <c r="CO207" s="44">
        <f t="shared" si="3104"/>
        <v>1735263</v>
      </c>
      <c r="CP207" s="44">
        <f>ROUND(CO207*(1+取值表!$D$12)*取值表!$H$12,0)</f>
        <v>1896092</v>
      </c>
      <c r="CQ207" s="44">
        <f t="shared" ref="CQ207" si="3105">CP207</f>
        <v>1896092</v>
      </c>
      <c r="CR207" s="44">
        <f t="shared" ref="CR207" si="3106">CQ207</f>
        <v>1896092</v>
      </c>
      <c r="CS207" s="44">
        <f t="shared" ref="CS207" si="3107">CR207</f>
        <v>1896092</v>
      </c>
      <c r="CT207" s="44">
        <f>ROUND(CS207*(1+取值表!$D$12)*取值表!$H$12,0)</f>
        <v>2071827</v>
      </c>
      <c r="CU207" s="44">
        <f t="shared" ref="CU207" si="3108">CT207</f>
        <v>2071827</v>
      </c>
      <c r="CV207" s="44">
        <f t="shared" ref="CV207" si="3109">CU207</f>
        <v>2071827</v>
      </c>
      <c r="CW207" s="44">
        <f t="shared" ref="CW207" si="3110">CV207</f>
        <v>2071827</v>
      </c>
      <c r="CX207" s="44">
        <f>ROUND(CW207*(1+取值表!$D$12)*取值表!$H$12,0)</f>
        <v>2263850</v>
      </c>
      <c r="CY207" s="44">
        <f t="shared" ref="CY207" si="3111">CX207</f>
        <v>2263850</v>
      </c>
      <c r="CZ207" s="44">
        <f t="shared" ref="CZ207" si="3112">CY207</f>
        <v>2263850</v>
      </c>
      <c r="DA207" s="44">
        <f t="shared" ref="DA207" si="3113">CZ207</f>
        <v>2263850</v>
      </c>
      <c r="DB207" s="44">
        <f>ROUND(DA207*(1+取值表!$D$12)*取值表!$H$12,0)</f>
        <v>2473670</v>
      </c>
      <c r="DC207" s="44">
        <f t="shared" ref="DC207" si="3114">DB207</f>
        <v>2473670</v>
      </c>
      <c r="DD207" s="44">
        <f t="shared" ref="DD207" si="3115">DC207</f>
        <v>2473670</v>
      </c>
      <c r="DE207" s="44">
        <f t="shared" ref="DE207" si="3116">DD207</f>
        <v>2473670</v>
      </c>
      <c r="DF207" s="45">
        <f t="shared" si="2934"/>
        <v>104020729</v>
      </c>
    </row>
    <row r="208" spans="1:110" s="40" customFormat="1" ht="12">
      <c r="A208" s="517"/>
      <c r="B208" s="518"/>
      <c r="C208" s="450"/>
      <c r="D208" s="451"/>
      <c r="E208" s="452"/>
      <c r="F208" s="446"/>
      <c r="G208" s="446"/>
      <c r="H208" s="447"/>
      <c r="I208" s="41"/>
      <c r="J208" s="42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  <c r="CM208" s="44"/>
      <c r="CN208" s="44"/>
      <c r="CO208" s="44"/>
      <c r="CP208" s="44"/>
      <c r="CQ208" s="44"/>
      <c r="CR208" s="44"/>
      <c r="CS208" s="44"/>
      <c r="CT208" s="44"/>
      <c r="CU208" s="44"/>
      <c r="CV208" s="44"/>
      <c r="CW208" s="44"/>
      <c r="CX208" s="44"/>
      <c r="CY208" s="44"/>
      <c r="CZ208" s="44"/>
      <c r="DA208" s="44"/>
      <c r="DB208" s="44"/>
      <c r="DC208" s="44"/>
      <c r="DD208" s="44"/>
      <c r="DE208" s="44"/>
      <c r="DF208" s="45">
        <f t="shared" si="2934"/>
        <v>0</v>
      </c>
    </row>
    <row r="209" spans="1:111" s="40" customFormat="1" ht="12" customHeight="1">
      <c r="A209" s="516">
        <v>105</v>
      </c>
      <c r="B209" s="518" t="s">
        <v>212</v>
      </c>
      <c r="C209" s="450" t="s">
        <v>709</v>
      </c>
      <c r="D209" s="451" t="s">
        <v>496</v>
      </c>
      <c r="E209" s="452" t="s">
        <v>490</v>
      </c>
      <c r="F209" s="446">
        <v>305.67</v>
      </c>
      <c r="G209" s="446">
        <v>16</v>
      </c>
      <c r="H209" s="447">
        <f>F209*G209*365</f>
        <v>1785112.8</v>
      </c>
      <c r="I209" s="41">
        <v>482538.3</v>
      </c>
      <c r="J209" s="42">
        <f>ROUND(F209*G209*365/4,0)</f>
        <v>446278</v>
      </c>
      <c r="K209" s="44">
        <f t="shared" ref="K209:Q209" si="3117">J209</f>
        <v>446278</v>
      </c>
      <c r="L209" s="44">
        <f t="shared" si="3117"/>
        <v>446278</v>
      </c>
      <c r="M209" s="44">
        <f t="shared" si="3117"/>
        <v>446278</v>
      </c>
      <c r="N209" s="44">
        <f t="shared" si="3117"/>
        <v>446278</v>
      </c>
      <c r="O209" s="43">
        <f t="shared" si="3117"/>
        <v>446278</v>
      </c>
      <c r="P209" s="44">
        <f t="shared" si="3117"/>
        <v>446278</v>
      </c>
      <c r="Q209" s="44">
        <f t="shared" si="3117"/>
        <v>446278</v>
      </c>
      <c r="R209" s="44">
        <f>ROUND(Q209*(1+取值表!$D$12)*取值表!$H$12,0)</f>
        <v>487640</v>
      </c>
      <c r="S209" s="44">
        <f>R209</f>
        <v>487640</v>
      </c>
      <c r="T209" s="44">
        <f>S209</f>
        <v>487640</v>
      </c>
      <c r="U209" s="44">
        <f>T209</f>
        <v>487640</v>
      </c>
      <c r="V209" s="44">
        <f>ROUND(U209*(1+取值表!$D$12)*取值表!$H$12,0)</f>
        <v>532836</v>
      </c>
      <c r="W209" s="44">
        <f t="shared" ref="W209:Y209" si="3118">V209</f>
        <v>532836</v>
      </c>
      <c r="X209" s="44">
        <f t="shared" si="3118"/>
        <v>532836</v>
      </c>
      <c r="Y209" s="44">
        <f t="shared" si="3118"/>
        <v>532836</v>
      </c>
      <c r="Z209" s="44">
        <f>ROUND(Y209*(1+取值表!$D$12)*取值表!$H$12,0)</f>
        <v>582221</v>
      </c>
      <c r="AA209" s="44">
        <f t="shared" ref="AA209:AC209" si="3119">Z209</f>
        <v>582221</v>
      </c>
      <c r="AB209" s="44">
        <f t="shared" si="3119"/>
        <v>582221</v>
      </c>
      <c r="AC209" s="44">
        <f t="shared" si="3119"/>
        <v>582221</v>
      </c>
      <c r="AD209" s="44">
        <f>ROUND(AC209*(1+取值表!$D$12)*取值表!$H$12,0)</f>
        <v>636183</v>
      </c>
      <c r="AE209" s="44">
        <f t="shared" ref="AE209:AG209" si="3120">AD209</f>
        <v>636183</v>
      </c>
      <c r="AF209" s="44">
        <f t="shared" si="3120"/>
        <v>636183</v>
      </c>
      <c r="AG209" s="44">
        <f t="shared" si="3120"/>
        <v>636183</v>
      </c>
      <c r="AH209" s="44">
        <f>ROUND(AG209*(1+取值表!$D$12)*取值表!$H$12,0)</f>
        <v>695146</v>
      </c>
      <c r="AI209" s="44">
        <f t="shared" ref="AI209:AK209" si="3121">AH209</f>
        <v>695146</v>
      </c>
      <c r="AJ209" s="44">
        <f t="shared" si="3121"/>
        <v>695146</v>
      </c>
      <c r="AK209" s="44">
        <f t="shared" si="3121"/>
        <v>695146</v>
      </c>
      <c r="AL209" s="44">
        <f>ROUND(AK209*(1+取值表!$D$12)*取值表!$H$12,0)</f>
        <v>759574</v>
      </c>
      <c r="AM209" s="44">
        <f t="shared" ref="AM209:AO209" si="3122">AL209</f>
        <v>759574</v>
      </c>
      <c r="AN209" s="44">
        <f t="shared" si="3122"/>
        <v>759574</v>
      </c>
      <c r="AO209" s="44">
        <f t="shared" si="3122"/>
        <v>759574</v>
      </c>
      <c r="AP209" s="44">
        <f>ROUND(AO209*(1+取值表!$D$12)*取值表!$H$12,0)</f>
        <v>829973</v>
      </c>
      <c r="AQ209" s="44">
        <f t="shared" ref="AQ209:AS209" si="3123">AP209</f>
        <v>829973</v>
      </c>
      <c r="AR209" s="44">
        <f t="shared" si="3123"/>
        <v>829973</v>
      </c>
      <c r="AS209" s="44">
        <f t="shared" si="3123"/>
        <v>829973</v>
      </c>
      <c r="AT209" s="44">
        <f>ROUND(AS209*(1+取值表!$D$12)*取值表!$H$12,0)</f>
        <v>906897</v>
      </c>
      <c r="AU209" s="44">
        <f t="shared" ref="AU209:AW209" si="3124">AT209</f>
        <v>906897</v>
      </c>
      <c r="AV209" s="44">
        <f t="shared" si="3124"/>
        <v>906897</v>
      </c>
      <c r="AW209" s="44">
        <f t="shared" si="3124"/>
        <v>906897</v>
      </c>
      <c r="AX209" s="44">
        <f>ROUND(AW209*(1+取值表!$D$12)*取值表!$H$12,0)</f>
        <v>990951</v>
      </c>
      <c r="AY209" s="44">
        <f t="shared" ref="AY209:BA209" si="3125">AX209</f>
        <v>990951</v>
      </c>
      <c r="AZ209" s="44">
        <f t="shared" si="3125"/>
        <v>990951</v>
      </c>
      <c r="BA209" s="44">
        <f t="shared" si="3125"/>
        <v>990951</v>
      </c>
      <c r="BB209" s="44">
        <f>ROUND(BA209*(1+取值表!$D$12)*取值表!$H$12,0)</f>
        <v>1082795</v>
      </c>
      <c r="BC209" s="44">
        <f t="shared" ref="BC209:BE209" si="3126">BB209</f>
        <v>1082795</v>
      </c>
      <c r="BD209" s="44">
        <f t="shared" si="3126"/>
        <v>1082795</v>
      </c>
      <c r="BE209" s="44">
        <f t="shared" si="3126"/>
        <v>1082795</v>
      </c>
      <c r="BF209" s="44">
        <f>ROUND(BE209*(1+取值表!$D$12)*取值表!$H$12,0)</f>
        <v>1183151</v>
      </c>
      <c r="BG209" s="44">
        <f t="shared" ref="BG209:BI209" si="3127">BF209</f>
        <v>1183151</v>
      </c>
      <c r="BH209" s="44">
        <f t="shared" si="3127"/>
        <v>1183151</v>
      </c>
      <c r="BI209" s="44">
        <f t="shared" si="3127"/>
        <v>1183151</v>
      </c>
      <c r="BJ209" s="44">
        <f>ROUND(BI209*(1+取值表!$D$12)*取值表!$H$12,0)</f>
        <v>1292809</v>
      </c>
      <c r="BK209" s="44">
        <f t="shared" ref="BK209:BM209" si="3128">BJ209</f>
        <v>1292809</v>
      </c>
      <c r="BL209" s="44">
        <f t="shared" si="3128"/>
        <v>1292809</v>
      </c>
      <c r="BM209" s="44">
        <f t="shared" si="3128"/>
        <v>1292809</v>
      </c>
      <c r="BN209" s="44">
        <f>ROUND(BM209*(1+取值表!$D$12)*取值表!$H$12,0)</f>
        <v>1412630</v>
      </c>
      <c r="BO209" s="44">
        <f t="shared" ref="BO209:BQ209" si="3129">BN209</f>
        <v>1412630</v>
      </c>
      <c r="BP209" s="44">
        <f t="shared" si="3129"/>
        <v>1412630</v>
      </c>
      <c r="BQ209" s="44">
        <f t="shared" si="3129"/>
        <v>1412630</v>
      </c>
      <c r="BR209" s="44">
        <f>ROUND(BQ209*(1+取值表!$D$12)*取值表!$H$12,0)</f>
        <v>1543556</v>
      </c>
      <c r="BS209" s="44">
        <f t="shared" ref="BS209:BU209" si="3130">BR209</f>
        <v>1543556</v>
      </c>
      <c r="BT209" s="44">
        <f t="shared" si="3130"/>
        <v>1543556</v>
      </c>
      <c r="BU209" s="44">
        <f t="shared" si="3130"/>
        <v>1543556</v>
      </c>
      <c r="BV209" s="44">
        <f>ROUND(BU209*(1+取值表!$D$12)*取值表!$H$12,0)</f>
        <v>1686617</v>
      </c>
      <c r="BW209" s="44">
        <f t="shared" ref="BW209:BY209" si="3131">BV209</f>
        <v>1686617</v>
      </c>
      <c r="BX209" s="44">
        <f t="shared" si="3131"/>
        <v>1686617</v>
      </c>
      <c r="BY209" s="44">
        <f t="shared" si="3131"/>
        <v>1686617</v>
      </c>
      <c r="BZ209" s="44">
        <f>ROUND(BY209*(1+取值表!$D$12)*取值表!$H$12,0)</f>
        <v>1842937</v>
      </c>
      <c r="CA209" s="44">
        <f t="shared" ref="CA209:CC209" si="3132">BZ209</f>
        <v>1842937</v>
      </c>
      <c r="CB209" s="44">
        <f t="shared" si="3132"/>
        <v>1842937</v>
      </c>
      <c r="CC209" s="44">
        <f t="shared" si="3132"/>
        <v>1842937</v>
      </c>
      <c r="CD209" s="44">
        <f>ROUND(CC209*(1+取值表!$D$12)*取值表!$H$12,0)</f>
        <v>2013745</v>
      </c>
      <c r="CE209" s="44">
        <f t="shared" ref="CE209:CG209" si="3133">CD209</f>
        <v>2013745</v>
      </c>
      <c r="CF209" s="44">
        <f t="shared" si="3133"/>
        <v>2013745</v>
      </c>
      <c r="CG209" s="44">
        <f t="shared" si="3133"/>
        <v>2013745</v>
      </c>
      <c r="CH209" s="44">
        <f>ROUND(CG209*(1+取值表!$D$12)*取值表!$H$12,0)</f>
        <v>2200384</v>
      </c>
      <c r="CI209" s="44">
        <f t="shared" ref="CI209:CK209" si="3134">CH209</f>
        <v>2200384</v>
      </c>
      <c r="CJ209" s="44">
        <f t="shared" si="3134"/>
        <v>2200384</v>
      </c>
      <c r="CK209" s="44">
        <f t="shared" si="3134"/>
        <v>2200384</v>
      </c>
      <c r="CL209" s="44">
        <f>ROUND(CK209*(1+取值表!$D$12)*取值表!$H$12,0)</f>
        <v>2404322</v>
      </c>
      <c r="CM209" s="44">
        <f t="shared" ref="CM209:CO209" si="3135">CL209</f>
        <v>2404322</v>
      </c>
      <c r="CN209" s="44">
        <f t="shared" si="3135"/>
        <v>2404322</v>
      </c>
      <c r="CO209" s="44">
        <f t="shared" si="3135"/>
        <v>2404322</v>
      </c>
      <c r="CP209" s="44">
        <f>ROUND(CO209*(1+取值表!$D$12)*取值表!$H$12,0)</f>
        <v>2627161</v>
      </c>
      <c r="CQ209" s="44">
        <f t="shared" ref="CQ209" si="3136">CP209</f>
        <v>2627161</v>
      </c>
      <c r="CR209" s="44">
        <f t="shared" ref="CR209" si="3137">CQ209</f>
        <v>2627161</v>
      </c>
      <c r="CS209" s="44">
        <f t="shared" ref="CS209" si="3138">CR209</f>
        <v>2627161</v>
      </c>
      <c r="CT209" s="44">
        <f>ROUND(CS209*(1+取值表!$D$12)*取值表!$H$12,0)</f>
        <v>2870654</v>
      </c>
      <c r="CU209" s="44">
        <f t="shared" ref="CU209" si="3139">CT209</f>
        <v>2870654</v>
      </c>
      <c r="CV209" s="44">
        <f t="shared" ref="CV209" si="3140">CU209</f>
        <v>2870654</v>
      </c>
      <c r="CW209" s="44">
        <f t="shared" ref="CW209" si="3141">CV209</f>
        <v>2870654</v>
      </c>
      <c r="CX209" s="44">
        <f>ROUND(CW209*(1+取值表!$D$12)*取值表!$H$12,0)</f>
        <v>3136714</v>
      </c>
      <c r="CY209" s="44">
        <f t="shared" ref="CY209" si="3142">CX209</f>
        <v>3136714</v>
      </c>
      <c r="CZ209" s="44">
        <f t="shared" ref="CZ209" si="3143">CY209</f>
        <v>3136714</v>
      </c>
      <c r="DA209" s="44">
        <f t="shared" ref="DA209" si="3144">CZ209</f>
        <v>3136714</v>
      </c>
      <c r="DB209" s="44">
        <f>ROUND(DA209*(1+取值表!$D$12)*取值表!$H$12,0)</f>
        <v>3427433</v>
      </c>
      <c r="DC209" s="44">
        <f t="shared" ref="DC209" si="3145">DB209</f>
        <v>3427433</v>
      </c>
      <c r="DD209" s="44">
        <f t="shared" ref="DD209" si="3146">DC209</f>
        <v>3427433</v>
      </c>
      <c r="DE209" s="44">
        <f t="shared" ref="DE209" si="3147">DD209</f>
        <v>3427433</v>
      </c>
      <c r="DF209" s="45">
        <f t="shared" si="2934"/>
        <v>144155540</v>
      </c>
    </row>
    <row r="210" spans="1:111" s="40" customFormat="1" ht="12">
      <c r="A210" s="517"/>
      <c r="B210" s="518"/>
      <c r="C210" s="450"/>
      <c r="D210" s="451"/>
      <c r="E210" s="452"/>
      <c r="F210" s="446"/>
      <c r="G210" s="446"/>
      <c r="H210" s="447"/>
      <c r="I210" s="41"/>
      <c r="J210" s="42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  <c r="CM210" s="44"/>
      <c r="CN210" s="44"/>
      <c r="CO210" s="44"/>
      <c r="CP210" s="44"/>
      <c r="CQ210" s="44"/>
      <c r="CR210" s="44"/>
      <c r="CS210" s="44"/>
      <c r="CT210" s="44"/>
      <c r="CU210" s="44"/>
      <c r="CV210" s="44"/>
      <c r="CW210" s="44"/>
      <c r="CX210" s="44"/>
      <c r="CY210" s="44"/>
      <c r="CZ210" s="44"/>
      <c r="DA210" s="44"/>
      <c r="DB210" s="44"/>
      <c r="DC210" s="44"/>
      <c r="DD210" s="44"/>
      <c r="DE210" s="44"/>
      <c r="DF210" s="45">
        <f t="shared" si="2934"/>
        <v>0</v>
      </c>
    </row>
    <row r="211" spans="1:111" s="40" customFormat="1" ht="14.25" customHeight="1">
      <c r="A211" s="516">
        <v>106</v>
      </c>
      <c r="B211" s="518" t="s">
        <v>213</v>
      </c>
      <c r="C211" s="450" t="s">
        <v>13</v>
      </c>
      <c r="D211" s="451" t="s">
        <v>196</v>
      </c>
      <c r="E211" s="452" t="s">
        <v>490</v>
      </c>
      <c r="F211" s="446">
        <v>343.53</v>
      </c>
      <c r="G211" s="446">
        <f>AVERAGE(13.5,14,15,16)</f>
        <v>14.625</v>
      </c>
      <c r="H211" s="447">
        <f>F211*G211*365</f>
        <v>1833806.0812499998</v>
      </c>
      <c r="I211" s="41">
        <v>458608.26</v>
      </c>
      <c r="J211" s="42">
        <f>K211</f>
        <v>470207</v>
      </c>
      <c r="K211" s="44">
        <f>L211</f>
        <v>470207</v>
      </c>
      <c r="L211" s="44">
        <f>ROUND(15*365*F211/4,0)</f>
        <v>470207</v>
      </c>
      <c r="M211" s="44">
        <f>N211</f>
        <v>501554</v>
      </c>
      <c r="N211" s="44">
        <f>O211</f>
        <v>501554</v>
      </c>
      <c r="O211" s="44">
        <f>P211</f>
        <v>501554</v>
      </c>
      <c r="P211" s="43">
        <f>ROUND(16*365*F211/4,0)</f>
        <v>501554</v>
      </c>
      <c r="Q211" s="44">
        <f>P211</f>
        <v>501554</v>
      </c>
      <c r="R211" s="44">
        <f>ROUND(Q211*(1+取值表!$D$12)*取值表!$H$12,0)</f>
        <v>548039</v>
      </c>
      <c r="S211" s="44">
        <f>R211</f>
        <v>548039</v>
      </c>
      <c r="T211" s="44">
        <f>S211</f>
        <v>548039</v>
      </c>
      <c r="U211" s="44">
        <f>T211</f>
        <v>548039</v>
      </c>
      <c r="V211" s="44">
        <f>ROUND(U211*(1+取值表!$D$12)*取值表!$H$12,0)</f>
        <v>598833</v>
      </c>
      <c r="W211" s="44">
        <f t="shared" ref="W211:Y211" si="3148">V211</f>
        <v>598833</v>
      </c>
      <c r="X211" s="44">
        <f t="shared" si="3148"/>
        <v>598833</v>
      </c>
      <c r="Y211" s="44">
        <f t="shared" si="3148"/>
        <v>598833</v>
      </c>
      <c r="Z211" s="44">
        <f>ROUND(Y211*(1+取值表!$D$12)*取值表!$H$12,0)</f>
        <v>654334</v>
      </c>
      <c r="AA211" s="44">
        <f t="shared" ref="AA211:AC211" si="3149">Z211</f>
        <v>654334</v>
      </c>
      <c r="AB211" s="44">
        <f t="shared" si="3149"/>
        <v>654334</v>
      </c>
      <c r="AC211" s="44">
        <f t="shared" si="3149"/>
        <v>654334</v>
      </c>
      <c r="AD211" s="44">
        <f>ROUND(AC211*(1+取值表!$D$12)*取值表!$H$12,0)</f>
        <v>714979</v>
      </c>
      <c r="AE211" s="44">
        <f t="shared" ref="AE211:AG211" si="3150">AD211</f>
        <v>714979</v>
      </c>
      <c r="AF211" s="44">
        <f t="shared" si="3150"/>
        <v>714979</v>
      </c>
      <c r="AG211" s="44">
        <f t="shared" si="3150"/>
        <v>714979</v>
      </c>
      <c r="AH211" s="44">
        <f>ROUND(AG211*(1+取值表!$D$12)*取值表!$H$12,0)</f>
        <v>781245</v>
      </c>
      <c r="AI211" s="44">
        <f t="shared" ref="AI211:AK211" si="3151">AH211</f>
        <v>781245</v>
      </c>
      <c r="AJ211" s="44">
        <f t="shared" si="3151"/>
        <v>781245</v>
      </c>
      <c r="AK211" s="44">
        <f t="shared" si="3151"/>
        <v>781245</v>
      </c>
      <c r="AL211" s="44">
        <f>ROUND(AK211*(1+取值表!$D$12)*取值表!$H$12,0)</f>
        <v>853653</v>
      </c>
      <c r="AM211" s="44">
        <f t="shared" ref="AM211:AO211" si="3152">AL211</f>
        <v>853653</v>
      </c>
      <c r="AN211" s="44">
        <f t="shared" si="3152"/>
        <v>853653</v>
      </c>
      <c r="AO211" s="44">
        <f t="shared" si="3152"/>
        <v>853653</v>
      </c>
      <c r="AP211" s="44">
        <f>ROUND(AO211*(1+取值表!$D$12)*取值表!$H$12,0)</f>
        <v>932772</v>
      </c>
      <c r="AQ211" s="44">
        <f t="shared" ref="AQ211:AS211" si="3153">AP211</f>
        <v>932772</v>
      </c>
      <c r="AR211" s="44">
        <f t="shared" si="3153"/>
        <v>932772</v>
      </c>
      <c r="AS211" s="44">
        <f t="shared" si="3153"/>
        <v>932772</v>
      </c>
      <c r="AT211" s="44">
        <f>ROUND(AS211*(1+取值表!$D$12)*取值表!$H$12,0)</f>
        <v>1019224</v>
      </c>
      <c r="AU211" s="44">
        <f t="shared" ref="AU211:AW211" si="3154">AT211</f>
        <v>1019224</v>
      </c>
      <c r="AV211" s="44">
        <f t="shared" si="3154"/>
        <v>1019224</v>
      </c>
      <c r="AW211" s="44">
        <f t="shared" si="3154"/>
        <v>1019224</v>
      </c>
      <c r="AX211" s="44">
        <f>ROUND(AW211*(1+取值表!$D$12)*取值表!$H$12,0)</f>
        <v>1113688</v>
      </c>
      <c r="AY211" s="44">
        <f t="shared" ref="AY211:BA211" si="3155">AX211</f>
        <v>1113688</v>
      </c>
      <c r="AZ211" s="44">
        <f t="shared" si="3155"/>
        <v>1113688</v>
      </c>
      <c r="BA211" s="44">
        <f t="shared" si="3155"/>
        <v>1113688</v>
      </c>
      <c r="BB211" s="44">
        <f>ROUND(BA211*(1+取值表!$D$12)*取值表!$H$12,0)</f>
        <v>1216908</v>
      </c>
      <c r="BC211" s="44">
        <f t="shared" ref="BC211:BE211" si="3156">BB211</f>
        <v>1216908</v>
      </c>
      <c r="BD211" s="44">
        <f t="shared" si="3156"/>
        <v>1216908</v>
      </c>
      <c r="BE211" s="44">
        <f t="shared" si="3156"/>
        <v>1216908</v>
      </c>
      <c r="BF211" s="44">
        <f>ROUND(BE211*(1+取值表!$D$12)*取值表!$H$12,0)</f>
        <v>1329694</v>
      </c>
      <c r="BG211" s="44">
        <f t="shared" ref="BG211:BI211" si="3157">BF211</f>
        <v>1329694</v>
      </c>
      <c r="BH211" s="44">
        <f t="shared" si="3157"/>
        <v>1329694</v>
      </c>
      <c r="BI211" s="44">
        <f t="shared" si="3157"/>
        <v>1329694</v>
      </c>
      <c r="BJ211" s="44">
        <f>ROUND(BI211*(1+取值表!$D$12)*取值表!$H$12,0)</f>
        <v>1452934</v>
      </c>
      <c r="BK211" s="44">
        <f t="shared" ref="BK211:BM211" si="3158">BJ211</f>
        <v>1452934</v>
      </c>
      <c r="BL211" s="44">
        <f t="shared" si="3158"/>
        <v>1452934</v>
      </c>
      <c r="BM211" s="44">
        <f t="shared" si="3158"/>
        <v>1452934</v>
      </c>
      <c r="BN211" s="44">
        <f>ROUND(BM211*(1+取值表!$D$12)*取值表!$H$12,0)</f>
        <v>1587596</v>
      </c>
      <c r="BO211" s="44">
        <f t="shared" ref="BO211:BQ211" si="3159">BN211</f>
        <v>1587596</v>
      </c>
      <c r="BP211" s="44">
        <f t="shared" si="3159"/>
        <v>1587596</v>
      </c>
      <c r="BQ211" s="44">
        <f t="shared" si="3159"/>
        <v>1587596</v>
      </c>
      <c r="BR211" s="44">
        <f>ROUND(BQ211*(1+取值表!$D$12)*取值表!$H$12,0)</f>
        <v>1734739</v>
      </c>
      <c r="BS211" s="44">
        <f t="shared" ref="BS211:BU211" si="3160">BR211</f>
        <v>1734739</v>
      </c>
      <c r="BT211" s="44">
        <f t="shared" si="3160"/>
        <v>1734739</v>
      </c>
      <c r="BU211" s="44">
        <f t="shared" si="3160"/>
        <v>1734739</v>
      </c>
      <c r="BV211" s="44">
        <f>ROUND(BU211*(1+取值表!$D$12)*取值表!$H$12,0)</f>
        <v>1895519</v>
      </c>
      <c r="BW211" s="44">
        <f t="shared" ref="BW211:BY211" si="3161">BV211</f>
        <v>1895519</v>
      </c>
      <c r="BX211" s="44">
        <f t="shared" si="3161"/>
        <v>1895519</v>
      </c>
      <c r="BY211" s="44">
        <f t="shared" si="3161"/>
        <v>1895519</v>
      </c>
      <c r="BZ211" s="44">
        <f>ROUND(BY211*(1+取值表!$D$12)*取值表!$H$12,0)</f>
        <v>2071201</v>
      </c>
      <c r="CA211" s="44">
        <f t="shared" ref="CA211:CC211" si="3162">BZ211</f>
        <v>2071201</v>
      </c>
      <c r="CB211" s="44">
        <f t="shared" si="3162"/>
        <v>2071201</v>
      </c>
      <c r="CC211" s="44">
        <f t="shared" si="3162"/>
        <v>2071201</v>
      </c>
      <c r="CD211" s="44">
        <f>ROUND(CC211*(1+取值表!$D$12)*取值表!$H$12,0)</f>
        <v>2263166</v>
      </c>
      <c r="CE211" s="44">
        <f t="shared" ref="CE211:CG211" si="3163">CD211</f>
        <v>2263166</v>
      </c>
      <c r="CF211" s="44">
        <f t="shared" si="3163"/>
        <v>2263166</v>
      </c>
      <c r="CG211" s="44">
        <f t="shared" si="3163"/>
        <v>2263166</v>
      </c>
      <c r="CH211" s="44">
        <f>ROUND(CG211*(1+取值表!$D$12)*取值表!$H$12,0)</f>
        <v>2472922</v>
      </c>
      <c r="CI211" s="44">
        <f t="shared" ref="CI211:CK211" si="3164">CH211</f>
        <v>2472922</v>
      </c>
      <c r="CJ211" s="44">
        <f t="shared" si="3164"/>
        <v>2472922</v>
      </c>
      <c r="CK211" s="44">
        <f t="shared" si="3164"/>
        <v>2472922</v>
      </c>
      <c r="CL211" s="44">
        <f>ROUND(CK211*(1+取值表!$D$12)*取值表!$H$12,0)</f>
        <v>2702119</v>
      </c>
      <c r="CM211" s="44">
        <f t="shared" ref="CM211:CO211" si="3165">CL211</f>
        <v>2702119</v>
      </c>
      <c r="CN211" s="44">
        <f t="shared" si="3165"/>
        <v>2702119</v>
      </c>
      <c r="CO211" s="44">
        <f t="shared" si="3165"/>
        <v>2702119</v>
      </c>
      <c r="CP211" s="44">
        <f>ROUND(CO211*(1+取值表!$D$12)*取值表!$H$12,0)</f>
        <v>2952559</v>
      </c>
      <c r="CQ211" s="44">
        <f t="shared" ref="CQ211" si="3166">CP211</f>
        <v>2952559</v>
      </c>
      <c r="CR211" s="44">
        <f t="shared" ref="CR211" si="3167">CQ211</f>
        <v>2952559</v>
      </c>
      <c r="CS211" s="44">
        <f t="shared" ref="CS211" si="3168">CR211</f>
        <v>2952559</v>
      </c>
      <c r="CT211" s="44">
        <f>ROUND(CS211*(1+取值表!$D$12)*取值表!$H$12,0)</f>
        <v>3226210</v>
      </c>
      <c r="CU211" s="44">
        <f t="shared" ref="CU211" si="3169">CT211</f>
        <v>3226210</v>
      </c>
      <c r="CV211" s="44">
        <f t="shared" ref="CV211" si="3170">CU211</f>
        <v>3226210</v>
      </c>
      <c r="CW211" s="44">
        <f t="shared" ref="CW211" si="3171">CV211</f>
        <v>3226210</v>
      </c>
      <c r="CX211" s="44">
        <f>ROUND(CW211*(1+取值表!$D$12)*取值表!$H$12,0)</f>
        <v>3525224</v>
      </c>
      <c r="CY211" s="44">
        <f t="shared" ref="CY211" si="3172">CX211</f>
        <v>3525224</v>
      </c>
      <c r="CZ211" s="44">
        <f t="shared" ref="CZ211" si="3173">CY211</f>
        <v>3525224</v>
      </c>
      <c r="DA211" s="44">
        <f t="shared" ref="DA211" si="3174">CZ211</f>
        <v>3525224</v>
      </c>
      <c r="DB211" s="44">
        <f>ROUND(DA211*(1+取值表!$D$12)*取值表!$H$12,0)</f>
        <v>3851951</v>
      </c>
      <c r="DC211" s="44">
        <f t="shared" ref="DC211" si="3175">DB211</f>
        <v>3851951</v>
      </c>
      <c r="DD211" s="44">
        <f t="shared" ref="DD211" si="3176">DC211</f>
        <v>3851951</v>
      </c>
      <c r="DE211" s="44">
        <f t="shared" ref="DE211" si="3177">DD211</f>
        <v>3851951</v>
      </c>
      <c r="DF211" s="45">
        <f t="shared" si="2934"/>
        <v>161916427</v>
      </c>
    </row>
    <row r="212" spans="1:111" s="40" customFormat="1" ht="12">
      <c r="A212" s="517"/>
      <c r="B212" s="518"/>
      <c r="C212" s="450"/>
      <c r="D212" s="451"/>
      <c r="E212" s="452"/>
      <c r="F212" s="446"/>
      <c r="G212" s="446"/>
      <c r="H212" s="447"/>
      <c r="I212" s="41"/>
      <c r="J212" s="42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4"/>
      <c r="CP212" s="44"/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5">
        <f t="shared" si="2934"/>
        <v>0</v>
      </c>
    </row>
    <row r="213" spans="1:111" s="234" customFormat="1" ht="12" customHeight="1">
      <c r="A213" s="516">
        <v>107</v>
      </c>
      <c r="B213" s="518" t="s">
        <v>214</v>
      </c>
      <c r="C213" s="450" t="s">
        <v>215</v>
      </c>
      <c r="D213" s="451" t="s">
        <v>216</v>
      </c>
      <c r="E213" s="452" t="s">
        <v>490</v>
      </c>
      <c r="F213" s="446">
        <v>39.6</v>
      </c>
      <c r="G213" s="446">
        <v>23</v>
      </c>
      <c r="H213" s="447">
        <f>F213*G213*365</f>
        <v>332442</v>
      </c>
      <c r="I213" s="41">
        <v>83110.5</v>
      </c>
      <c r="J213" s="42">
        <f>ROUND(G213*F213*365/4,0)</f>
        <v>83111</v>
      </c>
      <c r="K213" s="44">
        <f>J213</f>
        <v>83111</v>
      </c>
      <c r="L213" s="43">
        <f>K213</f>
        <v>83111</v>
      </c>
      <c r="M213" s="44">
        <f>L213</f>
        <v>83111</v>
      </c>
      <c r="N213" s="44">
        <f>ROUND(M213*(1+取值表!$D$12)*取值表!$H$12,0)</f>
        <v>90814</v>
      </c>
      <c r="O213" s="44">
        <f>N213</f>
        <v>90814</v>
      </c>
      <c r="P213" s="44">
        <f>O213</f>
        <v>90814</v>
      </c>
      <c r="Q213" s="44">
        <f>P213</f>
        <v>90814</v>
      </c>
      <c r="R213" s="44">
        <f>ROUND(Q213*(1+取值表!$D$12)*取值表!$H$12,0)</f>
        <v>99231</v>
      </c>
      <c r="S213" s="44">
        <f t="shared" ref="S213:U213" si="3178">R213</f>
        <v>99231</v>
      </c>
      <c r="T213" s="44">
        <f t="shared" si="3178"/>
        <v>99231</v>
      </c>
      <c r="U213" s="44">
        <f t="shared" si="3178"/>
        <v>99231</v>
      </c>
      <c r="V213" s="44">
        <f>ROUND(U213*(1+取值表!$D$12)*取值表!$H$12,0)</f>
        <v>108428</v>
      </c>
      <c r="W213" s="44">
        <f t="shared" ref="W213:Y213" si="3179">V213</f>
        <v>108428</v>
      </c>
      <c r="X213" s="44">
        <f t="shared" si="3179"/>
        <v>108428</v>
      </c>
      <c r="Y213" s="44">
        <f t="shared" si="3179"/>
        <v>108428</v>
      </c>
      <c r="Z213" s="44">
        <f>ROUND(Y213*(1+取值表!$D$12)*取值表!$H$12,0)</f>
        <v>118477</v>
      </c>
      <c r="AA213" s="44">
        <f t="shared" ref="AA213:AC213" si="3180">Z213</f>
        <v>118477</v>
      </c>
      <c r="AB213" s="44">
        <f t="shared" si="3180"/>
        <v>118477</v>
      </c>
      <c r="AC213" s="44">
        <f t="shared" si="3180"/>
        <v>118477</v>
      </c>
      <c r="AD213" s="44">
        <f>ROUND(AC213*(1+取值表!$D$12)*取值表!$H$12,0)</f>
        <v>129458</v>
      </c>
      <c r="AE213" s="44">
        <f t="shared" ref="AE213:AG213" si="3181">AD213</f>
        <v>129458</v>
      </c>
      <c r="AF213" s="44">
        <f t="shared" si="3181"/>
        <v>129458</v>
      </c>
      <c r="AG213" s="44">
        <f t="shared" si="3181"/>
        <v>129458</v>
      </c>
      <c r="AH213" s="44">
        <f>ROUND(AG213*(1+取值表!$D$12)*取值表!$H$12,0)</f>
        <v>141457</v>
      </c>
      <c r="AI213" s="44">
        <f t="shared" ref="AI213:AK213" si="3182">AH213</f>
        <v>141457</v>
      </c>
      <c r="AJ213" s="44">
        <f t="shared" si="3182"/>
        <v>141457</v>
      </c>
      <c r="AK213" s="44">
        <f t="shared" si="3182"/>
        <v>141457</v>
      </c>
      <c r="AL213" s="44">
        <f>ROUND(AK213*(1+取值表!$D$12)*取值表!$H$12,0)</f>
        <v>154568</v>
      </c>
      <c r="AM213" s="44">
        <f t="shared" ref="AM213:AO213" si="3183">AL213</f>
        <v>154568</v>
      </c>
      <c r="AN213" s="44">
        <f t="shared" si="3183"/>
        <v>154568</v>
      </c>
      <c r="AO213" s="44">
        <f t="shared" si="3183"/>
        <v>154568</v>
      </c>
      <c r="AP213" s="44">
        <f>ROUND(AO213*(1+取值表!$D$12)*取值表!$H$12,0)</f>
        <v>168894</v>
      </c>
      <c r="AQ213" s="44">
        <f t="shared" ref="AQ213:AS213" si="3184">AP213</f>
        <v>168894</v>
      </c>
      <c r="AR213" s="44">
        <f t="shared" si="3184"/>
        <v>168894</v>
      </c>
      <c r="AS213" s="44">
        <f t="shared" si="3184"/>
        <v>168894</v>
      </c>
      <c r="AT213" s="44">
        <f>ROUND(AS213*(1+取值表!$D$12)*取值表!$H$12,0)</f>
        <v>184548</v>
      </c>
      <c r="AU213" s="44">
        <f t="shared" ref="AU213:AW213" si="3185">AT213</f>
        <v>184548</v>
      </c>
      <c r="AV213" s="44">
        <f t="shared" si="3185"/>
        <v>184548</v>
      </c>
      <c r="AW213" s="44">
        <f t="shared" si="3185"/>
        <v>184548</v>
      </c>
      <c r="AX213" s="44">
        <f>ROUND(AW213*(1+取值表!$D$12)*取值表!$H$12,0)</f>
        <v>201652</v>
      </c>
      <c r="AY213" s="44">
        <f t="shared" ref="AY213:BA213" si="3186">AX213</f>
        <v>201652</v>
      </c>
      <c r="AZ213" s="44">
        <f t="shared" si="3186"/>
        <v>201652</v>
      </c>
      <c r="BA213" s="44">
        <f t="shared" si="3186"/>
        <v>201652</v>
      </c>
      <c r="BB213" s="44">
        <f>ROUND(BA213*(1+取值表!$D$12)*取值表!$H$12,0)</f>
        <v>220342</v>
      </c>
      <c r="BC213" s="44">
        <f t="shared" ref="BC213:BE213" si="3187">BB213</f>
        <v>220342</v>
      </c>
      <c r="BD213" s="44">
        <f t="shared" si="3187"/>
        <v>220342</v>
      </c>
      <c r="BE213" s="44">
        <f t="shared" si="3187"/>
        <v>220342</v>
      </c>
      <c r="BF213" s="44">
        <f>ROUND(BE213*(1+取值表!$D$12)*取值表!$H$12,0)</f>
        <v>240764</v>
      </c>
      <c r="BG213" s="44">
        <f t="shared" ref="BG213:BI213" si="3188">BF213</f>
        <v>240764</v>
      </c>
      <c r="BH213" s="44">
        <f t="shared" si="3188"/>
        <v>240764</v>
      </c>
      <c r="BI213" s="44">
        <f t="shared" si="3188"/>
        <v>240764</v>
      </c>
      <c r="BJ213" s="44">
        <f>ROUND(BI213*(1+取值表!$D$12)*取值表!$H$12,0)</f>
        <v>263079</v>
      </c>
      <c r="BK213" s="44">
        <f t="shared" ref="BK213:BM213" si="3189">BJ213</f>
        <v>263079</v>
      </c>
      <c r="BL213" s="44">
        <f t="shared" si="3189"/>
        <v>263079</v>
      </c>
      <c r="BM213" s="44">
        <f t="shared" si="3189"/>
        <v>263079</v>
      </c>
      <c r="BN213" s="44">
        <f>ROUND(BM213*(1+取值表!$D$12)*取值表!$H$12,0)</f>
        <v>287462</v>
      </c>
      <c r="BO213" s="44">
        <f t="shared" ref="BO213:BQ213" si="3190">BN213</f>
        <v>287462</v>
      </c>
      <c r="BP213" s="44">
        <f t="shared" si="3190"/>
        <v>287462</v>
      </c>
      <c r="BQ213" s="44">
        <f t="shared" si="3190"/>
        <v>287462</v>
      </c>
      <c r="BR213" s="44">
        <f>ROUND(BQ213*(1+取值表!$D$12)*取值表!$H$12,0)</f>
        <v>314105</v>
      </c>
      <c r="BS213" s="44">
        <f t="shared" ref="BS213:BU213" si="3191">BR213</f>
        <v>314105</v>
      </c>
      <c r="BT213" s="44">
        <f t="shared" si="3191"/>
        <v>314105</v>
      </c>
      <c r="BU213" s="44">
        <f t="shared" si="3191"/>
        <v>314105</v>
      </c>
      <c r="BV213" s="44">
        <f>ROUND(BU213*(1+取值表!$D$12)*取值表!$H$12,0)</f>
        <v>343217</v>
      </c>
      <c r="BW213" s="44">
        <f t="shared" ref="BW213:BY213" si="3192">BV213</f>
        <v>343217</v>
      </c>
      <c r="BX213" s="44">
        <f t="shared" si="3192"/>
        <v>343217</v>
      </c>
      <c r="BY213" s="44">
        <f t="shared" si="3192"/>
        <v>343217</v>
      </c>
      <c r="BZ213" s="44">
        <f>ROUND(BY213*(1+取值表!$D$12)*取值表!$H$12,0)</f>
        <v>375027</v>
      </c>
      <c r="CA213" s="44">
        <f t="shared" ref="CA213:CC213" si="3193">BZ213</f>
        <v>375027</v>
      </c>
      <c r="CB213" s="44">
        <f t="shared" si="3193"/>
        <v>375027</v>
      </c>
      <c r="CC213" s="44">
        <f t="shared" si="3193"/>
        <v>375027</v>
      </c>
      <c r="CD213" s="44">
        <f>ROUND(CC213*(1+取值表!$D$12)*取值表!$H$12,0)</f>
        <v>409786</v>
      </c>
      <c r="CE213" s="44">
        <f t="shared" ref="CE213:CG213" si="3194">CD213</f>
        <v>409786</v>
      </c>
      <c r="CF213" s="44">
        <f t="shared" si="3194"/>
        <v>409786</v>
      </c>
      <c r="CG213" s="44">
        <f t="shared" si="3194"/>
        <v>409786</v>
      </c>
      <c r="CH213" s="44">
        <f>ROUND(CG213*(1+取值表!$D$12)*取值表!$H$12,0)</f>
        <v>447766</v>
      </c>
      <c r="CI213" s="44">
        <f t="shared" ref="CI213:CK213" si="3195">CH213</f>
        <v>447766</v>
      </c>
      <c r="CJ213" s="44">
        <f t="shared" si="3195"/>
        <v>447766</v>
      </c>
      <c r="CK213" s="44">
        <f t="shared" si="3195"/>
        <v>447766</v>
      </c>
      <c r="CL213" s="44">
        <f>ROUND(CK213*(1+取值表!$D$12)*取值表!$H$12,0)</f>
        <v>489266</v>
      </c>
      <c r="CM213" s="44">
        <f t="shared" ref="CM213:CO213" si="3196">CL213</f>
        <v>489266</v>
      </c>
      <c r="CN213" s="44">
        <f t="shared" si="3196"/>
        <v>489266</v>
      </c>
      <c r="CO213" s="44">
        <f t="shared" si="3196"/>
        <v>489266</v>
      </c>
      <c r="CP213" s="44">
        <f>ROUND(CO213*(1+取值表!$D$12)*取值表!$H$12,0)</f>
        <v>534613</v>
      </c>
      <c r="CQ213" s="44">
        <f t="shared" ref="CQ213" si="3197">CP213</f>
        <v>534613</v>
      </c>
      <c r="CR213" s="44">
        <f t="shared" ref="CR213" si="3198">CQ213</f>
        <v>534613</v>
      </c>
      <c r="CS213" s="44">
        <f t="shared" ref="CS213" si="3199">CR213</f>
        <v>534613</v>
      </c>
      <c r="CT213" s="44">
        <f>ROUND(CS213*(1+取值表!$D$12)*取值表!$H$12,0)</f>
        <v>584162</v>
      </c>
      <c r="CU213" s="44">
        <f t="shared" ref="CU213" si="3200">CT213</f>
        <v>584162</v>
      </c>
      <c r="CV213" s="44">
        <f t="shared" ref="CV213" si="3201">CU213</f>
        <v>584162</v>
      </c>
      <c r="CW213" s="44">
        <f t="shared" ref="CW213" si="3202">CV213</f>
        <v>584162</v>
      </c>
      <c r="CX213" s="44">
        <f>ROUND(CW213*(1+取值表!$D$12)*取值表!$H$12,0)</f>
        <v>638304</v>
      </c>
      <c r="CY213" s="44">
        <f t="shared" ref="CY213" si="3203">CX213</f>
        <v>638304</v>
      </c>
      <c r="CZ213" s="44">
        <f t="shared" ref="CZ213" si="3204">CY213</f>
        <v>638304</v>
      </c>
      <c r="DA213" s="44">
        <f t="shared" ref="DA213" si="3205">CZ213</f>
        <v>638304</v>
      </c>
      <c r="DB213" s="44">
        <f>ROUND(DA213*(1+取值表!$D$12)*取值表!$H$12,0)</f>
        <v>697464</v>
      </c>
      <c r="DC213" s="44">
        <f t="shared" ref="DC213" si="3206">DB213</f>
        <v>697464</v>
      </c>
      <c r="DD213" s="44">
        <f t="shared" ref="DD213" si="3207">DC213</f>
        <v>697464</v>
      </c>
      <c r="DE213" s="44">
        <f t="shared" ref="DE213" si="3208">DD213</f>
        <v>697464</v>
      </c>
      <c r="DF213" s="45">
        <f t="shared" si="2934"/>
        <v>29303980</v>
      </c>
      <c r="DG213" s="40"/>
    </row>
    <row r="214" spans="1:111" s="234" customFormat="1" ht="12">
      <c r="A214" s="517"/>
      <c r="B214" s="518"/>
      <c r="C214" s="450"/>
      <c r="D214" s="451"/>
      <c r="E214" s="452"/>
      <c r="F214" s="446"/>
      <c r="G214" s="446"/>
      <c r="H214" s="447"/>
      <c r="I214" s="41"/>
      <c r="J214" s="42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  <c r="AA214" s="44"/>
      <c r="AB214" s="44"/>
      <c r="AC214" s="44"/>
      <c r="AD214" s="44"/>
      <c r="AE214" s="44"/>
      <c r="AF214" s="44"/>
      <c r="AG214" s="44"/>
      <c r="AH214" s="44"/>
      <c r="AI214" s="44"/>
      <c r="AJ214" s="44"/>
      <c r="AK214" s="44"/>
      <c r="AL214" s="44"/>
      <c r="AM214" s="44"/>
      <c r="AN214" s="44"/>
      <c r="AO214" s="44"/>
      <c r="AP214" s="44"/>
      <c r="AQ214" s="44"/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44"/>
      <c r="BR214" s="44"/>
      <c r="BS214" s="44"/>
      <c r="BT214" s="44"/>
      <c r="BU214" s="44"/>
      <c r="BV214" s="44"/>
      <c r="BW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J214" s="44"/>
      <c r="CK214" s="44"/>
      <c r="CL214" s="44"/>
      <c r="CM214" s="44"/>
      <c r="CN214" s="44"/>
      <c r="CO214" s="44"/>
      <c r="CP214" s="44"/>
      <c r="CQ214" s="44"/>
      <c r="CR214" s="44"/>
      <c r="CS214" s="44"/>
      <c r="CT214" s="44"/>
      <c r="CU214" s="44"/>
      <c r="CV214" s="44"/>
      <c r="CW214" s="44"/>
      <c r="CX214" s="44"/>
      <c r="CY214" s="44"/>
      <c r="CZ214" s="44"/>
      <c r="DA214" s="44"/>
      <c r="DB214" s="44"/>
      <c r="DC214" s="44"/>
      <c r="DD214" s="44"/>
      <c r="DE214" s="44"/>
      <c r="DF214" s="45">
        <f t="shared" si="2934"/>
        <v>0</v>
      </c>
      <c r="DG214" s="40"/>
    </row>
    <row r="215" spans="1:111" s="234" customFormat="1" ht="12" customHeight="1">
      <c r="A215" s="516">
        <v>108</v>
      </c>
      <c r="B215" s="518" t="s">
        <v>217</v>
      </c>
      <c r="C215" s="450" t="s">
        <v>218</v>
      </c>
      <c r="D215" s="451" t="s">
        <v>219</v>
      </c>
      <c r="E215" s="452" t="s">
        <v>490</v>
      </c>
      <c r="F215" s="446">
        <v>4.9800000000000004</v>
      </c>
      <c r="G215" s="446">
        <v>25</v>
      </c>
      <c r="H215" s="447">
        <f>F215*G215*365</f>
        <v>45442.500000000007</v>
      </c>
      <c r="I215" s="41">
        <v>11360.625000000002</v>
      </c>
      <c r="J215" s="42">
        <f>ROUND(G215*F215*365/4,0)</f>
        <v>11361</v>
      </c>
      <c r="K215" s="43">
        <f>J215</f>
        <v>11361</v>
      </c>
      <c r="L215" s="44">
        <f>K215</f>
        <v>11361</v>
      </c>
      <c r="M215" s="44">
        <f>L215</f>
        <v>11361</v>
      </c>
      <c r="N215" s="44">
        <f>ROUND(M215*(1+取值表!$D$12)*取值表!$H$12,0)</f>
        <v>12414</v>
      </c>
      <c r="O215" s="44">
        <f>N215</f>
        <v>12414</v>
      </c>
      <c r="P215" s="44">
        <f>O215</f>
        <v>12414</v>
      </c>
      <c r="Q215" s="44">
        <f>P215</f>
        <v>12414</v>
      </c>
      <c r="R215" s="44">
        <f>ROUND(Q215*(1+取值表!$D$12)*取值表!$H$12,0)</f>
        <v>13565</v>
      </c>
      <c r="S215" s="44">
        <f t="shared" ref="S215:U215" si="3209">R215</f>
        <v>13565</v>
      </c>
      <c r="T215" s="44">
        <f t="shared" si="3209"/>
        <v>13565</v>
      </c>
      <c r="U215" s="44">
        <f t="shared" si="3209"/>
        <v>13565</v>
      </c>
      <c r="V215" s="44">
        <f>ROUND(U215*(1+取值表!$D$12)*取值表!$H$12,0)</f>
        <v>14822</v>
      </c>
      <c r="W215" s="44">
        <f t="shared" ref="W215:Y215" si="3210">V215</f>
        <v>14822</v>
      </c>
      <c r="X215" s="44">
        <f t="shared" si="3210"/>
        <v>14822</v>
      </c>
      <c r="Y215" s="44">
        <f t="shared" si="3210"/>
        <v>14822</v>
      </c>
      <c r="Z215" s="44">
        <f>ROUND(Y215*(1+取值表!$D$12)*取值表!$H$12,0)</f>
        <v>16196</v>
      </c>
      <c r="AA215" s="44">
        <f t="shared" ref="AA215:AC215" si="3211">Z215</f>
        <v>16196</v>
      </c>
      <c r="AB215" s="44">
        <f t="shared" si="3211"/>
        <v>16196</v>
      </c>
      <c r="AC215" s="44">
        <f t="shared" si="3211"/>
        <v>16196</v>
      </c>
      <c r="AD215" s="44">
        <f>ROUND(AC215*(1+取值表!$D$12)*取值表!$H$12,0)</f>
        <v>17697</v>
      </c>
      <c r="AE215" s="44">
        <f t="shared" ref="AE215:AG215" si="3212">AD215</f>
        <v>17697</v>
      </c>
      <c r="AF215" s="44">
        <f t="shared" si="3212"/>
        <v>17697</v>
      </c>
      <c r="AG215" s="44">
        <f t="shared" si="3212"/>
        <v>17697</v>
      </c>
      <c r="AH215" s="44">
        <f>ROUND(AG215*(1+取值表!$D$12)*取值表!$H$12,0)</f>
        <v>19337</v>
      </c>
      <c r="AI215" s="44">
        <f t="shared" ref="AI215:AK215" si="3213">AH215</f>
        <v>19337</v>
      </c>
      <c r="AJ215" s="44">
        <f t="shared" si="3213"/>
        <v>19337</v>
      </c>
      <c r="AK215" s="44">
        <f t="shared" si="3213"/>
        <v>19337</v>
      </c>
      <c r="AL215" s="44">
        <f>ROUND(AK215*(1+取值表!$D$12)*取值表!$H$12,0)</f>
        <v>21129</v>
      </c>
      <c r="AM215" s="44">
        <f t="shared" ref="AM215:AO215" si="3214">AL215</f>
        <v>21129</v>
      </c>
      <c r="AN215" s="44">
        <f t="shared" si="3214"/>
        <v>21129</v>
      </c>
      <c r="AO215" s="44">
        <f t="shared" si="3214"/>
        <v>21129</v>
      </c>
      <c r="AP215" s="44">
        <f>ROUND(AO215*(1+取值表!$D$12)*取值表!$H$12,0)</f>
        <v>23087</v>
      </c>
      <c r="AQ215" s="44">
        <f t="shared" ref="AQ215:AS215" si="3215">AP215</f>
        <v>23087</v>
      </c>
      <c r="AR215" s="44">
        <f t="shared" si="3215"/>
        <v>23087</v>
      </c>
      <c r="AS215" s="44">
        <f t="shared" si="3215"/>
        <v>23087</v>
      </c>
      <c r="AT215" s="44">
        <f>ROUND(AS215*(1+取值表!$D$12)*取值表!$H$12,0)</f>
        <v>25227</v>
      </c>
      <c r="AU215" s="44">
        <f t="shared" ref="AU215:AW215" si="3216">AT215</f>
        <v>25227</v>
      </c>
      <c r="AV215" s="44">
        <f t="shared" si="3216"/>
        <v>25227</v>
      </c>
      <c r="AW215" s="44">
        <f t="shared" si="3216"/>
        <v>25227</v>
      </c>
      <c r="AX215" s="44">
        <f>ROUND(AW215*(1+取值表!$D$12)*取值表!$H$12,0)</f>
        <v>27565</v>
      </c>
      <c r="AY215" s="44">
        <f t="shared" ref="AY215:BA215" si="3217">AX215</f>
        <v>27565</v>
      </c>
      <c r="AZ215" s="44">
        <f t="shared" si="3217"/>
        <v>27565</v>
      </c>
      <c r="BA215" s="44">
        <f t="shared" si="3217"/>
        <v>27565</v>
      </c>
      <c r="BB215" s="44">
        <f>ROUND(BA215*(1+取值表!$D$12)*取值表!$H$12,0)</f>
        <v>30120</v>
      </c>
      <c r="BC215" s="44">
        <f t="shared" ref="BC215:BE215" si="3218">BB215</f>
        <v>30120</v>
      </c>
      <c r="BD215" s="44">
        <f t="shared" si="3218"/>
        <v>30120</v>
      </c>
      <c r="BE215" s="44">
        <f t="shared" si="3218"/>
        <v>30120</v>
      </c>
      <c r="BF215" s="44">
        <f>ROUND(BE215*(1+取值表!$D$12)*取值表!$H$12,0)</f>
        <v>32912</v>
      </c>
      <c r="BG215" s="44">
        <f t="shared" ref="BG215:BI215" si="3219">BF215</f>
        <v>32912</v>
      </c>
      <c r="BH215" s="44">
        <f t="shared" si="3219"/>
        <v>32912</v>
      </c>
      <c r="BI215" s="44">
        <f t="shared" si="3219"/>
        <v>32912</v>
      </c>
      <c r="BJ215" s="44">
        <f>ROUND(BI215*(1+取值表!$D$12)*取值表!$H$12,0)</f>
        <v>35962</v>
      </c>
      <c r="BK215" s="44">
        <f t="shared" ref="BK215:BM215" si="3220">BJ215</f>
        <v>35962</v>
      </c>
      <c r="BL215" s="44">
        <f t="shared" si="3220"/>
        <v>35962</v>
      </c>
      <c r="BM215" s="44">
        <f t="shared" si="3220"/>
        <v>35962</v>
      </c>
      <c r="BN215" s="44">
        <f>ROUND(BM215*(1+取值表!$D$12)*取值表!$H$12,0)</f>
        <v>39295</v>
      </c>
      <c r="BO215" s="44">
        <f t="shared" ref="BO215:BQ215" si="3221">BN215</f>
        <v>39295</v>
      </c>
      <c r="BP215" s="44">
        <f t="shared" si="3221"/>
        <v>39295</v>
      </c>
      <c r="BQ215" s="44">
        <f t="shared" si="3221"/>
        <v>39295</v>
      </c>
      <c r="BR215" s="44">
        <f>ROUND(BQ215*(1+取值表!$D$12)*取值表!$H$12,0)</f>
        <v>42937</v>
      </c>
      <c r="BS215" s="44">
        <f t="shared" ref="BS215:BU215" si="3222">BR215</f>
        <v>42937</v>
      </c>
      <c r="BT215" s="44">
        <f t="shared" si="3222"/>
        <v>42937</v>
      </c>
      <c r="BU215" s="44">
        <f t="shared" si="3222"/>
        <v>42937</v>
      </c>
      <c r="BV215" s="44">
        <f>ROUND(BU215*(1+取值表!$D$12)*取值表!$H$12,0)</f>
        <v>46917</v>
      </c>
      <c r="BW215" s="44">
        <f t="shared" ref="BW215:BY215" si="3223">BV215</f>
        <v>46917</v>
      </c>
      <c r="BX215" s="44">
        <f t="shared" si="3223"/>
        <v>46917</v>
      </c>
      <c r="BY215" s="44">
        <f t="shared" si="3223"/>
        <v>46917</v>
      </c>
      <c r="BZ215" s="44">
        <f>ROUND(BY215*(1+取值表!$D$12)*取值表!$H$12,0)</f>
        <v>51265</v>
      </c>
      <c r="CA215" s="44">
        <f t="shared" ref="CA215:CC215" si="3224">BZ215</f>
        <v>51265</v>
      </c>
      <c r="CB215" s="44">
        <f t="shared" si="3224"/>
        <v>51265</v>
      </c>
      <c r="CC215" s="44">
        <f t="shared" si="3224"/>
        <v>51265</v>
      </c>
      <c r="CD215" s="44">
        <f>ROUND(CC215*(1+取值表!$D$12)*取值表!$H$12,0)</f>
        <v>56016</v>
      </c>
      <c r="CE215" s="44">
        <f t="shared" ref="CE215:CG215" si="3225">CD215</f>
        <v>56016</v>
      </c>
      <c r="CF215" s="44">
        <f t="shared" si="3225"/>
        <v>56016</v>
      </c>
      <c r="CG215" s="44">
        <f t="shared" si="3225"/>
        <v>56016</v>
      </c>
      <c r="CH215" s="44">
        <f>ROUND(CG215*(1+取值表!$D$12)*取值表!$H$12,0)</f>
        <v>61208</v>
      </c>
      <c r="CI215" s="44">
        <f t="shared" ref="CI215:CK215" si="3226">CH215</f>
        <v>61208</v>
      </c>
      <c r="CJ215" s="44">
        <f t="shared" si="3226"/>
        <v>61208</v>
      </c>
      <c r="CK215" s="44">
        <f t="shared" si="3226"/>
        <v>61208</v>
      </c>
      <c r="CL215" s="44">
        <f>ROUND(CK215*(1+取值表!$D$12)*取值表!$H$12,0)</f>
        <v>66881</v>
      </c>
      <c r="CM215" s="44">
        <f t="shared" ref="CM215:CO215" si="3227">CL215</f>
        <v>66881</v>
      </c>
      <c r="CN215" s="44">
        <f t="shared" si="3227"/>
        <v>66881</v>
      </c>
      <c r="CO215" s="44">
        <f t="shared" si="3227"/>
        <v>66881</v>
      </c>
      <c r="CP215" s="44">
        <f>ROUND(CO215*(1+取值表!$D$12)*取值表!$H$12,0)</f>
        <v>73080</v>
      </c>
      <c r="CQ215" s="44">
        <f t="shared" ref="CQ215" si="3228">CP215</f>
        <v>73080</v>
      </c>
      <c r="CR215" s="44">
        <f t="shared" ref="CR215" si="3229">CQ215</f>
        <v>73080</v>
      </c>
      <c r="CS215" s="44">
        <f t="shared" ref="CS215" si="3230">CR215</f>
        <v>73080</v>
      </c>
      <c r="CT215" s="44">
        <f>ROUND(CS215*(1+取值表!$D$12)*取值表!$H$12,0)</f>
        <v>79853</v>
      </c>
      <c r="CU215" s="44">
        <f t="shared" ref="CU215" si="3231">CT215</f>
        <v>79853</v>
      </c>
      <c r="CV215" s="44">
        <f t="shared" ref="CV215" si="3232">CU215</f>
        <v>79853</v>
      </c>
      <c r="CW215" s="44">
        <f t="shared" ref="CW215" si="3233">CV215</f>
        <v>79853</v>
      </c>
      <c r="CX215" s="44">
        <f>ROUND(CW215*(1+取值表!$D$12)*取值表!$H$12,0)</f>
        <v>87254</v>
      </c>
      <c r="CY215" s="44">
        <f t="shared" ref="CY215" si="3234">CX215</f>
        <v>87254</v>
      </c>
      <c r="CZ215" s="44">
        <f t="shared" ref="CZ215" si="3235">CY215</f>
        <v>87254</v>
      </c>
      <c r="DA215" s="44">
        <f t="shared" ref="DA215" si="3236">CZ215</f>
        <v>87254</v>
      </c>
      <c r="DB215" s="44">
        <f>ROUND(DA215*(1+取值表!$D$12)*取值表!$H$12,0)</f>
        <v>95341</v>
      </c>
      <c r="DC215" s="44">
        <f t="shared" ref="DC215" si="3237">DB215</f>
        <v>95341</v>
      </c>
      <c r="DD215" s="44">
        <f t="shared" ref="DD215" si="3238">DC215</f>
        <v>95341</v>
      </c>
      <c r="DE215" s="44">
        <f t="shared" ref="DE215" si="3239">DD215</f>
        <v>95341</v>
      </c>
      <c r="DF215" s="45">
        <f t="shared" si="2934"/>
        <v>4005764</v>
      </c>
      <c r="DG215" s="40"/>
    </row>
    <row r="216" spans="1:111" s="234" customFormat="1" ht="12">
      <c r="A216" s="517"/>
      <c r="B216" s="518"/>
      <c r="C216" s="450"/>
      <c r="D216" s="451"/>
      <c r="E216" s="452"/>
      <c r="F216" s="446"/>
      <c r="G216" s="446"/>
      <c r="H216" s="447"/>
      <c r="I216" s="41"/>
      <c r="J216" s="42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  <c r="AA216" s="44"/>
      <c r="AB216" s="44"/>
      <c r="AC216" s="44"/>
      <c r="AD216" s="44"/>
      <c r="AE216" s="44"/>
      <c r="AF216" s="44"/>
      <c r="AG216" s="44"/>
      <c r="AH216" s="44"/>
      <c r="AI216" s="44"/>
      <c r="AJ216" s="44"/>
      <c r="AK216" s="44"/>
      <c r="AL216" s="44"/>
      <c r="AM216" s="44"/>
      <c r="AN216" s="44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  <c r="BL216" s="44"/>
      <c r="BM216" s="44"/>
      <c r="BN216" s="44"/>
      <c r="BO216" s="44"/>
      <c r="BP216" s="44"/>
      <c r="BQ216" s="44"/>
      <c r="BR216" s="44"/>
      <c r="BS216" s="44"/>
      <c r="BT216" s="44"/>
      <c r="BU216" s="44"/>
      <c r="BV216" s="44"/>
      <c r="BW216" s="44"/>
      <c r="BX216" s="44"/>
      <c r="BY216" s="44"/>
      <c r="BZ216" s="44"/>
      <c r="CA216" s="44"/>
      <c r="CB216" s="44"/>
      <c r="CC216" s="44"/>
      <c r="CD216" s="44"/>
      <c r="CE216" s="44"/>
      <c r="CF216" s="44"/>
      <c r="CG216" s="44"/>
      <c r="CH216" s="44"/>
      <c r="CI216" s="44"/>
      <c r="CJ216" s="44"/>
      <c r="CK216" s="44"/>
      <c r="CL216" s="44"/>
      <c r="CM216" s="44"/>
      <c r="CN216" s="44"/>
      <c r="CO216" s="44"/>
      <c r="CP216" s="44"/>
      <c r="CQ216" s="44"/>
      <c r="CR216" s="44"/>
      <c r="CS216" s="44"/>
      <c r="CT216" s="44"/>
      <c r="CU216" s="44"/>
      <c r="CV216" s="44"/>
      <c r="CW216" s="44"/>
      <c r="CX216" s="44"/>
      <c r="CY216" s="44"/>
      <c r="CZ216" s="44"/>
      <c r="DA216" s="44"/>
      <c r="DB216" s="44"/>
      <c r="DC216" s="44"/>
      <c r="DD216" s="44"/>
      <c r="DE216" s="44"/>
      <c r="DF216" s="45">
        <f t="shared" si="2934"/>
        <v>0</v>
      </c>
      <c r="DG216" s="40"/>
    </row>
    <row r="217" spans="1:111" s="40" customFormat="1" ht="12" customHeight="1">
      <c r="A217" s="516">
        <v>109</v>
      </c>
      <c r="B217" s="518" t="s">
        <v>220</v>
      </c>
      <c r="C217" s="450" t="s">
        <v>221</v>
      </c>
      <c r="D217" s="451" t="s">
        <v>497</v>
      </c>
      <c r="E217" s="452" t="s">
        <v>490</v>
      </c>
      <c r="F217" s="446">
        <v>17.98</v>
      </c>
      <c r="G217" s="446">
        <v>23.5</v>
      </c>
      <c r="H217" s="447">
        <f>F217*G217*365</f>
        <v>154223.45000000001</v>
      </c>
      <c r="I217" s="41">
        <v>38555.86</v>
      </c>
      <c r="J217" s="42">
        <f>ROUND(G217*F217*365/4,0)</f>
        <v>38556</v>
      </c>
      <c r="K217" s="42">
        <f t="shared" ref="K217:Q217" si="3240">J217</f>
        <v>38556</v>
      </c>
      <c r="L217" s="44">
        <f t="shared" si="3240"/>
        <v>38556</v>
      </c>
      <c r="M217" s="44">
        <f t="shared" si="3240"/>
        <v>38556</v>
      </c>
      <c r="N217" s="43">
        <f t="shared" si="3240"/>
        <v>38556</v>
      </c>
      <c r="O217" s="44">
        <f t="shared" si="3240"/>
        <v>38556</v>
      </c>
      <c r="P217" s="44">
        <f t="shared" si="3240"/>
        <v>38556</v>
      </c>
      <c r="Q217" s="44">
        <f t="shared" si="3240"/>
        <v>38556</v>
      </c>
      <c r="R217" s="44">
        <f>ROUND(Q217*(1+取值表!$D$12)*取值表!$H$12,0)</f>
        <v>42129</v>
      </c>
      <c r="S217" s="44">
        <f>R217</f>
        <v>42129</v>
      </c>
      <c r="T217" s="44">
        <f>S217</f>
        <v>42129</v>
      </c>
      <c r="U217" s="44">
        <f>T217</f>
        <v>42129</v>
      </c>
      <c r="V217" s="44">
        <f>ROUND(U217*(1+取值表!$D$12)*取值表!$H$12,0)</f>
        <v>46034</v>
      </c>
      <c r="W217" s="44">
        <f t="shared" ref="W217:Y217" si="3241">V217</f>
        <v>46034</v>
      </c>
      <c r="X217" s="44">
        <f t="shared" si="3241"/>
        <v>46034</v>
      </c>
      <c r="Y217" s="44">
        <f t="shared" si="3241"/>
        <v>46034</v>
      </c>
      <c r="Z217" s="44">
        <f>ROUND(Y217*(1+取值表!$D$12)*取值表!$H$12,0)</f>
        <v>50301</v>
      </c>
      <c r="AA217" s="44">
        <f t="shared" ref="AA217:AC217" si="3242">Z217</f>
        <v>50301</v>
      </c>
      <c r="AB217" s="44">
        <f t="shared" si="3242"/>
        <v>50301</v>
      </c>
      <c r="AC217" s="44">
        <f t="shared" si="3242"/>
        <v>50301</v>
      </c>
      <c r="AD217" s="44">
        <f>ROUND(AC217*(1+取值表!$D$12)*取值表!$H$12,0)</f>
        <v>54963</v>
      </c>
      <c r="AE217" s="44">
        <f t="shared" ref="AE217:AG217" si="3243">AD217</f>
        <v>54963</v>
      </c>
      <c r="AF217" s="44">
        <f t="shared" si="3243"/>
        <v>54963</v>
      </c>
      <c r="AG217" s="44">
        <f t="shared" si="3243"/>
        <v>54963</v>
      </c>
      <c r="AH217" s="44">
        <f>ROUND(AG217*(1+取值表!$D$12)*取值表!$H$12,0)</f>
        <v>60057</v>
      </c>
      <c r="AI217" s="44">
        <f t="shared" ref="AI217:AK217" si="3244">AH217</f>
        <v>60057</v>
      </c>
      <c r="AJ217" s="44">
        <f t="shared" si="3244"/>
        <v>60057</v>
      </c>
      <c r="AK217" s="44">
        <f t="shared" si="3244"/>
        <v>60057</v>
      </c>
      <c r="AL217" s="44">
        <f>ROUND(AK217*(1+取值表!$D$12)*取值表!$H$12,0)</f>
        <v>65623</v>
      </c>
      <c r="AM217" s="44">
        <f t="shared" ref="AM217:AO217" si="3245">AL217</f>
        <v>65623</v>
      </c>
      <c r="AN217" s="44">
        <f t="shared" si="3245"/>
        <v>65623</v>
      </c>
      <c r="AO217" s="44">
        <f t="shared" si="3245"/>
        <v>65623</v>
      </c>
      <c r="AP217" s="44">
        <f>ROUND(AO217*(1+取值表!$D$12)*取值表!$H$12,0)</f>
        <v>71705</v>
      </c>
      <c r="AQ217" s="44">
        <f t="shared" ref="AQ217:AS217" si="3246">AP217</f>
        <v>71705</v>
      </c>
      <c r="AR217" s="44">
        <f t="shared" si="3246"/>
        <v>71705</v>
      </c>
      <c r="AS217" s="44">
        <f t="shared" si="3246"/>
        <v>71705</v>
      </c>
      <c r="AT217" s="44">
        <f>ROUND(AS217*(1+取值表!$D$12)*取值表!$H$12,0)</f>
        <v>78351</v>
      </c>
      <c r="AU217" s="44">
        <f t="shared" ref="AU217:AW217" si="3247">AT217</f>
        <v>78351</v>
      </c>
      <c r="AV217" s="44">
        <f t="shared" si="3247"/>
        <v>78351</v>
      </c>
      <c r="AW217" s="44">
        <f t="shared" si="3247"/>
        <v>78351</v>
      </c>
      <c r="AX217" s="44">
        <f>ROUND(AW217*(1+取值表!$D$12)*取值表!$H$12,0)</f>
        <v>85613</v>
      </c>
      <c r="AY217" s="44">
        <f t="shared" ref="AY217:BA217" si="3248">AX217</f>
        <v>85613</v>
      </c>
      <c r="AZ217" s="44">
        <f t="shared" si="3248"/>
        <v>85613</v>
      </c>
      <c r="BA217" s="44">
        <f t="shared" si="3248"/>
        <v>85613</v>
      </c>
      <c r="BB217" s="44">
        <f>ROUND(BA217*(1+取值表!$D$12)*取值表!$H$12,0)</f>
        <v>93548</v>
      </c>
      <c r="BC217" s="44">
        <f t="shared" ref="BC217:BE217" si="3249">BB217</f>
        <v>93548</v>
      </c>
      <c r="BD217" s="44">
        <f t="shared" si="3249"/>
        <v>93548</v>
      </c>
      <c r="BE217" s="44">
        <f t="shared" si="3249"/>
        <v>93548</v>
      </c>
      <c r="BF217" s="44">
        <f>ROUND(BE217*(1+取值表!$D$12)*取值表!$H$12,0)</f>
        <v>102218</v>
      </c>
      <c r="BG217" s="44">
        <f t="shared" ref="BG217:BI217" si="3250">BF217</f>
        <v>102218</v>
      </c>
      <c r="BH217" s="44">
        <f t="shared" si="3250"/>
        <v>102218</v>
      </c>
      <c r="BI217" s="44">
        <f t="shared" si="3250"/>
        <v>102218</v>
      </c>
      <c r="BJ217" s="44">
        <f>ROUND(BI217*(1+取值表!$D$12)*取值表!$H$12,0)</f>
        <v>111692</v>
      </c>
      <c r="BK217" s="44">
        <f t="shared" ref="BK217:BM217" si="3251">BJ217</f>
        <v>111692</v>
      </c>
      <c r="BL217" s="44">
        <f t="shared" si="3251"/>
        <v>111692</v>
      </c>
      <c r="BM217" s="44">
        <f t="shared" si="3251"/>
        <v>111692</v>
      </c>
      <c r="BN217" s="44">
        <f>ROUND(BM217*(1+取值表!$D$12)*取值表!$H$12,0)</f>
        <v>122044</v>
      </c>
      <c r="BO217" s="44">
        <f t="shared" ref="BO217:BQ217" si="3252">BN217</f>
        <v>122044</v>
      </c>
      <c r="BP217" s="44">
        <f t="shared" si="3252"/>
        <v>122044</v>
      </c>
      <c r="BQ217" s="44">
        <f t="shared" si="3252"/>
        <v>122044</v>
      </c>
      <c r="BR217" s="44">
        <f>ROUND(BQ217*(1+取值表!$D$12)*取值表!$H$12,0)</f>
        <v>133355</v>
      </c>
      <c r="BS217" s="44">
        <f t="shared" ref="BS217:BU217" si="3253">BR217</f>
        <v>133355</v>
      </c>
      <c r="BT217" s="44">
        <f t="shared" si="3253"/>
        <v>133355</v>
      </c>
      <c r="BU217" s="44">
        <f t="shared" si="3253"/>
        <v>133355</v>
      </c>
      <c r="BV217" s="44">
        <f>ROUND(BU217*(1+取值表!$D$12)*取值表!$H$12,0)</f>
        <v>145715</v>
      </c>
      <c r="BW217" s="44">
        <f t="shared" ref="BW217:BY217" si="3254">BV217</f>
        <v>145715</v>
      </c>
      <c r="BX217" s="44">
        <f t="shared" si="3254"/>
        <v>145715</v>
      </c>
      <c r="BY217" s="44">
        <f t="shared" si="3254"/>
        <v>145715</v>
      </c>
      <c r="BZ217" s="44">
        <f>ROUND(BY217*(1+取值表!$D$12)*取值表!$H$12,0)</f>
        <v>159220</v>
      </c>
      <c r="CA217" s="44">
        <f t="shared" ref="CA217:CC217" si="3255">BZ217</f>
        <v>159220</v>
      </c>
      <c r="CB217" s="44">
        <f t="shared" si="3255"/>
        <v>159220</v>
      </c>
      <c r="CC217" s="44">
        <f t="shared" si="3255"/>
        <v>159220</v>
      </c>
      <c r="CD217" s="44">
        <f>ROUND(CC217*(1+取值表!$D$12)*取值表!$H$12,0)</f>
        <v>173977</v>
      </c>
      <c r="CE217" s="44">
        <f t="shared" ref="CE217:CG217" si="3256">CD217</f>
        <v>173977</v>
      </c>
      <c r="CF217" s="44">
        <f t="shared" si="3256"/>
        <v>173977</v>
      </c>
      <c r="CG217" s="44">
        <f t="shared" si="3256"/>
        <v>173977</v>
      </c>
      <c r="CH217" s="44">
        <f>ROUND(CG217*(1+取值表!$D$12)*取值表!$H$12,0)</f>
        <v>190102</v>
      </c>
      <c r="CI217" s="44">
        <f t="shared" ref="CI217:CK217" si="3257">CH217</f>
        <v>190102</v>
      </c>
      <c r="CJ217" s="44">
        <f t="shared" si="3257"/>
        <v>190102</v>
      </c>
      <c r="CK217" s="44">
        <f t="shared" si="3257"/>
        <v>190102</v>
      </c>
      <c r="CL217" s="44">
        <f>ROUND(CK217*(1+取值表!$D$12)*取值表!$H$12,0)</f>
        <v>207721</v>
      </c>
      <c r="CM217" s="44">
        <f t="shared" ref="CM217:CO217" si="3258">CL217</f>
        <v>207721</v>
      </c>
      <c r="CN217" s="44">
        <f t="shared" si="3258"/>
        <v>207721</v>
      </c>
      <c r="CO217" s="44">
        <f t="shared" si="3258"/>
        <v>207721</v>
      </c>
      <c r="CP217" s="44">
        <f>ROUND(CO217*(1+取值表!$D$12)*取值表!$H$12,0)</f>
        <v>226973</v>
      </c>
      <c r="CQ217" s="44">
        <f t="shared" ref="CQ217" si="3259">CP217</f>
        <v>226973</v>
      </c>
      <c r="CR217" s="44">
        <f t="shared" ref="CR217" si="3260">CQ217</f>
        <v>226973</v>
      </c>
      <c r="CS217" s="44">
        <f t="shared" ref="CS217" si="3261">CR217</f>
        <v>226973</v>
      </c>
      <c r="CT217" s="44">
        <f>ROUND(CS217*(1+取值表!$D$12)*取值表!$H$12,0)</f>
        <v>248009</v>
      </c>
      <c r="CU217" s="44">
        <f t="shared" ref="CU217" si="3262">CT217</f>
        <v>248009</v>
      </c>
      <c r="CV217" s="44">
        <f t="shared" ref="CV217" si="3263">CU217</f>
        <v>248009</v>
      </c>
      <c r="CW217" s="44">
        <f t="shared" ref="CW217" si="3264">CV217</f>
        <v>248009</v>
      </c>
      <c r="CX217" s="44">
        <f>ROUND(CW217*(1+取值表!$D$12)*取值表!$H$12,0)</f>
        <v>270995</v>
      </c>
      <c r="CY217" s="44">
        <f t="shared" ref="CY217" si="3265">CX217</f>
        <v>270995</v>
      </c>
      <c r="CZ217" s="44">
        <f t="shared" ref="CZ217" si="3266">CY217</f>
        <v>270995</v>
      </c>
      <c r="DA217" s="44">
        <f t="shared" ref="DA217" si="3267">CZ217</f>
        <v>270995</v>
      </c>
      <c r="DB217" s="44">
        <f>ROUND(DA217*(1+取值表!$D$12)*取值表!$H$12,0)</f>
        <v>296112</v>
      </c>
      <c r="DC217" s="44">
        <f t="shared" ref="DC217" si="3268">DB217</f>
        <v>296112</v>
      </c>
      <c r="DD217" s="44">
        <f t="shared" ref="DD217" si="3269">DC217</f>
        <v>296112</v>
      </c>
      <c r="DE217" s="44">
        <f t="shared" ref="DE217" si="3270">DD217</f>
        <v>296112</v>
      </c>
      <c r="DF217" s="45">
        <f t="shared" si="2934"/>
        <v>12454276</v>
      </c>
    </row>
    <row r="218" spans="1:111" s="40" customFormat="1" ht="12.75" customHeight="1">
      <c r="A218" s="517"/>
      <c r="B218" s="518"/>
      <c r="C218" s="450"/>
      <c r="D218" s="451"/>
      <c r="E218" s="452"/>
      <c r="F218" s="446"/>
      <c r="G218" s="446"/>
      <c r="H218" s="447"/>
      <c r="I218" s="41"/>
      <c r="J218" s="42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  <c r="AA218" s="44"/>
      <c r="AB218" s="44"/>
      <c r="AC218" s="44"/>
      <c r="AD218" s="44"/>
      <c r="AE218" s="44"/>
      <c r="AF218" s="44"/>
      <c r="AG218" s="44"/>
      <c r="AH218" s="44"/>
      <c r="AI218" s="44"/>
      <c r="AJ218" s="44"/>
      <c r="AK218" s="44"/>
      <c r="AL218" s="44"/>
      <c r="AM218" s="44"/>
      <c r="AN218" s="44"/>
      <c r="AO218" s="44"/>
      <c r="AP218" s="44"/>
      <c r="AQ218" s="44"/>
      <c r="AR218" s="44"/>
      <c r="AS218" s="44"/>
      <c r="AT218" s="44"/>
      <c r="AU218" s="44"/>
      <c r="AV218" s="44"/>
      <c r="AW218" s="44"/>
      <c r="AX218" s="44"/>
      <c r="AY218" s="44"/>
      <c r="AZ218" s="44"/>
      <c r="BA218" s="44"/>
      <c r="BB218" s="44"/>
      <c r="BC218" s="44"/>
      <c r="BD218" s="44"/>
      <c r="BE218" s="44"/>
      <c r="BF218" s="44"/>
      <c r="BG218" s="44"/>
      <c r="BH218" s="44"/>
      <c r="BI218" s="44"/>
      <c r="BJ218" s="44"/>
      <c r="BK218" s="44"/>
      <c r="BL218" s="44"/>
      <c r="BM218" s="44"/>
      <c r="BN218" s="44"/>
      <c r="BO218" s="44"/>
      <c r="BP218" s="44"/>
      <c r="BQ218" s="44"/>
      <c r="BR218" s="44"/>
      <c r="BS218" s="44"/>
      <c r="BT218" s="44"/>
      <c r="BU218" s="44"/>
      <c r="BV218" s="44"/>
      <c r="BW218" s="44"/>
      <c r="BX218" s="44"/>
      <c r="BY218" s="44"/>
      <c r="BZ218" s="44"/>
      <c r="CA218" s="44"/>
      <c r="CB218" s="44"/>
      <c r="CC218" s="44"/>
      <c r="CD218" s="44"/>
      <c r="CE218" s="44"/>
      <c r="CF218" s="44"/>
      <c r="CG218" s="44"/>
      <c r="CH218" s="44"/>
      <c r="CI218" s="44"/>
      <c r="CJ218" s="44"/>
      <c r="CK218" s="44"/>
      <c r="CL218" s="44"/>
      <c r="CM218" s="44"/>
      <c r="CN218" s="44"/>
      <c r="CO218" s="44"/>
      <c r="CP218" s="44"/>
      <c r="CQ218" s="44"/>
      <c r="CR218" s="44"/>
      <c r="CS218" s="44"/>
      <c r="CT218" s="44"/>
      <c r="CU218" s="44"/>
      <c r="CV218" s="44"/>
      <c r="CW218" s="44"/>
      <c r="CX218" s="44"/>
      <c r="CY218" s="44"/>
      <c r="CZ218" s="44"/>
      <c r="DA218" s="44"/>
      <c r="DB218" s="44"/>
      <c r="DC218" s="44"/>
      <c r="DD218" s="44"/>
      <c r="DE218" s="44"/>
      <c r="DF218" s="45">
        <f t="shared" si="2934"/>
        <v>0</v>
      </c>
    </row>
    <row r="219" spans="1:111" s="40" customFormat="1" ht="12" customHeight="1">
      <c r="A219" s="516">
        <v>110</v>
      </c>
      <c r="B219" s="456" t="s">
        <v>222</v>
      </c>
      <c r="C219" s="450" t="s">
        <v>745</v>
      </c>
      <c r="D219" s="451" t="s">
        <v>498</v>
      </c>
      <c r="E219" s="452" t="s">
        <v>490</v>
      </c>
      <c r="F219" s="446">
        <v>236.87</v>
      </c>
      <c r="G219" s="446">
        <v>19.5</v>
      </c>
      <c r="H219" s="447">
        <f>F219*G219*365</f>
        <v>1685922.2250000001</v>
      </c>
      <c r="I219" s="41">
        <v>410673.36</v>
      </c>
      <c r="J219" s="43">
        <f>ROUND(G219*F219*365/4,0)</f>
        <v>421481</v>
      </c>
      <c r="K219" s="55">
        <f>J219</f>
        <v>421481</v>
      </c>
      <c r="L219" s="55">
        <f>K219</f>
        <v>421481</v>
      </c>
      <c r="M219" s="55">
        <f>L219</f>
        <v>421481</v>
      </c>
      <c r="N219" s="44">
        <f>ROUND(M219*(1+取值表!$D$12)*取值表!$H$12,0)</f>
        <v>460545</v>
      </c>
      <c r="O219" s="44">
        <f>N219</f>
        <v>460545</v>
      </c>
      <c r="P219" s="44">
        <f>O219</f>
        <v>460545</v>
      </c>
      <c r="Q219" s="44">
        <f>P219</f>
        <v>460545</v>
      </c>
      <c r="R219" s="44">
        <f>ROUND(Q219*(1+取值表!$D$12)*取值表!$H$12,0)</f>
        <v>503230</v>
      </c>
      <c r="S219" s="44">
        <f t="shared" ref="S219:U219" si="3271">R219</f>
        <v>503230</v>
      </c>
      <c r="T219" s="44">
        <f t="shared" si="3271"/>
        <v>503230</v>
      </c>
      <c r="U219" s="44">
        <f t="shared" si="3271"/>
        <v>503230</v>
      </c>
      <c r="V219" s="44">
        <f>ROUND(U219*(1+取值表!$D$12)*取值表!$H$12,0)</f>
        <v>549871</v>
      </c>
      <c r="W219" s="44">
        <f t="shared" ref="W219:Y219" si="3272">V219</f>
        <v>549871</v>
      </c>
      <c r="X219" s="44">
        <f t="shared" si="3272"/>
        <v>549871</v>
      </c>
      <c r="Y219" s="44">
        <f t="shared" si="3272"/>
        <v>549871</v>
      </c>
      <c r="Z219" s="44">
        <f>ROUND(Y219*(1+取值表!$D$12)*取值表!$H$12,0)</f>
        <v>600835</v>
      </c>
      <c r="AA219" s="44">
        <f t="shared" ref="AA219:AC219" si="3273">Z219</f>
        <v>600835</v>
      </c>
      <c r="AB219" s="44">
        <f t="shared" si="3273"/>
        <v>600835</v>
      </c>
      <c r="AC219" s="44">
        <f t="shared" si="3273"/>
        <v>600835</v>
      </c>
      <c r="AD219" s="44">
        <f>ROUND(AC219*(1+取值表!$D$12)*取值表!$H$12,0)</f>
        <v>656522</v>
      </c>
      <c r="AE219" s="44">
        <f t="shared" ref="AE219:AG219" si="3274">AD219</f>
        <v>656522</v>
      </c>
      <c r="AF219" s="44">
        <f t="shared" si="3274"/>
        <v>656522</v>
      </c>
      <c r="AG219" s="44">
        <f t="shared" si="3274"/>
        <v>656522</v>
      </c>
      <c r="AH219" s="44">
        <f>ROUND(AG219*(1+取值表!$D$12)*取值表!$H$12,0)</f>
        <v>717370</v>
      </c>
      <c r="AI219" s="44">
        <f t="shared" ref="AI219:AK219" si="3275">AH219</f>
        <v>717370</v>
      </c>
      <c r="AJ219" s="44">
        <f t="shared" si="3275"/>
        <v>717370</v>
      </c>
      <c r="AK219" s="44">
        <f t="shared" si="3275"/>
        <v>717370</v>
      </c>
      <c r="AL219" s="44">
        <f>ROUND(AK219*(1+取值表!$D$12)*取值表!$H$12,0)</f>
        <v>783858</v>
      </c>
      <c r="AM219" s="44">
        <f t="shared" ref="AM219:AO219" si="3276">AL219</f>
        <v>783858</v>
      </c>
      <c r="AN219" s="44">
        <f t="shared" si="3276"/>
        <v>783858</v>
      </c>
      <c r="AO219" s="44">
        <f t="shared" si="3276"/>
        <v>783858</v>
      </c>
      <c r="AP219" s="44">
        <f>ROUND(AO219*(1+取值表!$D$12)*取值表!$H$12,0)</f>
        <v>856508</v>
      </c>
      <c r="AQ219" s="44">
        <f t="shared" ref="AQ219:AS219" si="3277">AP219</f>
        <v>856508</v>
      </c>
      <c r="AR219" s="44">
        <f t="shared" si="3277"/>
        <v>856508</v>
      </c>
      <c r="AS219" s="44">
        <f t="shared" si="3277"/>
        <v>856508</v>
      </c>
      <c r="AT219" s="44">
        <f>ROUND(AS219*(1+取值表!$D$12)*取值表!$H$12,0)</f>
        <v>935892</v>
      </c>
      <c r="AU219" s="44">
        <f t="shared" ref="AU219:AW219" si="3278">AT219</f>
        <v>935892</v>
      </c>
      <c r="AV219" s="44">
        <f t="shared" si="3278"/>
        <v>935892</v>
      </c>
      <c r="AW219" s="44">
        <f t="shared" si="3278"/>
        <v>935892</v>
      </c>
      <c r="AX219" s="44">
        <f>ROUND(AW219*(1+取值表!$D$12)*取值表!$H$12,0)</f>
        <v>1022633</v>
      </c>
      <c r="AY219" s="44">
        <f t="shared" ref="AY219:BA219" si="3279">AX219</f>
        <v>1022633</v>
      </c>
      <c r="AZ219" s="44">
        <f t="shared" si="3279"/>
        <v>1022633</v>
      </c>
      <c r="BA219" s="44">
        <f t="shared" si="3279"/>
        <v>1022633</v>
      </c>
      <c r="BB219" s="44">
        <f>ROUND(BA219*(1+取值表!$D$12)*取值表!$H$12,0)</f>
        <v>1117413</v>
      </c>
      <c r="BC219" s="44">
        <f t="shared" ref="BC219:BE219" si="3280">BB219</f>
        <v>1117413</v>
      </c>
      <c r="BD219" s="44">
        <f t="shared" si="3280"/>
        <v>1117413</v>
      </c>
      <c r="BE219" s="44">
        <f t="shared" si="3280"/>
        <v>1117413</v>
      </c>
      <c r="BF219" s="44">
        <f>ROUND(BE219*(1+取值表!$D$12)*取值表!$H$12,0)</f>
        <v>1220978</v>
      </c>
      <c r="BG219" s="44">
        <f t="shared" ref="BG219:BI219" si="3281">BF219</f>
        <v>1220978</v>
      </c>
      <c r="BH219" s="44">
        <f t="shared" si="3281"/>
        <v>1220978</v>
      </c>
      <c r="BI219" s="44">
        <f t="shared" si="3281"/>
        <v>1220978</v>
      </c>
      <c r="BJ219" s="44">
        <f>ROUND(BI219*(1+取值表!$D$12)*取值表!$H$12,0)</f>
        <v>1334142</v>
      </c>
      <c r="BK219" s="44">
        <f t="shared" ref="BK219:BM219" si="3282">BJ219</f>
        <v>1334142</v>
      </c>
      <c r="BL219" s="44">
        <f t="shared" si="3282"/>
        <v>1334142</v>
      </c>
      <c r="BM219" s="44">
        <f t="shared" si="3282"/>
        <v>1334142</v>
      </c>
      <c r="BN219" s="44">
        <f>ROUND(BM219*(1+取值表!$D$12)*取值表!$H$12,0)</f>
        <v>1457794</v>
      </c>
      <c r="BO219" s="44">
        <f t="shared" ref="BO219:BQ219" si="3283">BN219</f>
        <v>1457794</v>
      </c>
      <c r="BP219" s="44">
        <f t="shared" si="3283"/>
        <v>1457794</v>
      </c>
      <c r="BQ219" s="44">
        <f t="shared" si="3283"/>
        <v>1457794</v>
      </c>
      <c r="BR219" s="44">
        <f>ROUND(BQ219*(1+取值表!$D$12)*取值表!$H$12,0)</f>
        <v>1592906</v>
      </c>
      <c r="BS219" s="44">
        <f t="shared" ref="BS219:BU219" si="3284">BR219</f>
        <v>1592906</v>
      </c>
      <c r="BT219" s="44">
        <f t="shared" si="3284"/>
        <v>1592906</v>
      </c>
      <c r="BU219" s="44">
        <f t="shared" si="3284"/>
        <v>1592906</v>
      </c>
      <c r="BV219" s="44">
        <f>ROUND(BU219*(1+取值表!$D$12)*取值表!$H$12,0)</f>
        <v>1740541</v>
      </c>
      <c r="BW219" s="44">
        <f t="shared" ref="BW219:BY219" si="3285">BV219</f>
        <v>1740541</v>
      </c>
      <c r="BX219" s="44">
        <f t="shared" si="3285"/>
        <v>1740541</v>
      </c>
      <c r="BY219" s="44">
        <f t="shared" si="3285"/>
        <v>1740541</v>
      </c>
      <c r="BZ219" s="44">
        <f>ROUND(BY219*(1+取值表!$D$12)*取值表!$H$12,0)</f>
        <v>1901859</v>
      </c>
      <c r="CA219" s="44">
        <f t="shared" ref="CA219:CC219" si="3286">BZ219</f>
        <v>1901859</v>
      </c>
      <c r="CB219" s="44">
        <f t="shared" si="3286"/>
        <v>1901859</v>
      </c>
      <c r="CC219" s="44">
        <f t="shared" si="3286"/>
        <v>1901859</v>
      </c>
      <c r="CD219" s="44">
        <f>ROUND(CC219*(1+取值表!$D$12)*取值表!$H$12,0)</f>
        <v>2078129</v>
      </c>
      <c r="CE219" s="44">
        <f t="shared" ref="CE219:CG219" si="3287">CD219</f>
        <v>2078129</v>
      </c>
      <c r="CF219" s="44">
        <f t="shared" si="3287"/>
        <v>2078129</v>
      </c>
      <c r="CG219" s="44">
        <f t="shared" si="3287"/>
        <v>2078129</v>
      </c>
      <c r="CH219" s="44">
        <f>ROUND(CG219*(1+取值表!$D$12)*取值表!$H$12,0)</f>
        <v>2270736</v>
      </c>
      <c r="CI219" s="44">
        <f t="shared" ref="CI219:CK219" si="3288">CH219</f>
        <v>2270736</v>
      </c>
      <c r="CJ219" s="44">
        <f t="shared" si="3288"/>
        <v>2270736</v>
      </c>
      <c r="CK219" s="44">
        <f t="shared" si="3288"/>
        <v>2270736</v>
      </c>
      <c r="CL219" s="44">
        <f>ROUND(CK219*(1+取值表!$D$12)*取值表!$H$12,0)</f>
        <v>2481194</v>
      </c>
      <c r="CM219" s="44">
        <f t="shared" ref="CM219:CO219" si="3289">CL219</f>
        <v>2481194</v>
      </c>
      <c r="CN219" s="44">
        <f t="shared" si="3289"/>
        <v>2481194</v>
      </c>
      <c r="CO219" s="44">
        <f t="shared" si="3289"/>
        <v>2481194</v>
      </c>
      <c r="CP219" s="44">
        <f>ROUND(CO219*(1+取值表!$D$12)*取值表!$H$12,0)</f>
        <v>2711158</v>
      </c>
      <c r="CQ219" s="44">
        <f t="shared" ref="CQ219" si="3290">CP219</f>
        <v>2711158</v>
      </c>
      <c r="CR219" s="44">
        <f t="shared" ref="CR219" si="3291">CQ219</f>
        <v>2711158</v>
      </c>
      <c r="CS219" s="44">
        <f t="shared" ref="CS219" si="3292">CR219</f>
        <v>2711158</v>
      </c>
      <c r="CT219" s="44">
        <f>ROUND(CS219*(1+取值表!$D$12)*取值表!$H$12,0)</f>
        <v>2962436</v>
      </c>
      <c r="CU219" s="44">
        <f t="shared" ref="CU219" si="3293">CT219</f>
        <v>2962436</v>
      </c>
      <c r="CV219" s="44">
        <f t="shared" ref="CV219" si="3294">CU219</f>
        <v>2962436</v>
      </c>
      <c r="CW219" s="44">
        <f t="shared" ref="CW219" si="3295">CV219</f>
        <v>2962436</v>
      </c>
      <c r="CX219" s="44">
        <f>ROUND(CW219*(1+取值表!$D$12)*取值表!$H$12,0)</f>
        <v>3237003</v>
      </c>
      <c r="CY219" s="44">
        <f t="shared" ref="CY219" si="3296">CX219</f>
        <v>3237003</v>
      </c>
      <c r="CZ219" s="44">
        <f t="shared" ref="CZ219" si="3297">CY219</f>
        <v>3237003</v>
      </c>
      <c r="DA219" s="44">
        <f t="shared" ref="DA219" si="3298">CZ219</f>
        <v>3237003</v>
      </c>
      <c r="DB219" s="44">
        <f>ROUND(DA219*(1+取值表!$D$12)*取值表!$H$12,0)</f>
        <v>3537017</v>
      </c>
      <c r="DC219" s="44">
        <f t="shared" ref="DC219" si="3299">DB219</f>
        <v>3537017</v>
      </c>
      <c r="DD219" s="44">
        <f t="shared" ref="DD219" si="3300">DC219</f>
        <v>3537017</v>
      </c>
      <c r="DE219" s="44">
        <f t="shared" ref="DE219" si="3301">DD219</f>
        <v>3537017</v>
      </c>
      <c r="DF219" s="45">
        <f t="shared" si="2934"/>
        <v>148608204</v>
      </c>
    </row>
    <row r="220" spans="1:111" s="40" customFormat="1" ht="12">
      <c r="A220" s="517"/>
      <c r="B220" s="456"/>
      <c r="C220" s="450"/>
      <c r="D220" s="451"/>
      <c r="E220" s="452"/>
      <c r="F220" s="446"/>
      <c r="G220" s="446"/>
      <c r="H220" s="447"/>
      <c r="I220" s="41"/>
      <c r="J220" s="42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  <c r="AA220" s="44"/>
      <c r="AB220" s="44"/>
      <c r="AC220" s="44"/>
      <c r="AD220" s="44"/>
      <c r="AE220" s="44"/>
      <c r="AF220" s="44"/>
      <c r="AG220" s="44"/>
      <c r="AH220" s="44"/>
      <c r="AI220" s="44"/>
      <c r="AJ220" s="44"/>
      <c r="AK220" s="44"/>
      <c r="AL220" s="44"/>
      <c r="AM220" s="44"/>
      <c r="AN220" s="44"/>
      <c r="AO220" s="44"/>
      <c r="AP220" s="44"/>
      <c r="AQ220" s="44"/>
      <c r="AR220" s="44"/>
      <c r="AS220" s="44"/>
      <c r="AT220" s="44"/>
      <c r="AU220" s="44"/>
      <c r="AV220" s="44"/>
      <c r="AW220" s="44"/>
      <c r="AX220" s="44"/>
      <c r="AY220" s="44"/>
      <c r="AZ220" s="44"/>
      <c r="BA220" s="44"/>
      <c r="BB220" s="44"/>
      <c r="BC220" s="44"/>
      <c r="BD220" s="44"/>
      <c r="BE220" s="44"/>
      <c r="BF220" s="44"/>
      <c r="BG220" s="44"/>
      <c r="BH220" s="44"/>
      <c r="BI220" s="44"/>
      <c r="BJ220" s="44"/>
      <c r="BK220" s="44"/>
      <c r="BL220" s="44"/>
      <c r="BM220" s="44"/>
      <c r="BN220" s="44"/>
      <c r="BO220" s="44"/>
      <c r="BP220" s="44"/>
      <c r="BQ220" s="44"/>
      <c r="BR220" s="44"/>
      <c r="BS220" s="44"/>
      <c r="BT220" s="44"/>
      <c r="BU220" s="44"/>
      <c r="BV220" s="44"/>
      <c r="BW220" s="44"/>
      <c r="BX220" s="44"/>
      <c r="BY220" s="44"/>
      <c r="BZ220" s="44"/>
      <c r="CA220" s="44"/>
      <c r="CB220" s="44"/>
      <c r="CC220" s="44"/>
      <c r="CD220" s="44"/>
      <c r="CE220" s="44"/>
      <c r="CF220" s="44"/>
      <c r="CG220" s="44"/>
      <c r="CH220" s="44"/>
      <c r="CI220" s="44"/>
      <c r="CJ220" s="44"/>
      <c r="CK220" s="44"/>
      <c r="CL220" s="44"/>
      <c r="CM220" s="44"/>
      <c r="CN220" s="44"/>
      <c r="CO220" s="44"/>
      <c r="CP220" s="44"/>
      <c r="CQ220" s="44"/>
      <c r="CR220" s="44"/>
      <c r="CS220" s="44"/>
      <c r="CT220" s="44"/>
      <c r="CU220" s="44"/>
      <c r="CV220" s="44"/>
      <c r="CW220" s="44"/>
      <c r="CX220" s="44"/>
      <c r="CY220" s="44"/>
      <c r="CZ220" s="44"/>
      <c r="DA220" s="44"/>
      <c r="DB220" s="44"/>
      <c r="DC220" s="44"/>
      <c r="DD220" s="44"/>
      <c r="DE220" s="44"/>
      <c r="DF220" s="45">
        <f t="shared" si="2934"/>
        <v>0</v>
      </c>
    </row>
    <row r="221" spans="1:111" s="40" customFormat="1" ht="14.25" customHeight="1">
      <c r="A221" s="516">
        <v>111</v>
      </c>
      <c r="B221" s="518" t="s">
        <v>223</v>
      </c>
      <c r="C221" s="450" t="s">
        <v>746</v>
      </c>
      <c r="D221" s="451" t="s">
        <v>123</v>
      </c>
      <c r="E221" s="452" t="s">
        <v>490</v>
      </c>
      <c r="F221" s="446">
        <v>236.17</v>
      </c>
      <c r="G221" s="446">
        <v>13.5</v>
      </c>
      <c r="H221" s="447">
        <f>F221*G221*365</f>
        <v>1163727.6749999998</v>
      </c>
      <c r="I221" s="41">
        <v>290931.92</v>
      </c>
      <c r="J221" s="42">
        <f>ROUND(G221*F221*365/4,0)</f>
        <v>290932</v>
      </c>
      <c r="K221" s="43">
        <f>J221</f>
        <v>290932</v>
      </c>
      <c r="L221" s="44">
        <f>K221</f>
        <v>290932</v>
      </c>
      <c r="M221" s="44">
        <f>L221</f>
        <v>290932</v>
      </c>
      <c r="N221" s="44">
        <f>ROUND(M221*(1+取值表!$D$12)*取值表!$H$12,0)</f>
        <v>317896</v>
      </c>
      <c r="O221" s="44">
        <f>N221</f>
        <v>317896</v>
      </c>
      <c r="P221" s="44">
        <f>O221</f>
        <v>317896</v>
      </c>
      <c r="Q221" s="44">
        <f>P221</f>
        <v>317896</v>
      </c>
      <c r="R221" s="44">
        <f>ROUND(Q221*(1+取值表!$D$12)*取值表!$H$12,0)</f>
        <v>347359</v>
      </c>
      <c r="S221" s="44">
        <f t="shared" ref="S221:U221" si="3302">R221</f>
        <v>347359</v>
      </c>
      <c r="T221" s="44">
        <f t="shared" si="3302"/>
        <v>347359</v>
      </c>
      <c r="U221" s="44">
        <f t="shared" si="3302"/>
        <v>347359</v>
      </c>
      <c r="V221" s="44">
        <f>ROUND(U221*(1+取值表!$D$12)*取值表!$H$12,0)</f>
        <v>379553</v>
      </c>
      <c r="W221" s="44">
        <f t="shared" ref="W221:Y221" si="3303">V221</f>
        <v>379553</v>
      </c>
      <c r="X221" s="44">
        <f t="shared" si="3303"/>
        <v>379553</v>
      </c>
      <c r="Y221" s="44">
        <f t="shared" si="3303"/>
        <v>379553</v>
      </c>
      <c r="Z221" s="44">
        <f>ROUND(Y221*(1+取值表!$D$12)*取值表!$H$12,0)</f>
        <v>414731</v>
      </c>
      <c r="AA221" s="44">
        <f t="shared" ref="AA221:AC221" si="3304">Z221</f>
        <v>414731</v>
      </c>
      <c r="AB221" s="44">
        <f t="shared" si="3304"/>
        <v>414731</v>
      </c>
      <c r="AC221" s="44">
        <f t="shared" si="3304"/>
        <v>414731</v>
      </c>
      <c r="AD221" s="44">
        <f>ROUND(AC221*(1+取值表!$D$12)*取值表!$H$12,0)</f>
        <v>453169</v>
      </c>
      <c r="AE221" s="44">
        <f t="shared" ref="AE221:AG221" si="3305">AD221</f>
        <v>453169</v>
      </c>
      <c r="AF221" s="44">
        <f t="shared" si="3305"/>
        <v>453169</v>
      </c>
      <c r="AG221" s="44">
        <f t="shared" si="3305"/>
        <v>453169</v>
      </c>
      <c r="AH221" s="44">
        <f>ROUND(AG221*(1+取值表!$D$12)*取值表!$H$12,0)</f>
        <v>495170</v>
      </c>
      <c r="AI221" s="44">
        <f t="shared" ref="AI221:AK221" si="3306">AH221</f>
        <v>495170</v>
      </c>
      <c r="AJ221" s="44">
        <f t="shared" si="3306"/>
        <v>495170</v>
      </c>
      <c r="AK221" s="44">
        <f t="shared" si="3306"/>
        <v>495170</v>
      </c>
      <c r="AL221" s="44">
        <f>ROUND(AK221*(1+取值表!$D$12)*取值表!$H$12,0)</f>
        <v>541064</v>
      </c>
      <c r="AM221" s="44">
        <f t="shared" ref="AM221:AO221" si="3307">AL221</f>
        <v>541064</v>
      </c>
      <c r="AN221" s="44">
        <f t="shared" si="3307"/>
        <v>541064</v>
      </c>
      <c r="AO221" s="44">
        <f t="shared" si="3307"/>
        <v>541064</v>
      </c>
      <c r="AP221" s="44">
        <f>ROUND(AO221*(1+取值表!$D$12)*取值表!$H$12,0)</f>
        <v>591211</v>
      </c>
      <c r="AQ221" s="44">
        <f t="shared" ref="AQ221:AS221" si="3308">AP221</f>
        <v>591211</v>
      </c>
      <c r="AR221" s="44">
        <f t="shared" si="3308"/>
        <v>591211</v>
      </c>
      <c r="AS221" s="44">
        <f t="shared" si="3308"/>
        <v>591211</v>
      </c>
      <c r="AT221" s="44">
        <f>ROUND(AS221*(1+取值表!$D$12)*取值表!$H$12,0)</f>
        <v>646006</v>
      </c>
      <c r="AU221" s="44">
        <f t="shared" ref="AU221:AW221" si="3309">AT221</f>
        <v>646006</v>
      </c>
      <c r="AV221" s="44">
        <f t="shared" si="3309"/>
        <v>646006</v>
      </c>
      <c r="AW221" s="44">
        <f t="shared" si="3309"/>
        <v>646006</v>
      </c>
      <c r="AX221" s="44">
        <f>ROUND(AW221*(1+取值表!$D$12)*取值表!$H$12,0)</f>
        <v>705880</v>
      </c>
      <c r="AY221" s="44">
        <f t="shared" ref="AY221:BA221" si="3310">AX221</f>
        <v>705880</v>
      </c>
      <c r="AZ221" s="44">
        <f t="shared" si="3310"/>
        <v>705880</v>
      </c>
      <c r="BA221" s="44">
        <f t="shared" si="3310"/>
        <v>705880</v>
      </c>
      <c r="BB221" s="44">
        <f>ROUND(BA221*(1+取值表!$D$12)*取值表!$H$12,0)</f>
        <v>771303</v>
      </c>
      <c r="BC221" s="44">
        <f t="shared" ref="BC221:BE221" si="3311">BB221</f>
        <v>771303</v>
      </c>
      <c r="BD221" s="44">
        <f t="shared" si="3311"/>
        <v>771303</v>
      </c>
      <c r="BE221" s="44">
        <f t="shared" si="3311"/>
        <v>771303</v>
      </c>
      <c r="BF221" s="44">
        <f>ROUND(BE221*(1+取值表!$D$12)*取值表!$H$12,0)</f>
        <v>842789</v>
      </c>
      <c r="BG221" s="44">
        <f t="shared" ref="BG221:BI221" si="3312">BF221</f>
        <v>842789</v>
      </c>
      <c r="BH221" s="44">
        <f t="shared" si="3312"/>
        <v>842789</v>
      </c>
      <c r="BI221" s="44">
        <f t="shared" si="3312"/>
        <v>842789</v>
      </c>
      <c r="BJ221" s="44">
        <f>ROUND(BI221*(1+取值表!$D$12)*取值表!$H$12,0)</f>
        <v>920901</v>
      </c>
      <c r="BK221" s="44">
        <f t="shared" ref="BK221:BM221" si="3313">BJ221</f>
        <v>920901</v>
      </c>
      <c r="BL221" s="44">
        <f t="shared" si="3313"/>
        <v>920901</v>
      </c>
      <c r="BM221" s="44">
        <f t="shared" si="3313"/>
        <v>920901</v>
      </c>
      <c r="BN221" s="44">
        <f>ROUND(BM221*(1+取值表!$D$12)*取值表!$H$12,0)</f>
        <v>1006253</v>
      </c>
      <c r="BO221" s="44">
        <f t="shared" ref="BO221:BQ221" si="3314">BN221</f>
        <v>1006253</v>
      </c>
      <c r="BP221" s="44">
        <f t="shared" si="3314"/>
        <v>1006253</v>
      </c>
      <c r="BQ221" s="44">
        <f t="shared" si="3314"/>
        <v>1006253</v>
      </c>
      <c r="BR221" s="44">
        <f>ROUND(BQ221*(1+取值表!$D$12)*取值表!$H$12,0)</f>
        <v>1099515</v>
      </c>
      <c r="BS221" s="44">
        <f t="shared" ref="BS221:BU221" si="3315">BR221</f>
        <v>1099515</v>
      </c>
      <c r="BT221" s="44">
        <f t="shared" si="3315"/>
        <v>1099515</v>
      </c>
      <c r="BU221" s="44">
        <f t="shared" si="3315"/>
        <v>1099515</v>
      </c>
      <c r="BV221" s="44">
        <f>ROUND(BU221*(1+取值表!$D$12)*取值表!$H$12,0)</f>
        <v>1201421</v>
      </c>
      <c r="BW221" s="44">
        <f t="shared" ref="BW221:BY221" si="3316">BV221</f>
        <v>1201421</v>
      </c>
      <c r="BX221" s="44">
        <f t="shared" si="3316"/>
        <v>1201421</v>
      </c>
      <c r="BY221" s="44">
        <f t="shared" si="3316"/>
        <v>1201421</v>
      </c>
      <c r="BZ221" s="44">
        <f>ROUND(BY221*(1+取值表!$D$12)*取值表!$H$12,0)</f>
        <v>1312772</v>
      </c>
      <c r="CA221" s="44">
        <f t="shared" ref="CA221:CC221" si="3317">BZ221</f>
        <v>1312772</v>
      </c>
      <c r="CB221" s="44">
        <f t="shared" si="3317"/>
        <v>1312772</v>
      </c>
      <c r="CC221" s="44">
        <f t="shared" si="3317"/>
        <v>1312772</v>
      </c>
      <c r="CD221" s="44">
        <f>ROUND(CC221*(1+取值表!$D$12)*取值表!$H$12,0)</f>
        <v>1434443</v>
      </c>
      <c r="CE221" s="44">
        <f t="shared" ref="CE221:CG221" si="3318">CD221</f>
        <v>1434443</v>
      </c>
      <c r="CF221" s="44">
        <f t="shared" si="3318"/>
        <v>1434443</v>
      </c>
      <c r="CG221" s="44">
        <f t="shared" si="3318"/>
        <v>1434443</v>
      </c>
      <c r="CH221" s="44">
        <f>ROUND(CG221*(1+取值表!$D$12)*取值表!$H$12,0)</f>
        <v>1567391</v>
      </c>
      <c r="CI221" s="44">
        <f t="shared" ref="CI221:CK221" si="3319">CH221</f>
        <v>1567391</v>
      </c>
      <c r="CJ221" s="44">
        <f t="shared" si="3319"/>
        <v>1567391</v>
      </c>
      <c r="CK221" s="44">
        <f t="shared" si="3319"/>
        <v>1567391</v>
      </c>
      <c r="CL221" s="44">
        <f>ROUND(CK221*(1+取值表!$D$12)*取值表!$H$12,0)</f>
        <v>1712661</v>
      </c>
      <c r="CM221" s="44">
        <f t="shared" ref="CM221:CO221" si="3320">CL221</f>
        <v>1712661</v>
      </c>
      <c r="CN221" s="44">
        <f t="shared" si="3320"/>
        <v>1712661</v>
      </c>
      <c r="CO221" s="44">
        <f t="shared" si="3320"/>
        <v>1712661</v>
      </c>
      <c r="CP221" s="44">
        <f>ROUND(CO221*(1+取值表!$D$12)*取值表!$H$12,0)</f>
        <v>1871395</v>
      </c>
      <c r="CQ221" s="44">
        <f t="shared" ref="CQ221" si="3321">CP221</f>
        <v>1871395</v>
      </c>
      <c r="CR221" s="44">
        <f t="shared" ref="CR221" si="3322">CQ221</f>
        <v>1871395</v>
      </c>
      <c r="CS221" s="44">
        <f t="shared" ref="CS221" si="3323">CR221</f>
        <v>1871395</v>
      </c>
      <c r="CT221" s="44">
        <f>ROUND(CS221*(1+取值表!$D$12)*取值表!$H$12,0)</f>
        <v>2044841</v>
      </c>
      <c r="CU221" s="44">
        <f t="shared" ref="CU221" si="3324">CT221</f>
        <v>2044841</v>
      </c>
      <c r="CV221" s="44">
        <f t="shared" ref="CV221" si="3325">CU221</f>
        <v>2044841</v>
      </c>
      <c r="CW221" s="44">
        <f t="shared" ref="CW221" si="3326">CV221</f>
        <v>2044841</v>
      </c>
      <c r="CX221" s="44">
        <f>ROUND(CW221*(1+取值表!$D$12)*取值表!$H$12,0)</f>
        <v>2234362</v>
      </c>
      <c r="CY221" s="44">
        <f t="shared" ref="CY221" si="3327">CX221</f>
        <v>2234362</v>
      </c>
      <c r="CZ221" s="44">
        <f t="shared" ref="CZ221" si="3328">CY221</f>
        <v>2234362</v>
      </c>
      <c r="DA221" s="44">
        <f t="shared" ref="DA221" si="3329">CZ221</f>
        <v>2234362</v>
      </c>
      <c r="DB221" s="44">
        <f>ROUND(DA221*(1+取值表!$D$12)*取值表!$H$12,0)</f>
        <v>2441449</v>
      </c>
      <c r="DC221" s="44">
        <f t="shared" ref="DC221" si="3330">DB221</f>
        <v>2441449</v>
      </c>
      <c r="DD221" s="44">
        <f t="shared" ref="DD221" si="3331">DC221</f>
        <v>2441449</v>
      </c>
      <c r="DE221" s="44">
        <f t="shared" ref="DE221" si="3332">DD221</f>
        <v>2441449</v>
      </c>
      <c r="DF221" s="45">
        <f t="shared" si="2934"/>
        <v>102577868</v>
      </c>
    </row>
    <row r="222" spans="1:111" s="40" customFormat="1" ht="12">
      <c r="A222" s="517"/>
      <c r="B222" s="518"/>
      <c r="C222" s="450"/>
      <c r="D222" s="451"/>
      <c r="E222" s="452"/>
      <c r="F222" s="446"/>
      <c r="G222" s="446"/>
      <c r="H222" s="447"/>
      <c r="I222" s="41"/>
      <c r="J222" s="42"/>
      <c r="K222" s="42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  <c r="AA222" s="44"/>
      <c r="AB222" s="44"/>
      <c r="AC222" s="44"/>
      <c r="AD222" s="44"/>
      <c r="AE222" s="44"/>
      <c r="AF222" s="44"/>
      <c r="AG222" s="44"/>
      <c r="AH222" s="44"/>
      <c r="AI222" s="44"/>
      <c r="AJ222" s="44"/>
      <c r="AK222" s="44"/>
      <c r="AL222" s="44"/>
      <c r="AM222" s="44"/>
      <c r="AN222" s="44"/>
      <c r="AO222" s="44"/>
      <c r="AP222" s="44"/>
      <c r="AQ222" s="44"/>
      <c r="AR222" s="44"/>
      <c r="AS222" s="44"/>
      <c r="AT222" s="44"/>
      <c r="AU222" s="44"/>
      <c r="AV222" s="44"/>
      <c r="AW222" s="44"/>
      <c r="AX222" s="44"/>
      <c r="AY222" s="44"/>
      <c r="AZ222" s="44"/>
      <c r="BA222" s="44"/>
      <c r="BB222" s="44"/>
      <c r="BC222" s="44"/>
      <c r="BD222" s="44"/>
      <c r="BE222" s="44"/>
      <c r="BF222" s="44"/>
      <c r="BG222" s="44"/>
      <c r="BH222" s="44"/>
      <c r="BI222" s="44"/>
      <c r="BJ222" s="44"/>
      <c r="BK222" s="44"/>
      <c r="BL222" s="44"/>
      <c r="BM222" s="44"/>
      <c r="BN222" s="44"/>
      <c r="BO222" s="44"/>
      <c r="BP222" s="44"/>
      <c r="BQ222" s="44"/>
      <c r="BR222" s="44"/>
      <c r="BS222" s="44"/>
      <c r="BT222" s="44"/>
      <c r="BU222" s="44"/>
      <c r="BV222" s="44"/>
      <c r="BW222" s="44"/>
      <c r="BX222" s="44"/>
      <c r="BY222" s="44"/>
      <c r="BZ222" s="44"/>
      <c r="CA222" s="44"/>
      <c r="CB222" s="44"/>
      <c r="CC222" s="44"/>
      <c r="CD222" s="44"/>
      <c r="CE222" s="44"/>
      <c r="CF222" s="44"/>
      <c r="CG222" s="44"/>
      <c r="CH222" s="44"/>
      <c r="CI222" s="44"/>
      <c r="CJ222" s="44"/>
      <c r="CK222" s="44"/>
      <c r="CL222" s="44"/>
      <c r="CM222" s="44"/>
      <c r="CN222" s="44"/>
      <c r="CO222" s="44"/>
      <c r="CP222" s="44"/>
      <c r="CQ222" s="44"/>
      <c r="CR222" s="44"/>
      <c r="CS222" s="44"/>
      <c r="CT222" s="44"/>
      <c r="CU222" s="44"/>
      <c r="CV222" s="44"/>
      <c r="CW222" s="44"/>
      <c r="CX222" s="44"/>
      <c r="CY222" s="44"/>
      <c r="CZ222" s="44"/>
      <c r="DA222" s="44"/>
      <c r="DB222" s="44"/>
      <c r="DC222" s="44"/>
      <c r="DD222" s="44"/>
      <c r="DE222" s="44"/>
      <c r="DF222" s="45">
        <f t="shared" si="2934"/>
        <v>0</v>
      </c>
    </row>
    <row r="223" spans="1:111" s="40" customFormat="1" ht="12" customHeight="1">
      <c r="A223" s="516">
        <v>112</v>
      </c>
      <c r="B223" s="518" t="s">
        <v>224</v>
      </c>
      <c r="C223" s="450" t="s">
        <v>225</v>
      </c>
      <c r="D223" s="451" t="s">
        <v>499</v>
      </c>
      <c r="E223" s="452" t="s">
        <v>490</v>
      </c>
      <c r="F223" s="446">
        <v>69.89</v>
      </c>
      <c r="G223" s="446">
        <v>21</v>
      </c>
      <c r="H223" s="447">
        <f>F223*G223*365</f>
        <v>535706.85</v>
      </c>
      <c r="I223" s="41">
        <v>130737.98</v>
      </c>
      <c r="J223" s="42">
        <f>ROUND(G223*F223*365/4,0)</f>
        <v>133927</v>
      </c>
      <c r="K223" s="44">
        <f>J223</f>
        <v>133927</v>
      </c>
      <c r="L223" s="43">
        <f>K223</f>
        <v>133927</v>
      </c>
      <c r="M223" s="44">
        <f>L223</f>
        <v>133927</v>
      </c>
      <c r="N223" s="44">
        <f>ROUND(M223*(1+取值表!$D$12)*取值表!$H$12,0)</f>
        <v>146340</v>
      </c>
      <c r="O223" s="44">
        <f>N223</f>
        <v>146340</v>
      </c>
      <c r="P223" s="44">
        <f>O223</f>
        <v>146340</v>
      </c>
      <c r="Q223" s="44">
        <f>P223</f>
        <v>146340</v>
      </c>
      <c r="R223" s="44">
        <f>ROUND(Q223*(1+取值表!$D$12)*取值表!$H$12,0)</f>
        <v>159903</v>
      </c>
      <c r="S223" s="44">
        <f t="shared" ref="S223:U223" si="3333">R223</f>
        <v>159903</v>
      </c>
      <c r="T223" s="44">
        <f t="shared" si="3333"/>
        <v>159903</v>
      </c>
      <c r="U223" s="44">
        <f t="shared" si="3333"/>
        <v>159903</v>
      </c>
      <c r="V223" s="44">
        <f>ROUND(U223*(1+取值表!$D$12)*取值表!$H$12,0)</f>
        <v>174723</v>
      </c>
      <c r="W223" s="44">
        <f t="shared" ref="W223:Y223" si="3334">V223</f>
        <v>174723</v>
      </c>
      <c r="X223" s="44">
        <f t="shared" si="3334"/>
        <v>174723</v>
      </c>
      <c r="Y223" s="44">
        <f t="shared" si="3334"/>
        <v>174723</v>
      </c>
      <c r="Z223" s="44">
        <f>ROUND(Y223*(1+取值表!$D$12)*取值表!$H$12,0)</f>
        <v>190917</v>
      </c>
      <c r="AA223" s="44">
        <f t="shared" ref="AA223:AC223" si="3335">Z223</f>
        <v>190917</v>
      </c>
      <c r="AB223" s="44">
        <f t="shared" si="3335"/>
        <v>190917</v>
      </c>
      <c r="AC223" s="44">
        <f t="shared" si="3335"/>
        <v>190917</v>
      </c>
      <c r="AD223" s="44">
        <f>ROUND(AC223*(1+取值表!$D$12)*取值表!$H$12,0)</f>
        <v>208612</v>
      </c>
      <c r="AE223" s="44">
        <f t="shared" ref="AE223:AG223" si="3336">AD223</f>
        <v>208612</v>
      </c>
      <c r="AF223" s="44">
        <f t="shared" si="3336"/>
        <v>208612</v>
      </c>
      <c r="AG223" s="44">
        <f t="shared" si="3336"/>
        <v>208612</v>
      </c>
      <c r="AH223" s="44">
        <f>ROUND(AG223*(1+取值表!$D$12)*取值表!$H$12,0)</f>
        <v>227947</v>
      </c>
      <c r="AI223" s="44">
        <f t="shared" ref="AI223:AK223" si="3337">AH223</f>
        <v>227947</v>
      </c>
      <c r="AJ223" s="44">
        <f t="shared" si="3337"/>
        <v>227947</v>
      </c>
      <c r="AK223" s="44">
        <f t="shared" si="3337"/>
        <v>227947</v>
      </c>
      <c r="AL223" s="44">
        <f>ROUND(AK223*(1+取值表!$D$12)*取值表!$H$12,0)</f>
        <v>249074</v>
      </c>
      <c r="AM223" s="44">
        <f t="shared" ref="AM223:AO223" si="3338">AL223</f>
        <v>249074</v>
      </c>
      <c r="AN223" s="44">
        <f t="shared" si="3338"/>
        <v>249074</v>
      </c>
      <c r="AO223" s="44">
        <f t="shared" si="3338"/>
        <v>249074</v>
      </c>
      <c r="AP223" s="44">
        <f>ROUND(AO223*(1+取值表!$D$12)*取值表!$H$12,0)</f>
        <v>272159</v>
      </c>
      <c r="AQ223" s="44">
        <f t="shared" ref="AQ223:AS223" si="3339">AP223</f>
        <v>272159</v>
      </c>
      <c r="AR223" s="44">
        <f t="shared" si="3339"/>
        <v>272159</v>
      </c>
      <c r="AS223" s="44">
        <f t="shared" si="3339"/>
        <v>272159</v>
      </c>
      <c r="AT223" s="44">
        <f>ROUND(AS223*(1+取值表!$D$12)*取值表!$H$12,0)</f>
        <v>297383</v>
      </c>
      <c r="AU223" s="44">
        <f t="shared" ref="AU223:AW223" si="3340">AT223</f>
        <v>297383</v>
      </c>
      <c r="AV223" s="44">
        <f t="shared" si="3340"/>
        <v>297383</v>
      </c>
      <c r="AW223" s="44">
        <f t="shared" si="3340"/>
        <v>297383</v>
      </c>
      <c r="AX223" s="44">
        <f>ROUND(AW223*(1+取值表!$D$12)*取值表!$H$12,0)</f>
        <v>324945</v>
      </c>
      <c r="AY223" s="44">
        <f t="shared" ref="AY223:BA223" si="3341">AX223</f>
        <v>324945</v>
      </c>
      <c r="AZ223" s="44">
        <f t="shared" si="3341"/>
        <v>324945</v>
      </c>
      <c r="BA223" s="44">
        <f t="shared" si="3341"/>
        <v>324945</v>
      </c>
      <c r="BB223" s="44">
        <f>ROUND(BA223*(1+取值表!$D$12)*取值表!$H$12,0)</f>
        <v>355062</v>
      </c>
      <c r="BC223" s="44">
        <f t="shared" ref="BC223:BE223" si="3342">BB223</f>
        <v>355062</v>
      </c>
      <c r="BD223" s="44">
        <f t="shared" si="3342"/>
        <v>355062</v>
      </c>
      <c r="BE223" s="44">
        <f t="shared" si="3342"/>
        <v>355062</v>
      </c>
      <c r="BF223" s="44">
        <f>ROUND(BE223*(1+取值表!$D$12)*取值表!$H$12,0)</f>
        <v>387970</v>
      </c>
      <c r="BG223" s="44">
        <f t="shared" ref="BG223:BI223" si="3343">BF223</f>
        <v>387970</v>
      </c>
      <c r="BH223" s="44">
        <f t="shared" si="3343"/>
        <v>387970</v>
      </c>
      <c r="BI223" s="44">
        <f t="shared" si="3343"/>
        <v>387970</v>
      </c>
      <c r="BJ223" s="44">
        <f>ROUND(BI223*(1+取值表!$D$12)*取值表!$H$12,0)</f>
        <v>423928</v>
      </c>
      <c r="BK223" s="44">
        <f t="shared" ref="BK223:BM223" si="3344">BJ223</f>
        <v>423928</v>
      </c>
      <c r="BL223" s="44">
        <f t="shared" si="3344"/>
        <v>423928</v>
      </c>
      <c r="BM223" s="44">
        <f t="shared" si="3344"/>
        <v>423928</v>
      </c>
      <c r="BN223" s="44">
        <f>ROUND(BM223*(1+取值表!$D$12)*取值表!$H$12,0)</f>
        <v>463219</v>
      </c>
      <c r="BO223" s="44">
        <f t="shared" ref="BO223:BQ223" si="3345">BN223</f>
        <v>463219</v>
      </c>
      <c r="BP223" s="44">
        <f t="shared" si="3345"/>
        <v>463219</v>
      </c>
      <c r="BQ223" s="44">
        <f t="shared" si="3345"/>
        <v>463219</v>
      </c>
      <c r="BR223" s="44">
        <f>ROUND(BQ223*(1+取值表!$D$12)*取值表!$H$12,0)</f>
        <v>506151</v>
      </c>
      <c r="BS223" s="44">
        <f t="shared" ref="BS223:BU223" si="3346">BR223</f>
        <v>506151</v>
      </c>
      <c r="BT223" s="44">
        <f t="shared" si="3346"/>
        <v>506151</v>
      </c>
      <c r="BU223" s="44">
        <f t="shared" si="3346"/>
        <v>506151</v>
      </c>
      <c r="BV223" s="44">
        <f>ROUND(BU223*(1+取值表!$D$12)*取值表!$H$12,0)</f>
        <v>553062</v>
      </c>
      <c r="BW223" s="44">
        <f t="shared" ref="BW223:BY223" si="3347">BV223</f>
        <v>553062</v>
      </c>
      <c r="BX223" s="44">
        <f t="shared" si="3347"/>
        <v>553062</v>
      </c>
      <c r="BY223" s="44">
        <f t="shared" si="3347"/>
        <v>553062</v>
      </c>
      <c r="BZ223" s="44">
        <f>ROUND(BY223*(1+取值表!$D$12)*取值表!$H$12,0)</f>
        <v>604321</v>
      </c>
      <c r="CA223" s="44">
        <f t="shared" ref="CA223:CC223" si="3348">BZ223</f>
        <v>604321</v>
      </c>
      <c r="CB223" s="44">
        <f t="shared" si="3348"/>
        <v>604321</v>
      </c>
      <c r="CC223" s="44">
        <f t="shared" si="3348"/>
        <v>604321</v>
      </c>
      <c r="CD223" s="44">
        <f>ROUND(CC223*(1+取值表!$D$12)*取值表!$H$12,0)</f>
        <v>660331</v>
      </c>
      <c r="CE223" s="44">
        <f t="shared" ref="CE223:CG223" si="3349">CD223</f>
        <v>660331</v>
      </c>
      <c r="CF223" s="44">
        <f t="shared" si="3349"/>
        <v>660331</v>
      </c>
      <c r="CG223" s="44">
        <f t="shared" si="3349"/>
        <v>660331</v>
      </c>
      <c r="CH223" s="44">
        <f>ROUND(CG223*(1+取值表!$D$12)*取值表!$H$12,0)</f>
        <v>721532</v>
      </c>
      <c r="CI223" s="44">
        <f t="shared" ref="CI223:CK223" si="3350">CH223</f>
        <v>721532</v>
      </c>
      <c r="CJ223" s="44">
        <f t="shared" si="3350"/>
        <v>721532</v>
      </c>
      <c r="CK223" s="44">
        <f t="shared" si="3350"/>
        <v>721532</v>
      </c>
      <c r="CL223" s="44">
        <f>ROUND(CK223*(1+取值表!$D$12)*取值表!$H$12,0)</f>
        <v>788406</v>
      </c>
      <c r="CM223" s="44">
        <f t="shared" ref="CM223:CO223" si="3351">CL223</f>
        <v>788406</v>
      </c>
      <c r="CN223" s="44">
        <f t="shared" si="3351"/>
        <v>788406</v>
      </c>
      <c r="CO223" s="44">
        <f t="shared" si="3351"/>
        <v>788406</v>
      </c>
      <c r="CP223" s="44">
        <f>ROUND(CO223*(1+取值表!$D$12)*取值表!$H$12,0)</f>
        <v>861478</v>
      </c>
      <c r="CQ223" s="44">
        <f t="shared" ref="CQ223" si="3352">CP223</f>
        <v>861478</v>
      </c>
      <c r="CR223" s="44">
        <f t="shared" ref="CR223" si="3353">CQ223</f>
        <v>861478</v>
      </c>
      <c r="CS223" s="44">
        <f t="shared" ref="CS223" si="3354">CR223</f>
        <v>861478</v>
      </c>
      <c r="CT223" s="44">
        <f>ROUND(CS223*(1+取值表!$D$12)*取值表!$H$12,0)</f>
        <v>941322</v>
      </c>
      <c r="CU223" s="44">
        <f t="shared" ref="CU223" si="3355">CT223</f>
        <v>941322</v>
      </c>
      <c r="CV223" s="44">
        <f t="shared" ref="CV223" si="3356">CU223</f>
        <v>941322</v>
      </c>
      <c r="CW223" s="44">
        <f t="shared" ref="CW223" si="3357">CV223</f>
        <v>941322</v>
      </c>
      <c r="CX223" s="44">
        <f>ROUND(CW223*(1+取值表!$D$12)*取值表!$H$12,0)</f>
        <v>1028566</v>
      </c>
      <c r="CY223" s="44">
        <f t="shared" ref="CY223" si="3358">CX223</f>
        <v>1028566</v>
      </c>
      <c r="CZ223" s="44">
        <f t="shared" ref="CZ223" si="3359">CY223</f>
        <v>1028566</v>
      </c>
      <c r="DA223" s="44">
        <f t="shared" ref="DA223" si="3360">CZ223</f>
        <v>1028566</v>
      </c>
      <c r="DB223" s="44">
        <f>ROUND(DA223*(1+取值表!$D$12)*取值表!$H$12,0)</f>
        <v>1123896</v>
      </c>
      <c r="DC223" s="44">
        <f t="shared" ref="DC223" si="3361">DB223</f>
        <v>1123896</v>
      </c>
      <c r="DD223" s="44">
        <f t="shared" ref="DD223" si="3362">DC223</f>
        <v>1123896</v>
      </c>
      <c r="DE223" s="44">
        <f t="shared" ref="DE223" si="3363">DD223</f>
        <v>1123896</v>
      </c>
      <c r="DF223" s="45">
        <f t="shared" si="2934"/>
        <v>47220696</v>
      </c>
    </row>
    <row r="224" spans="1:111" s="40" customFormat="1" ht="12">
      <c r="A224" s="517"/>
      <c r="B224" s="518"/>
      <c r="C224" s="450"/>
      <c r="D224" s="451"/>
      <c r="E224" s="452"/>
      <c r="F224" s="446"/>
      <c r="G224" s="446"/>
      <c r="H224" s="447"/>
      <c r="I224" s="41"/>
      <c r="J224" s="42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  <c r="AA224" s="44"/>
      <c r="AB224" s="44"/>
      <c r="AC224" s="44"/>
      <c r="AD224" s="44"/>
      <c r="AE224" s="44"/>
      <c r="AF224" s="44"/>
      <c r="AG224" s="44"/>
      <c r="AH224" s="44"/>
      <c r="AI224" s="44"/>
      <c r="AJ224" s="44"/>
      <c r="AK224" s="44"/>
      <c r="AL224" s="44"/>
      <c r="AM224" s="44"/>
      <c r="AN224" s="44"/>
      <c r="AO224" s="44"/>
      <c r="AP224" s="44"/>
      <c r="AQ224" s="44"/>
      <c r="AR224" s="44"/>
      <c r="AS224" s="44"/>
      <c r="AT224" s="44"/>
      <c r="AU224" s="44"/>
      <c r="AV224" s="44"/>
      <c r="AW224" s="44"/>
      <c r="AX224" s="44"/>
      <c r="AY224" s="44"/>
      <c r="AZ224" s="44"/>
      <c r="BA224" s="44"/>
      <c r="BB224" s="44"/>
      <c r="BC224" s="44"/>
      <c r="BD224" s="44"/>
      <c r="BE224" s="44"/>
      <c r="BF224" s="44"/>
      <c r="BG224" s="44"/>
      <c r="BH224" s="44"/>
      <c r="BI224" s="44"/>
      <c r="BJ224" s="44"/>
      <c r="BK224" s="44"/>
      <c r="BL224" s="44"/>
      <c r="BM224" s="44"/>
      <c r="BN224" s="44"/>
      <c r="BO224" s="44"/>
      <c r="BP224" s="44"/>
      <c r="BQ224" s="44"/>
      <c r="BR224" s="44"/>
      <c r="BS224" s="44"/>
      <c r="BT224" s="44"/>
      <c r="BU224" s="44"/>
      <c r="BV224" s="44"/>
      <c r="BW224" s="44"/>
      <c r="BX224" s="44"/>
      <c r="BY224" s="44"/>
      <c r="BZ224" s="44"/>
      <c r="CA224" s="44"/>
      <c r="CB224" s="44"/>
      <c r="CC224" s="44"/>
      <c r="CD224" s="44"/>
      <c r="CE224" s="44"/>
      <c r="CF224" s="44"/>
      <c r="CG224" s="44"/>
      <c r="CH224" s="44"/>
      <c r="CI224" s="44"/>
      <c r="CJ224" s="44"/>
      <c r="CK224" s="44"/>
      <c r="CL224" s="44"/>
      <c r="CM224" s="44"/>
      <c r="CN224" s="44"/>
      <c r="CO224" s="44"/>
      <c r="CP224" s="44"/>
      <c r="CQ224" s="44"/>
      <c r="CR224" s="44"/>
      <c r="CS224" s="44"/>
      <c r="CT224" s="44"/>
      <c r="CU224" s="44"/>
      <c r="CV224" s="44"/>
      <c r="CW224" s="44"/>
      <c r="CX224" s="44"/>
      <c r="CY224" s="44"/>
      <c r="CZ224" s="44"/>
      <c r="DA224" s="44"/>
      <c r="DB224" s="44"/>
      <c r="DC224" s="44"/>
      <c r="DD224" s="44"/>
      <c r="DE224" s="44"/>
      <c r="DF224" s="45">
        <f t="shared" si="2934"/>
        <v>0</v>
      </c>
    </row>
    <row r="225" spans="1:111" s="40" customFormat="1" ht="12" customHeight="1">
      <c r="A225" s="516">
        <v>113</v>
      </c>
      <c r="B225" s="518" t="s">
        <v>226</v>
      </c>
      <c r="C225" s="450" t="s">
        <v>227</v>
      </c>
      <c r="D225" s="451" t="s">
        <v>482</v>
      </c>
      <c r="E225" s="452" t="s">
        <v>490</v>
      </c>
      <c r="F225" s="446">
        <v>44.89</v>
      </c>
      <c r="G225" s="446">
        <v>19</v>
      </c>
      <c r="H225" s="447">
        <f>F225*G225*365</f>
        <v>311312.14999999997</v>
      </c>
      <c r="I225" s="41">
        <v>77828.039999999994</v>
      </c>
      <c r="J225" s="42">
        <f>ROUND(G225*F225*365/4,0)</f>
        <v>77828</v>
      </c>
      <c r="K225" s="43">
        <f>J225</f>
        <v>77828</v>
      </c>
      <c r="L225" s="44">
        <f>K225</f>
        <v>77828</v>
      </c>
      <c r="M225" s="44">
        <f>L225</f>
        <v>77828</v>
      </c>
      <c r="N225" s="44">
        <f>ROUND(M225*(1+取值表!$D$12)*取值表!$H$12,0)</f>
        <v>85041</v>
      </c>
      <c r="O225" s="44">
        <f>N225</f>
        <v>85041</v>
      </c>
      <c r="P225" s="44">
        <f>O225</f>
        <v>85041</v>
      </c>
      <c r="Q225" s="44">
        <f>P225</f>
        <v>85041</v>
      </c>
      <c r="R225" s="44">
        <f>ROUND(Q225*(1+取值表!$D$12)*取值表!$H$12,0)</f>
        <v>92923</v>
      </c>
      <c r="S225" s="44">
        <f t="shared" ref="S225:U225" si="3364">R225</f>
        <v>92923</v>
      </c>
      <c r="T225" s="44">
        <f t="shared" si="3364"/>
        <v>92923</v>
      </c>
      <c r="U225" s="44">
        <f t="shared" si="3364"/>
        <v>92923</v>
      </c>
      <c r="V225" s="44">
        <f>ROUND(U225*(1+取值表!$D$12)*取值表!$H$12,0)</f>
        <v>101535</v>
      </c>
      <c r="W225" s="44">
        <f t="shared" ref="W225:Y225" si="3365">V225</f>
        <v>101535</v>
      </c>
      <c r="X225" s="44">
        <f t="shared" si="3365"/>
        <v>101535</v>
      </c>
      <c r="Y225" s="44">
        <f t="shared" si="3365"/>
        <v>101535</v>
      </c>
      <c r="Z225" s="44">
        <f>ROUND(Y225*(1+取值表!$D$12)*取值表!$H$12,0)</f>
        <v>110946</v>
      </c>
      <c r="AA225" s="44">
        <f t="shared" ref="AA225:AC225" si="3366">Z225</f>
        <v>110946</v>
      </c>
      <c r="AB225" s="44">
        <f t="shared" si="3366"/>
        <v>110946</v>
      </c>
      <c r="AC225" s="44">
        <f t="shared" si="3366"/>
        <v>110946</v>
      </c>
      <c r="AD225" s="44">
        <f>ROUND(AC225*(1+取值表!$D$12)*取值表!$H$12,0)</f>
        <v>121229</v>
      </c>
      <c r="AE225" s="44">
        <f t="shared" ref="AE225:AG225" si="3367">AD225</f>
        <v>121229</v>
      </c>
      <c r="AF225" s="44">
        <f t="shared" si="3367"/>
        <v>121229</v>
      </c>
      <c r="AG225" s="44">
        <f t="shared" si="3367"/>
        <v>121229</v>
      </c>
      <c r="AH225" s="44">
        <f>ROUND(AG225*(1+取值表!$D$12)*取值表!$H$12,0)</f>
        <v>132465</v>
      </c>
      <c r="AI225" s="44">
        <f t="shared" ref="AI225:AK225" si="3368">AH225</f>
        <v>132465</v>
      </c>
      <c r="AJ225" s="44">
        <f t="shared" si="3368"/>
        <v>132465</v>
      </c>
      <c r="AK225" s="44">
        <f t="shared" si="3368"/>
        <v>132465</v>
      </c>
      <c r="AL225" s="44">
        <f>ROUND(AK225*(1+取值表!$D$12)*取值表!$H$12,0)</f>
        <v>144742</v>
      </c>
      <c r="AM225" s="44">
        <f t="shared" ref="AM225:AO225" si="3369">AL225</f>
        <v>144742</v>
      </c>
      <c r="AN225" s="44">
        <f t="shared" si="3369"/>
        <v>144742</v>
      </c>
      <c r="AO225" s="44">
        <f t="shared" si="3369"/>
        <v>144742</v>
      </c>
      <c r="AP225" s="44">
        <f>ROUND(AO225*(1+取值表!$D$12)*取值表!$H$12,0)</f>
        <v>158157</v>
      </c>
      <c r="AQ225" s="44">
        <f t="shared" ref="AQ225:AS225" si="3370">AP225</f>
        <v>158157</v>
      </c>
      <c r="AR225" s="44">
        <f t="shared" si="3370"/>
        <v>158157</v>
      </c>
      <c r="AS225" s="44">
        <f t="shared" si="3370"/>
        <v>158157</v>
      </c>
      <c r="AT225" s="44">
        <f>ROUND(AS225*(1+取值表!$D$12)*取值表!$H$12,0)</f>
        <v>172815</v>
      </c>
      <c r="AU225" s="44">
        <f t="shared" ref="AU225:AW225" si="3371">AT225</f>
        <v>172815</v>
      </c>
      <c r="AV225" s="44">
        <f t="shared" si="3371"/>
        <v>172815</v>
      </c>
      <c r="AW225" s="44">
        <f t="shared" si="3371"/>
        <v>172815</v>
      </c>
      <c r="AX225" s="44">
        <f>ROUND(AW225*(1+取值表!$D$12)*取值表!$H$12,0)</f>
        <v>188832</v>
      </c>
      <c r="AY225" s="44">
        <f t="shared" ref="AY225:BA225" si="3372">AX225</f>
        <v>188832</v>
      </c>
      <c r="AZ225" s="44">
        <f t="shared" si="3372"/>
        <v>188832</v>
      </c>
      <c r="BA225" s="44">
        <f t="shared" si="3372"/>
        <v>188832</v>
      </c>
      <c r="BB225" s="44">
        <f>ROUND(BA225*(1+取值表!$D$12)*取值表!$H$12,0)</f>
        <v>206333</v>
      </c>
      <c r="BC225" s="44">
        <f t="shared" ref="BC225:BE225" si="3373">BB225</f>
        <v>206333</v>
      </c>
      <c r="BD225" s="44">
        <f t="shared" si="3373"/>
        <v>206333</v>
      </c>
      <c r="BE225" s="44">
        <f t="shared" si="3373"/>
        <v>206333</v>
      </c>
      <c r="BF225" s="44">
        <f>ROUND(BE225*(1+取值表!$D$12)*取值表!$H$12,0)</f>
        <v>225457</v>
      </c>
      <c r="BG225" s="44">
        <f t="shared" ref="BG225:BI225" si="3374">BF225</f>
        <v>225457</v>
      </c>
      <c r="BH225" s="44">
        <f t="shared" si="3374"/>
        <v>225457</v>
      </c>
      <c r="BI225" s="44">
        <f t="shared" si="3374"/>
        <v>225457</v>
      </c>
      <c r="BJ225" s="44">
        <f>ROUND(BI225*(1+取值表!$D$12)*取值表!$H$12,0)</f>
        <v>246353</v>
      </c>
      <c r="BK225" s="44">
        <f t="shared" ref="BK225:BM225" si="3375">BJ225</f>
        <v>246353</v>
      </c>
      <c r="BL225" s="44">
        <f t="shared" si="3375"/>
        <v>246353</v>
      </c>
      <c r="BM225" s="44">
        <f t="shared" si="3375"/>
        <v>246353</v>
      </c>
      <c r="BN225" s="44">
        <f>ROUND(BM225*(1+取值表!$D$12)*取值表!$H$12,0)</f>
        <v>269186</v>
      </c>
      <c r="BO225" s="44">
        <f t="shared" ref="BO225:BQ225" si="3376">BN225</f>
        <v>269186</v>
      </c>
      <c r="BP225" s="44">
        <f t="shared" si="3376"/>
        <v>269186</v>
      </c>
      <c r="BQ225" s="44">
        <f t="shared" si="3376"/>
        <v>269186</v>
      </c>
      <c r="BR225" s="44">
        <f>ROUND(BQ225*(1+取值表!$D$12)*取值表!$H$12,0)</f>
        <v>294135</v>
      </c>
      <c r="BS225" s="44">
        <f t="shared" ref="BS225:BU225" si="3377">BR225</f>
        <v>294135</v>
      </c>
      <c r="BT225" s="44">
        <f t="shared" si="3377"/>
        <v>294135</v>
      </c>
      <c r="BU225" s="44">
        <f t="shared" si="3377"/>
        <v>294135</v>
      </c>
      <c r="BV225" s="44">
        <f>ROUND(BU225*(1+取值表!$D$12)*取值表!$H$12,0)</f>
        <v>321396</v>
      </c>
      <c r="BW225" s="44">
        <f t="shared" ref="BW225:BY225" si="3378">BV225</f>
        <v>321396</v>
      </c>
      <c r="BX225" s="44">
        <f t="shared" si="3378"/>
        <v>321396</v>
      </c>
      <c r="BY225" s="44">
        <f t="shared" si="3378"/>
        <v>321396</v>
      </c>
      <c r="BZ225" s="44">
        <f>ROUND(BY225*(1+取值表!$D$12)*取值表!$H$12,0)</f>
        <v>351184</v>
      </c>
      <c r="CA225" s="44">
        <f t="shared" ref="CA225:CC225" si="3379">BZ225</f>
        <v>351184</v>
      </c>
      <c r="CB225" s="44">
        <f t="shared" si="3379"/>
        <v>351184</v>
      </c>
      <c r="CC225" s="44">
        <f t="shared" si="3379"/>
        <v>351184</v>
      </c>
      <c r="CD225" s="44">
        <f>ROUND(CC225*(1+取值表!$D$12)*取值表!$H$12,0)</f>
        <v>383733</v>
      </c>
      <c r="CE225" s="44">
        <f t="shared" ref="CE225:CG225" si="3380">CD225</f>
        <v>383733</v>
      </c>
      <c r="CF225" s="44">
        <f t="shared" si="3380"/>
        <v>383733</v>
      </c>
      <c r="CG225" s="44">
        <f t="shared" si="3380"/>
        <v>383733</v>
      </c>
      <c r="CH225" s="44">
        <f>ROUND(CG225*(1+取值表!$D$12)*取值表!$H$12,0)</f>
        <v>419298</v>
      </c>
      <c r="CI225" s="44">
        <f t="shared" ref="CI225:CK225" si="3381">CH225</f>
        <v>419298</v>
      </c>
      <c r="CJ225" s="44">
        <f t="shared" si="3381"/>
        <v>419298</v>
      </c>
      <c r="CK225" s="44">
        <f t="shared" si="3381"/>
        <v>419298</v>
      </c>
      <c r="CL225" s="44">
        <f>ROUND(CK225*(1+取值表!$D$12)*取值表!$H$12,0)</f>
        <v>458160</v>
      </c>
      <c r="CM225" s="44">
        <f t="shared" ref="CM225:CO225" si="3382">CL225</f>
        <v>458160</v>
      </c>
      <c r="CN225" s="44">
        <f t="shared" si="3382"/>
        <v>458160</v>
      </c>
      <c r="CO225" s="44">
        <f t="shared" si="3382"/>
        <v>458160</v>
      </c>
      <c r="CP225" s="44">
        <f>ROUND(CO225*(1+取值表!$D$12)*取值表!$H$12,0)</f>
        <v>500624</v>
      </c>
      <c r="CQ225" s="44">
        <f t="shared" ref="CQ225" si="3383">CP225</f>
        <v>500624</v>
      </c>
      <c r="CR225" s="44">
        <f t="shared" ref="CR225" si="3384">CQ225</f>
        <v>500624</v>
      </c>
      <c r="CS225" s="44">
        <f t="shared" ref="CS225" si="3385">CR225</f>
        <v>500624</v>
      </c>
      <c r="CT225" s="44">
        <f>ROUND(CS225*(1+取值表!$D$12)*取值表!$H$12,0)</f>
        <v>547023</v>
      </c>
      <c r="CU225" s="44">
        <f t="shared" ref="CU225" si="3386">CT225</f>
        <v>547023</v>
      </c>
      <c r="CV225" s="44">
        <f t="shared" ref="CV225" si="3387">CU225</f>
        <v>547023</v>
      </c>
      <c r="CW225" s="44">
        <f t="shared" ref="CW225" si="3388">CV225</f>
        <v>547023</v>
      </c>
      <c r="CX225" s="44">
        <f>ROUND(CW225*(1+取值表!$D$12)*取值表!$H$12,0)</f>
        <v>597723</v>
      </c>
      <c r="CY225" s="44">
        <f t="shared" ref="CY225" si="3389">CX225</f>
        <v>597723</v>
      </c>
      <c r="CZ225" s="44">
        <f t="shared" ref="CZ225" si="3390">CY225</f>
        <v>597723</v>
      </c>
      <c r="DA225" s="44">
        <f t="shared" ref="DA225" si="3391">CZ225</f>
        <v>597723</v>
      </c>
      <c r="DB225" s="44">
        <f>ROUND(DA225*(1+取值表!$D$12)*取值表!$H$12,0)</f>
        <v>653122</v>
      </c>
      <c r="DC225" s="44">
        <f t="shared" ref="DC225" si="3392">DB225</f>
        <v>653122</v>
      </c>
      <c r="DD225" s="44">
        <f t="shared" ref="DD225" si="3393">DC225</f>
        <v>653122</v>
      </c>
      <c r="DE225" s="44">
        <f t="shared" ref="DE225" si="3394">DD225</f>
        <v>653122</v>
      </c>
      <c r="DF225" s="45">
        <f t="shared" si="2934"/>
        <v>27440960</v>
      </c>
    </row>
    <row r="226" spans="1:111" s="40" customFormat="1" ht="12">
      <c r="A226" s="517"/>
      <c r="B226" s="518"/>
      <c r="C226" s="450"/>
      <c r="D226" s="451"/>
      <c r="E226" s="452"/>
      <c r="F226" s="446"/>
      <c r="G226" s="446"/>
      <c r="H226" s="447"/>
      <c r="I226" s="41"/>
      <c r="J226" s="42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  <c r="AA226" s="44"/>
      <c r="AB226" s="44"/>
      <c r="AC226" s="44"/>
      <c r="AD226" s="44"/>
      <c r="AE226" s="44"/>
      <c r="AF226" s="44"/>
      <c r="AG226" s="44"/>
      <c r="AH226" s="44"/>
      <c r="AI226" s="44"/>
      <c r="AJ226" s="44"/>
      <c r="AK226" s="44"/>
      <c r="AL226" s="44"/>
      <c r="AM226" s="44"/>
      <c r="AN226" s="44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  <c r="BL226" s="44"/>
      <c r="BM226" s="44"/>
      <c r="BN226" s="44"/>
      <c r="BO226" s="44"/>
      <c r="BP226" s="44"/>
      <c r="BQ226" s="44"/>
      <c r="BR226" s="44"/>
      <c r="BS226" s="44"/>
      <c r="BT226" s="44"/>
      <c r="BU226" s="44"/>
      <c r="BV226" s="44"/>
      <c r="BW226" s="44"/>
      <c r="BX226" s="44"/>
      <c r="BY226" s="44"/>
      <c r="BZ226" s="44"/>
      <c r="CA226" s="44"/>
      <c r="CB226" s="44"/>
      <c r="CC226" s="44"/>
      <c r="CD226" s="44"/>
      <c r="CE226" s="44"/>
      <c r="CF226" s="44"/>
      <c r="CG226" s="44"/>
      <c r="CH226" s="44"/>
      <c r="CI226" s="44"/>
      <c r="CJ226" s="44"/>
      <c r="CK226" s="44"/>
      <c r="CL226" s="44"/>
      <c r="CM226" s="44"/>
      <c r="CN226" s="44"/>
      <c r="CO226" s="44"/>
      <c r="CP226" s="44"/>
      <c r="CQ226" s="44"/>
      <c r="CR226" s="44"/>
      <c r="CS226" s="44"/>
      <c r="CT226" s="44"/>
      <c r="CU226" s="44"/>
      <c r="CV226" s="44"/>
      <c r="CW226" s="44"/>
      <c r="CX226" s="44"/>
      <c r="CY226" s="44"/>
      <c r="CZ226" s="44"/>
      <c r="DA226" s="44"/>
      <c r="DB226" s="44"/>
      <c r="DC226" s="44"/>
      <c r="DD226" s="44"/>
      <c r="DE226" s="44"/>
      <c r="DF226" s="45">
        <f t="shared" si="2934"/>
        <v>0</v>
      </c>
    </row>
    <row r="227" spans="1:111" s="40" customFormat="1" ht="12" customHeight="1">
      <c r="A227" s="516">
        <v>114</v>
      </c>
      <c r="B227" s="518" t="s">
        <v>228</v>
      </c>
      <c r="C227" s="450" t="s">
        <v>30</v>
      </c>
      <c r="D227" s="451" t="s">
        <v>501</v>
      </c>
      <c r="E227" s="452" t="s">
        <v>490</v>
      </c>
      <c r="F227" s="446">
        <v>47.71</v>
      </c>
      <c r="G227" s="446">
        <v>17</v>
      </c>
      <c r="H227" s="447">
        <f>24670.05*12</f>
        <v>296040.59999999998</v>
      </c>
      <c r="I227" s="41">
        <v>74010.14</v>
      </c>
      <c r="J227" s="43">
        <f>ROUND(G227*F227*365/4,0)</f>
        <v>74010</v>
      </c>
      <c r="K227" s="56">
        <f>J227</f>
        <v>74010</v>
      </c>
      <c r="L227" s="56">
        <f>K227</f>
        <v>74010</v>
      </c>
      <c r="M227" s="56">
        <f>L227</f>
        <v>74010</v>
      </c>
      <c r="N227" s="44">
        <f>ROUND(M227*(1+取值表!$D$12)*取值表!$H$12,0)</f>
        <v>80869</v>
      </c>
      <c r="O227" s="44">
        <f>N227</f>
        <v>80869</v>
      </c>
      <c r="P227" s="44">
        <f>O227</f>
        <v>80869</v>
      </c>
      <c r="Q227" s="44">
        <f>P227</f>
        <v>80869</v>
      </c>
      <c r="R227" s="44">
        <f>ROUND(Q227*(1+取值表!$D$12)*取值表!$H$12,0)</f>
        <v>88364</v>
      </c>
      <c r="S227" s="44">
        <f t="shared" ref="S227:U227" si="3395">R227</f>
        <v>88364</v>
      </c>
      <c r="T227" s="44">
        <f t="shared" si="3395"/>
        <v>88364</v>
      </c>
      <c r="U227" s="44">
        <f t="shared" si="3395"/>
        <v>88364</v>
      </c>
      <c r="V227" s="44">
        <f>ROUND(U227*(1+取值表!$D$12)*取值表!$H$12,0)</f>
        <v>96554</v>
      </c>
      <c r="W227" s="44">
        <f t="shared" ref="W227:Y227" si="3396">V227</f>
        <v>96554</v>
      </c>
      <c r="X227" s="44">
        <f t="shared" si="3396"/>
        <v>96554</v>
      </c>
      <c r="Y227" s="44">
        <f t="shared" si="3396"/>
        <v>96554</v>
      </c>
      <c r="Z227" s="44">
        <f>ROUND(Y227*(1+取值表!$D$12)*取值表!$H$12,0)</f>
        <v>105503</v>
      </c>
      <c r="AA227" s="44">
        <f t="shared" ref="AA227:AC227" si="3397">Z227</f>
        <v>105503</v>
      </c>
      <c r="AB227" s="44">
        <f t="shared" si="3397"/>
        <v>105503</v>
      </c>
      <c r="AC227" s="44">
        <f t="shared" si="3397"/>
        <v>105503</v>
      </c>
      <c r="AD227" s="44">
        <f>ROUND(AC227*(1+取值表!$D$12)*取值表!$H$12,0)</f>
        <v>115281</v>
      </c>
      <c r="AE227" s="44">
        <f t="shared" ref="AE227:AG227" si="3398">AD227</f>
        <v>115281</v>
      </c>
      <c r="AF227" s="44">
        <f t="shared" si="3398"/>
        <v>115281</v>
      </c>
      <c r="AG227" s="44">
        <f t="shared" si="3398"/>
        <v>115281</v>
      </c>
      <c r="AH227" s="44">
        <f>ROUND(AG227*(1+取值表!$D$12)*取值表!$H$12,0)</f>
        <v>125966</v>
      </c>
      <c r="AI227" s="44">
        <f t="shared" ref="AI227:AK227" si="3399">AH227</f>
        <v>125966</v>
      </c>
      <c r="AJ227" s="44">
        <f t="shared" si="3399"/>
        <v>125966</v>
      </c>
      <c r="AK227" s="44">
        <f t="shared" si="3399"/>
        <v>125966</v>
      </c>
      <c r="AL227" s="44">
        <f>ROUND(AK227*(1+取值表!$D$12)*取值表!$H$12,0)</f>
        <v>137641</v>
      </c>
      <c r="AM227" s="44">
        <f t="shared" ref="AM227:AO227" si="3400">AL227</f>
        <v>137641</v>
      </c>
      <c r="AN227" s="44">
        <f t="shared" si="3400"/>
        <v>137641</v>
      </c>
      <c r="AO227" s="44">
        <f t="shared" si="3400"/>
        <v>137641</v>
      </c>
      <c r="AP227" s="44">
        <f>ROUND(AO227*(1+取值表!$D$12)*取值表!$H$12,0)</f>
        <v>150398</v>
      </c>
      <c r="AQ227" s="44">
        <f t="shared" ref="AQ227:AS227" si="3401">AP227</f>
        <v>150398</v>
      </c>
      <c r="AR227" s="44">
        <f t="shared" si="3401"/>
        <v>150398</v>
      </c>
      <c r="AS227" s="44">
        <f t="shared" si="3401"/>
        <v>150398</v>
      </c>
      <c r="AT227" s="44">
        <f>ROUND(AS227*(1+取值表!$D$12)*取值表!$H$12,0)</f>
        <v>164337</v>
      </c>
      <c r="AU227" s="44">
        <f t="shared" ref="AU227:AW227" si="3402">AT227</f>
        <v>164337</v>
      </c>
      <c r="AV227" s="44">
        <f t="shared" si="3402"/>
        <v>164337</v>
      </c>
      <c r="AW227" s="44">
        <f t="shared" si="3402"/>
        <v>164337</v>
      </c>
      <c r="AX227" s="44">
        <f>ROUND(AW227*(1+取值表!$D$12)*取值表!$H$12,0)</f>
        <v>179568</v>
      </c>
      <c r="AY227" s="44">
        <f t="shared" ref="AY227:BA227" si="3403">AX227</f>
        <v>179568</v>
      </c>
      <c r="AZ227" s="44">
        <f t="shared" si="3403"/>
        <v>179568</v>
      </c>
      <c r="BA227" s="44">
        <f t="shared" si="3403"/>
        <v>179568</v>
      </c>
      <c r="BB227" s="44">
        <f>ROUND(BA227*(1+取值表!$D$12)*取值表!$H$12,0)</f>
        <v>196211</v>
      </c>
      <c r="BC227" s="44">
        <f t="shared" ref="BC227:BE227" si="3404">BB227</f>
        <v>196211</v>
      </c>
      <c r="BD227" s="44">
        <f t="shared" si="3404"/>
        <v>196211</v>
      </c>
      <c r="BE227" s="44">
        <f t="shared" si="3404"/>
        <v>196211</v>
      </c>
      <c r="BF227" s="44">
        <f>ROUND(BE227*(1+取值表!$D$12)*取值表!$H$12,0)</f>
        <v>214396</v>
      </c>
      <c r="BG227" s="44">
        <f t="shared" ref="BG227:BI227" si="3405">BF227</f>
        <v>214396</v>
      </c>
      <c r="BH227" s="44">
        <f t="shared" si="3405"/>
        <v>214396</v>
      </c>
      <c r="BI227" s="44">
        <f t="shared" si="3405"/>
        <v>214396</v>
      </c>
      <c r="BJ227" s="44">
        <f>ROUND(BI227*(1+取值表!$D$12)*取值表!$H$12,0)</f>
        <v>234267</v>
      </c>
      <c r="BK227" s="44">
        <f t="shared" ref="BK227:BM227" si="3406">BJ227</f>
        <v>234267</v>
      </c>
      <c r="BL227" s="44">
        <f t="shared" si="3406"/>
        <v>234267</v>
      </c>
      <c r="BM227" s="44">
        <f t="shared" si="3406"/>
        <v>234267</v>
      </c>
      <c r="BN227" s="44">
        <f>ROUND(BM227*(1+取值表!$D$12)*取值表!$H$12,0)</f>
        <v>255980</v>
      </c>
      <c r="BO227" s="44">
        <f t="shared" ref="BO227:BQ227" si="3407">BN227</f>
        <v>255980</v>
      </c>
      <c r="BP227" s="44">
        <f t="shared" si="3407"/>
        <v>255980</v>
      </c>
      <c r="BQ227" s="44">
        <f t="shared" si="3407"/>
        <v>255980</v>
      </c>
      <c r="BR227" s="44">
        <f>ROUND(BQ227*(1+取值表!$D$12)*取值表!$H$12,0)</f>
        <v>279705</v>
      </c>
      <c r="BS227" s="44">
        <f t="shared" ref="BS227:BU227" si="3408">BR227</f>
        <v>279705</v>
      </c>
      <c r="BT227" s="44">
        <f t="shared" si="3408"/>
        <v>279705</v>
      </c>
      <c r="BU227" s="44">
        <f t="shared" si="3408"/>
        <v>279705</v>
      </c>
      <c r="BV227" s="44">
        <f>ROUND(BU227*(1+取值表!$D$12)*取值表!$H$12,0)</f>
        <v>305629</v>
      </c>
      <c r="BW227" s="44">
        <f t="shared" ref="BW227:BY227" si="3409">BV227</f>
        <v>305629</v>
      </c>
      <c r="BX227" s="44">
        <f t="shared" si="3409"/>
        <v>305629</v>
      </c>
      <c r="BY227" s="44">
        <f t="shared" si="3409"/>
        <v>305629</v>
      </c>
      <c r="BZ227" s="44">
        <f>ROUND(BY227*(1+取值表!$D$12)*取值表!$H$12,0)</f>
        <v>333956</v>
      </c>
      <c r="CA227" s="44">
        <f t="shared" ref="CA227:CC227" si="3410">BZ227</f>
        <v>333956</v>
      </c>
      <c r="CB227" s="44">
        <f t="shared" si="3410"/>
        <v>333956</v>
      </c>
      <c r="CC227" s="44">
        <f t="shared" si="3410"/>
        <v>333956</v>
      </c>
      <c r="CD227" s="44">
        <f>ROUND(CC227*(1+取值表!$D$12)*取值表!$H$12,0)</f>
        <v>364908</v>
      </c>
      <c r="CE227" s="44">
        <f t="shared" ref="CE227:CG227" si="3411">CD227</f>
        <v>364908</v>
      </c>
      <c r="CF227" s="44">
        <f t="shared" si="3411"/>
        <v>364908</v>
      </c>
      <c r="CG227" s="44">
        <f t="shared" si="3411"/>
        <v>364908</v>
      </c>
      <c r="CH227" s="44">
        <f>ROUND(CG227*(1+取值表!$D$12)*取值表!$H$12,0)</f>
        <v>398729</v>
      </c>
      <c r="CI227" s="44">
        <f t="shared" ref="CI227:CK227" si="3412">CH227</f>
        <v>398729</v>
      </c>
      <c r="CJ227" s="44">
        <f t="shared" si="3412"/>
        <v>398729</v>
      </c>
      <c r="CK227" s="44">
        <f t="shared" si="3412"/>
        <v>398729</v>
      </c>
      <c r="CL227" s="44">
        <f>ROUND(CK227*(1+取值表!$D$12)*取值表!$H$12,0)</f>
        <v>435684</v>
      </c>
      <c r="CM227" s="44">
        <f t="shared" ref="CM227:CO227" si="3413">CL227</f>
        <v>435684</v>
      </c>
      <c r="CN227" s="44">
        <f t="shared" si="3413"/>
        <v>435684</v>
      </c>
      <c r="CO227" s="44">
        <f t="shared" si="3413"/>
        <v>435684</v>
      </c>
      <c r="CP227" s="44">
        <f>ROUND(CO227*(1+取值表!$D$12)*取值表!$H$12,0)</f>
        <v>476064</v>
      </c>
      <c r="CQ227" s="44">
        <f t="shared" ref="CQ227" si="3414">CP227</f>
        <v>476064</v>
      </c>
      <c r="CR227" s="44">
        <f t="shared" ref="CR227" si="3415">CQ227</f>
        <v>476064</v>
      </c>
      <c r="CS227" s="44">
        <f t="shared" ref="CS227" si="3416">CR227</f>
        <v>476064</v>
      </c>
      <c r="CT227" s="44">
        <f>ROUND(CS227*(1+取值表!$D$12)*取值表!$H$12,0)</f>
        <v>520187</v>
      </c>
      <c r="CU227" s="44">
        <f t="shared" ref="CU227" si="3417">CT227</f>
        <v>520187</v>
      </c>
      <c r="CV227" s="44">
        <f t="shared" ref="CV227" si="3418">CU227</f>
        <v>520187</v>
      </c>
      <c r="CW227" s="44">
        <f t="shared" ref="CW227" si="3419">CV227</f>
        <v>520187</v>
      </c>
      <c r="CX227" s="44">
        <f>ROUND(CW227*(1+取值表!$D$12)*取值表!$H$12,0)</f>
        <v>568399</v>
      </c>
      <c r="CY227" s="44">
        <f t="shared" ref="CY227" si="3420">CX227</f>
        <v>568399</v>
      </c>
      <c r="CZ227" s="44">
        <f t="shared" ref="CZ227" si="3421">CY227</f>
        <v>568399</v>
      </c>
      <c r="DA227" s="44">
        <f t="shared" ref="DA227" si="3422">CZ227</f>
        <v>568399</v>
      </c>
      <c r="DB227" s="44">
        <f>ROUND(DA227*(1+取值表!$D$12)*取值表!$H$12,0)</f>
        <v>621080</v>
      </c>
      <c r="DC227" s="44">
        <f t="shared" ref="DC227" si="3423">DB227</f>
        <v>621080</v>
      </c>
      <c r="DD227" s="44">
        <f t="shared" ref="DD227" si="3424">DC227</f>
        <v>621080</v>
      </c>
      <c r="DE227" s="44">
        <f t="shared" ref="DE227" si="3425">DD227</f>
        <v>621080</v>
      </c>
      <c r="DF227" s="45">
        <f t="shared" si="2934"/>
        <v>26094744</v>
      </c>
    </row>
    <row r="228" spans="1:111" s="40" customFormat="1" ht="12">
      <c r="A228" s="517"/>
      <c r="B228" s="518"/>
      <c r="C228" s="450"/>
      <c r="D228" s="451"/>
      <c r="E228" s="452"/>
      <c r="F228" s="446"/>
      <c r="G228" s="446"/>
      <c r="H228" s="447"/>
      <c r="I228" s="41"/>
      <c r="J228" s="42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  <c r="AA228" s="44"/>
      <c r="AB228" s="44"/>
      <c r="AC228" s="44"/>
      <c r="AD228" s="44"/>
      <c r="AE228" s="44"/>
      <c r="AF228" s="44"/>
      <c r="AG228" s="44"/>
      <c r="AH228" s="44"/>
      <c r="AI228" s="44"/>
      <c r="AJ228" s="44"/>
      <c r="AK228" s="44"/>
      <c r="AL228" s="44"/>
      <c r="AM228" s="44"/>
      <c r="AN228" s="44"/>
      <c r="AO228" s="44"/>
      <c r="AP228" s="44"/>
      <c r="AQ228" s="44"/>
      <c r="AR228" s="44"/>
      <c r="AS228" s="44"/>
      <c r="AT228" s="44"/>
      <c r="AU228" s="44"/>
      <c r="AV228" s="44"/>
      <c r="AW228" s="44"/>
      <c r="AX228" s="44"/>
      <c r="AY228" s="44"/>
      <c r="AZ228" s="44"/>
      <c r="BA228" s="44"/>
      <c r="BB228" s="44"/>
      <c r="BC228" s="44"/>
      <c r="BD228" s="44"/>
      <c r="BE228" s="44"/>
      <c r="BF228" s="44"/>
      <c r="BG228" s="44"/>
      <c r="BH228" s="44"/>
      <c r="BI228" s="44"/>
      <c r="BJ228" s="44"/>
      <c r="BK228" s="44"/>
      <c r="BL228" s="44"/>
      <c r="BM228" s="44"/>
      <c r="BN228" s="44"/>
      <c r="BO228" s="44"/>
      <c r="BP228" s="44"/>
      <c r="BQ228" s="44"/>
      <c r="BR228" s="44"/>
      <c r="BS228" s="44"/>
      <c r="BT228" s="44"/>
      <c r="BU228" s="44"/>
      <c r="BV228" s="44"/>
      <c r="BW228" s="44"/>
      <c r="BX228" s="44"/>
      <c r="BY228" s="44"/>
      <c r="BZ228" s="44"/>
      <c r="CA228" s="44"/>
      <c r="CB228" s="44"/>
      <c r="CC228" s="44"/>
      <c r="CD228" s="44"/>
      <c r="CE228" s="44"/>
      <c r="CF228" s="44"/>
      <c r="CG228" s="44"/>
      <c r="CH228" s="44"/>
      <c r="CI228" s="44"/>
      <c r="CJ228" s="44"/>
      <c r="CK228" s="44"/>
      <c r="CL228" s="44"/>
      <c r="CM228" s="44"/>
      <c r="CN228" s="44"/>
      <c r="CO228" s="44"/>
      <c r="CP228" s="44"/>
      <c r="CQ228" s="44"/>
      <c r="CR228" s="44"/>
      <c r="CS228" s="44"/>
      <c r="CT228" s="44"/>
      <c r="CU228" s="44"/>
      <c r="CV228" s="44"/>
      <c r="CW228" s="44"/>
      <c r="CX228" s="44"/>
      <c r="CY228" s="44"/>
      <c r="CZ228" s="44"/>
      <c r="DA228" s="44"/>
      <c r="DB228" s="44"/>
      <c r="DC228" s="44"/>
      <c r="DD228" s="44"/>
      <c r="DE228" s="44"/>
      <c r="DF228" s="45">
        <f t="shared" si="2934"/>
        <v>0</v>
      </c>
    </row>
    <row r="229" spans="1:111" s="40" customFormat="1" ht="12">
      <c r="A229" s="516">
        <v>115</v>
      </c>
      <c r="B229" s="518" t="s">
        <v>229</v>
      </c>
      <c r="C229" s="450" t="s">
        <v>230</v>
      </c>
      <c r="D229" s="451" t="s">
        <v>503</v>
      </c>
      <c r="E229" s="452" t="s">
        <v>490</v>
      </c>
      <c r="F229" s="446">
        <v>90.13</v>
      </c>
      <c r="G229" s="446">
        <v>21</v>
      </c>
      <c r="H229" s="447">
        <f>F229*G229*365</f>
        <v>690846.45</v>
      </c>
      <c r="I229" s="41">
        <v>172711.61</v>
      </c>
      <c r="J229" s="42">
        <f>ROUND(G229*F229*365/4,0)</f>
        <v>172712</v>
      </c>
      <c r="K229" s="44">
        <f>J229</f>
        <v>172712</v>
      </c>
      <c r="L229" s="44">
        <f t="shared" ref="L229:S229" si="3426">K229</f>
        <v>172712</v>
      </c>
      <c r="M229" s="44">
        <f t="shared" si="3426"/>
        <v>172712</v>
      </c>
      <c r="N229" s="44">
        <f t="shared" si="3426"/>
        <v>172712</v>
      </c>
      <c r="O229" s="44">
        <f t="shared" si="3426"/>
        <v>172712</v>
      </c>
      <c r="P229" s="44">
        <f t="shared" si="3426"/>
        <v>172712</v>
      </c>
      <c r="Q229" s="44">
        <f t="shared" si="3426"/>
        <v>172712</v>
      </c>
      <c r="R229" s="44">
        <f t="shared" si="3426"/>
        <v>172712</v>
      </c>
      <c r="S229" s="43">
        <f t="shared" si="3426"/>
        <v>172712</v>
      </c>
      <c r="T229" s="44">
        <f>S229</f>
        <v>172712</v>
      </c>
      <c r="U229" s="44">
        <f>T229</f>
        <v>172712</v>
      </c>
      <c r="V229" s="44">
        <f>ROUND(U229*(1+取值表!$D$12)*取值表!$H$12,0)</f>
        <v>188719</v>
      </c>
      <c r="W229" s="44">
        <f>V229</f>
        <v>188719</v>
      </c>
      <c r="X229" s="44">
        <f>W229</f>
        <v>188719</v>
      </c>
      <c r="Y229" s="44">
        <f>X229</f>
        <v>188719</v>
      </c>
      <c r="Z229" s="44">
        <f>ROUND(Y229*(1+取值表!$D$12)*取值表!$H$12,0)</f>
        <v>206210</v>
      </c>
      <c r="AA229" s="44">
        <f t="shared" ref="AA229:AC229" si="3427">Z229</f>
        <v>206210</v>
      </c>
      <c r="AB229" s="44">
        <f t="shared" si="3427"/>
        <v>206210</v>
      </c>
      <c r="AC229" s="44">
        <f t="shared" si="3427"/>
        <v>206210</v>
      </c>
      <c r="AD229" s="44">
        <f>ROUND(AC229*(1+取值表!$D$12)*取值表!$H$12,0)</f>
        <v>225322</v>
      </c>
      <c r="AE229" s="44">
        <f t="shared" ref="AE229:AG229" si="3428">AD229</f>
        <v>225322</v>
      </c>
      <c r="AF229" s="44">
        <f t="shared" si="3428"/>
        <v>225322</v>
      </c>
      <c r="AG229" s="44">
        <f t="shared" si="3428"/>
        <v>225322</v>
      </c>
      <c r="AH229" s="44">
        <f>ROUND(AG229*(1+取值表!$D$12)*取值表!$H$12,0)</f>
        <v>246205</v>
      </c>
      <c r="AI229" s="44">
        <f t="shared" ref="AI229:AK229" si="3429">AH229</f>
        <v>246205</v>
      </c>
      <c r="AJ229" s="44">
        <f t="shared" si="3429"/>
        <v>246205</v>
      </c>
      <c r="AK229" s="44">
        <f t="shared" si="3429"/>
        <v>246205</v>
      </c>
      <c r="AL229" s="44">
        <f>ROUND(AK229*(1+取值表!$D$12)*取值表!$H$12,0)</f>
        <v>269024</v>
      </c>
      <c r="AM229" s="44">
        <f t="shared" ref="AM229:AO229" si="3430">AL229</f>
        <v>269024</v>
      </c>
      <c r="AN229" s="44">
        <f t="shared" si="3430"/>
        <v>269024</v>
      </c>
      <c r="AO229" s="44">
        <f t="shared" si="3430"/>
        <v>269024</v>
      </c>
      <c r="AP229" s="44">
        <f>ROUND(AO229*(1+取值表!$D$12)*取值表!$H$12,0)</f>
        <v>293958</v>
      </c>
      <c r="AQ229" s="44">
        <f t="shared" ref="AQ229:AS229" si="3431">AP229</f>
        <v>293958</v>
      </c>
      <c r="AR229" s="44">
        <f t="shared" si="3431"/>
        <v>293958</v>
      </c>
      <c r="AS229" s="44">
        <f t="shared" si="3431"/>
        <v>293958</v>
      </c>
      <c r="AT229" s="44">
        <f>ROUND(AS229*(1+取值表!$D$12)*取值表!$H$12,0)</f>
        <v>321203</v>
      </c>
      <c r="AU229" s="44">
        <f t="shared" ref="AU229:AW229" si="3432">AT229</f>
        <v>321203</v>
      </c>
      <c r="AV229" s="44">
        <f t="shared" si="3432"/>
        <v>321203</v>
      </c>
      <c r="AW229" s="44">
        <f t="shared" si="3432"/>
        <v>321203</v>
      </c>
      <c r="AX229" s="44">
        <f>ROUND(AW229*(1+取值表!$D$12)*取值表!$H$12,0)</f>
        <v>350973</v>
      </c>
      <c r="AY229" s="44">
        <f t="shared" ref="AY229:BA229" si="3433">AX229</f>
        <v>350973</v>
      </c>
      <c r="AZ229" s="44">
        <f t="shared" si="3433"/>
        <v>350973</v>
      </c>
      <c r="BA229" s="44">
        <f t="shared" si="3433"/>
        <v>350973</v>
      </c>
      <c r="BB229" s="44">
        <f>ROUND(BA229*(1+取值表!$D$12)*取值表!$H$12,0)</f>
        <v>383502</v>
      </c>
      <c r="BC229" s="44">
        <f t="shared" ref="BC229:BE229" si="3434">BB229</f>
        <v>383502</v>
      </c>
      <c r="BD229" s="44">
        <f t="shared" si="3434"/>
        <v>383502</v>
      </c>
      <c r="BE229" s="44">
        <f t="shared" si="3434"/>
        <v>383502</v>
      </c>
      <c r="BF229" s="44">
        <f>ROUND(BE229*(1+取值表!$D$12)*取值表!$H$12,0)</f>
        <v>419046</v>
      </c>
      <c r="BG229" s="44">
        <f t="shared" ref="BG229:BI229" si="3435">BF229</f>
        <v>419046</v>
      </c>
      <c r="BH229" s="44">
        <f t="shared" si="3435"/>
        <v>419046</v>
      </c>
      <c r="BI229" s="44">
        <f t="shared" si="3435"/>
        <v>419046</v>
      </c>
      <c r="BJ229" s="44">
        <f>ROUND(BI229*(1+取值表!$D$12)*取值表!$H$12,0)</f>
        <v>457884</v>
      </c>
      <c r="BK229" s="44">
        <f t="shared" ref="BK229:BM229" si="3436">BJ229</f>
        <v>457884</v>
      </c>
      <c r="BL229" s="44">
        <f t="shared" si="3436"/>
        <v>457884</v>
      </c>
      <c r="BM229" s="44">
        <f t="shared" si="3436"/>
        <v>457884</v>
      </c>
      <c r="BN229" s="44">
        <f>ROUND(BM229*(1+取值表!$D$12)*取值表!$H$12,0)</f>
        <v>500322</v>
      </c>
      <c r="BO229" s="44">
        <f t="shared" ref="BO229:BQ229" si="3437">BN229</f>
        <v>500322</v>
      </c>
      <c r="BP229" s="44">
        <f t="shared" si="3437"/>
        <v>500322</v>
      </c>
      <c r="BQ229" s="44">
        <f t="shared" si="3437"/>
        <v>500322</v>
      </c>
      <c r="BR229" s="44">
        <f>ROUND(BQ229*(1+取值表!$D$12)*取值表!$H$12,0)</f>
        <v>546693</v>
      </c>
      <c r="BS229" s="44">
        <f t="shared" ref="BS229:BU229" si="3438">BR229</f>
        <v>546693</v>
      </c>
      <c r="BT229" s="44">
        <f t="shared" si="3438"/>
        <v>546693</v>
      </c>
      <c r="BU229" s="44">
        <f t="shared" si="3438"/>
        <v>546693</v>
      </c>
      <c r="BV229" s="44">
        <f>ROUND(BU229*(1+取值表!$D$12)*取值表!$H$12,0)</f>
        <v>597362</v>
      </c>
      <c r="BW229" s="44">
        <f t="shared" ref="BW229:BY229" si="3439">BV229</f>
        <v>597362</v>
      </c>
      <c r="BX229" s="44">
        <f t="shared" si="3439"/>
        <v>597362</v>
      </c>
      <c r="BY229" s="44">
        <f t="shared" si="3439"/>
        <v>597362</v>
      </c>
      <c r="BZ229" s="44">
        <f>ROUND(BY229*(1+取值表!$D$12)*取值表!$H$12,0)</f>
        <v>652727</v>
      </c>
      <c r="CA229" s="44">
        <f t="shared" ref="CA229:CC229" si="3440">BZ229</f>
        <v>652727</v>
      </c>
      <c r="CB229" s="44">
        <f t="shared" si="3440"/>
        <v>652727</v>
      </c>
      <c r="CC229" s="44">
        <f t="shared" si="3440"/>
        <v>652727</v>
      </c>
      <c r="CD229" s="44">
        <f>ROUND(CC229*(1+取值表!$D$12)*取值表!$H$12,0)</f>
        <v>713224</v>
      </c>
      <c r="CE229" s="44">
        <f t="shared" ref="CE229:CG229" si="3441">CD229</f>
        <v>713224</v>
      </c>
      <c r="CF229" s="44">
        <f t="shared" si="3441"/>
        <v>713224</v>
      </c>
      <c r="CG229" s="44">
        <f t="shared" si="3441"/>
        <v>713224</v>
      </c>
      <c r="CH229" s="44">
        <f>ROUND(CG229*(1+取值表!$D$12)*取值表!$H$12,0)</f>
        <v>779328</v>
      </c>
      <c r="CI229" s="44">
        <f t="shared" ref="CI229:CK229" si="3442">CH229</f>
        <v>779328</v>
      </c>
      <c r="CJ229" s="44">
        <f t="shared" si="3442"/>
        <v>779328</v>
      </c>
      <c r="CK229" s="44">
        <f t="shared" si="3442"/>
        <v>779328</v>
      </c>
      <c r="CL229" s="44">
        <f>ROUND(CK229*(1+取值表!$D$12)*取值表!$H$12,0)</f>
        <v>851558</v>
      </c>
      <c r="CM229" s="44">
        <f t="shared" ref="CM229:CN229" si="3443">CL229</f>
        <v>851558</v>
      </c>
      <c r="CN229" s="44">
        <f t="shared" si="3443"/>
        <v>851558</v>
      </c>
      <c r="CO229" s="44">
        <f>CN229</f>
        <v>851558</v>
      </c>
      <c r="CP229" s="44">
        <f>ROUND(CO229*(1+取值表!$D$12)*取值表!$H$12,0)</f>
        <v>930483</v>
      </c>
      <c r="CQ229" s="44">
        <f t="shared" ref="CQ229" si="3444">CP229</f>
        <v>930483</v>
      </c>
      <c r="CR229" s="44">
        <f t="shared" ref="CR229:CS229" si="3445">CQ229</f>
        <v>930483</v>
      </c>
      <c r="CS229" s="44">
        <f t="shared" si="3445"/>
        <v>930483</v>
      </c>
      <c r="CT229" s="44">
        <f>ROUND(CS229*(1+取值表!$D$12)*取值表!$H$12,0)</f>
        <v>1016723</v>
      </c>
      <c r="CU229" s="44">
        <f t="shared" ref="CU229" si="3446">CT229</f>
        <v>1016723</v>
      </c>
      <c r="CV229" s="44">
        <f t="shared" ref="CV229:CW229" si="3447">CU229</f>
        <v>1016723</v>
      </c>
      <c r="CW229" s="44">
        <f t="shared" si="3447"/>
        <v>1016723</v>
      </c>
      <c r="CX229" s="44">
        <f>ROUND(CW229*(1+取值表!$D$12)*取值表!$H$12,0)</f>
        <v>1110956</v>
      </c>
      <c r="CY229" s="44">
        <f t="shared" ref="CY229" si="3448">CX229</f>
        <v>1110956</v>
      </c>
      <c r="CZ229" s="44">
        <f t="shared" ref="CZ229:DA229" si="3449">CY229</f>
        <v>1110956</v>
      </c>
      <c r="DA229" s="44">
        <f t="shared" si="3449"/>
        <v>1110956</v>
      </c>
      <c r="DB229" s="44">
        <f>ROUND(DA229*(1+取值表!$D$12)*取值表!$H$12,0)</f>
        <v>1213922</v>
      </c>
      <c r="DC229" s="44">
        <f t="shared" ref="DC229" si="3450">DB229</f>
        <v>1213922</v>
      </c>
      <c r="DD229" s="44">
        <f t="shared" ref="DD229" si="3451">DC229</f>
        <v>1213922</v>
      </c>
      <c r="DE229" s="44">
        <f t="shared" ref="DE229" si="3452">DD229</f>
        <v>1213922</v>
      </c>
      <c r="DF229" s="45">
        <f t="shared" si="2934"/>
        <v>51173920</v>
      </c>
    </row>
    <row r="230" spans="1:111" s="40" customFormat="1" ht="12">
      <c r="A230" s="517"/>
      <c r="B230" s="518"/>
      <c r="C230" s="450"/>
      <c r="D230" s="451"/>
      <c r="E230" s="452"/>
      <c r="F230" s="446"/>
      <c r="G230" s="446"/>
      <c r="H230" s="447"/>
      <c r="I230" s="41"/>
      <c r="J230" s="42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  <c r="AA230" s="44"/>
      <c r="AB230" s="44"/>
      <c r="AC230" s="44"/>
      <c r="AD230" s="44"/>
      <c r="AE230" s="44"/>
      <c r="AF230" s="44"/>
      <c r="AG230" s="44"/>
      <c r="AH230" s="44"/>
      <c r="AI230" s="44"/>
      <c r="AJ230" s="44"/>
      <c r="AK230" s="44"/>
      <c r="AL230" s="44"/>
      <c r="AM230" s="44"/>
      <c r="AN230" s="44"/>
      <c r="AO230" s="44"/>
      <c r="AP230" s="44"/>
      <c r="AQ230" s="44"/>
      <c r="AR230" s="44"/>
      <c r="AS230" s="44"/>
      <c r="AT230" s="44"/>
      <c r="AU230" s="44"/>
      <c r="AV230" s="44"/>
      <c r="AW230" s="44"/>
      <c r="AX230" s="44"/>
      <c r="AY230" s="44"/>
      <c r="AZ230" s="44"/>
      <c r="BA230" s="44"/>
      <c r="BB230" s="44"/>
      <c r="BC230" s="44"/>
      <c r="BD230" s="44"/>
      <c r="BE230" s="44"/>
      <c r="BF230" s="44"/>
      <c r="BG230" s="44"/>
      <c r="BH230" s="44"/>
      <c r="BI230" s="44"/>
      <c r="BJ230" s="44"/>
      <c r="BK230" s="44"/>
      <c r="BL230" s="44"/>
      <c r="BM230" s="44"/>
      <c r="BN230" s="44"/>
      <c r="BO230" s="44"/>
      <c r="BP230" s="44"/>
      <c r="BQ230" s="44"/>
      <c r="BR230" s="44"/>
      <c r="BS230" s="44"/>
      <c r="BT230" s="44"/>
      <c r="BU230" s="44"/>
      <c r="BV230" s="44"/>
      <c r="BW230" s="44"/>
      <c r="BX230" s="44"/>
      <c r="BY230" s="44"/>
      <c r="BZ230" s="44"/>
      <c r="CA230" s="44"/>
      <c r="CB230" s="44"/>
      <c r="CC230" s="44"/>
      <c r="CD230" s="44"/>
      <c r="CE230" s="44"/>
      <c r="CF230" s="44"/>
      <c r="CG230" s="44"/>
      <c r="CH230" s="44"/>
      <c r="CI230" s="44"/>
      <c r="CJ230" s="44"/>
      <c r="CK230" s="44"/>
      <c r="CL230" s="44"/>
      <c r="CM230" s="44"/>
      <c r="CN230" s="44"/>
      <c r="CO230" s="44"/>
      <c r="CP230" s="44"/>
      <c r="CQ230" s="44"/>
      <c r="CR230" s="44"/>
      <c r="CS230" s="44"/>
      <c r="CT230" s="44"/>
      <c r="CU230" s="44"/>
      <c r="CV230" s="44"/>
      <c r="CW230" s="44"/>
      <c r="CX230" s="44"/>
      <c r="CY230" s="44"/>
      <c r="CZ230" s="44"/>
      <c r="DA230" s="44"/>
      <c r="DB230" s="44"/>
      <c r="DC230" s="44"/>
      <c r="DD230" s="44"/>
      <c r="DE230" s="44"/>
      <c r="DF230" s="45">
        <f t="shared" si="2934"/>
        <v>0</v>
      </c>
    </row>
    <row r="231" spans="1:111" s="40" customFormat="1" ht="12" customHeight="1">
      <c r="A231" s="516">
        <v>116</v>
      </c>
      <c r="B231" s="518" t="s">
        <v>231</v>
      </c>
      <c r="C231" s="450" t="s">
        <v>747</v>
      </c>
      <c r="D231" s="451" t="s">
        <v>500</v>
      </c>
      <c r="E231" s="452" t="s">
        <v>490</v>
      </c>
      <c r="F231" s="446">
        <v>99.25</v>
      </c>
      <c r="G231" s="446">
        <v>21</v>
      </c>
      <c r="H231" s="447">
        <f>F231*G231*365</f>
        <v>760751.25</v>
      </c>
      <c r="I231" s="41">
        <v>191586.68</v>
      </c>
      <c r="J231" s="42">
        <f>ROUND(G231*F231*365/4,0)</f>
        <v>190188</v>
      </c>
      <c r="K231" s="43">
        <f>J231</f>
        <v>190188</v>
      </c>
      <c r="L231" s="44">
        <f>K231</f>
        <v>190188</v>
      </c>
      <c r="M231" s="44">
        <f>L231</f>
        <v>190188</v>
      </c>
      <c r="N231" s="44">
        <f>ROUND(M231*(1+取值表!$D$12)*取值表!$H$12,0)</f>
        <v>207815</v>
      </c>
      <c r="O231" s="44">
        <f>N231</f>
        <v>207815</v>
      </c>
      <c r="P231" s="44">
        <f>O231</f>
        <v>207815</v>
      </c>
      <c r="Q231" s="44">
        <f>P231</f>
        <v>207815</v>
      </c>
      <c r="R231" s="44">
        <f>ROUND(Q231*(1+取值表!$D$12)*取值表!$H$12,0)</f>
        <v>227076</v>
      </c>
      <c r="S231" s="44">
        <f t="shared" ref="S231:U231" si="3453">R231</f>
        <v>227076</v>
      </c>
      <c r="T231" s="44">
        <f t="shared" si="3453"/>
        <v>227076</v>
      </c>
      <c r="U231" s="44">
        <f t="shared" si="3453"/>
        <v>227076</v>
      </c>
      <c r="V231" s="44">
        <f>ROUND(U231*(1+取值表!$D$12)*取值表!$H$12,0)</f>
        <v>248122</v>
      </c>
      <c r="W231" s="44">
        <f t="shared" ref="W231:Y231" si="3454">V231</f>
        <v>248122</v>
      </c>
      <c r="X231" s="44">
        <f t="shared" si="3454"/>
        <v>248122</v>
      </c>
      <c r="Y231" s="44">
        <f t="shared" si="3454"/>
        <v>248122</v>
      </c>
      <c r="Z231" s="44">
        <f>ROUND(Y231*(1+取值表!$D$12)*取值表!$H$12,0)</f>
        <v>271119</v>
      </c>
      <c r="AA231" s="44">
        <f t="shared" ref="AA231:AC231" si="3455">Z231</f>
        <v>271119</v>
      </c>
      <c r="AB231" s="44">
        <f t="shared" si="3455"/>
        <v>271119</v>
      </c>
      <c r="AC231" s="44">
        <f t="shared" si="3455"/>
        <v>271119</v>
      </c>
      <c r="AD231" s="44">
        <f>ROUND(AC231*(1+取值表!$D$12)*取值表!$H$12,0)</f>
        <v>296247</v>
      </c>
      <c r="AE231" s="44">
        <f t="shared" ref="AE231:AG231" si="3456">AD231</f>
        <v>296247</v>
      </c>
      <c r="AF231" s="44">
        <f t="shared" si="3456"/>
        <v>296247</v>
      </c>
      <c r="AG231" s="44">
        <f t="shared" si="3456"/>
        <v>296247</v>
      </c>
      <c r="AH231" s="44">
        <f>ROUND(AG231*(1+取值表!$D$12)*取值表!$H$12,0)</f>
        <v>323704</v>
      </c>
      <c r="AI231" s="44">
        <f t="shared" ref="AI231:AK231" si="3457">AH231</f>
        <v>323704</v>
      </c>
      <c r="AJ231" s="44">
        <f t="shared" si="3457"/>
        <v>323704</v>
      </c>
      <c r="AK231" s="44">
        <f t="shared" si="3457"/>
        <v>323704</v>
      </c>
      <c r="AL231" s="44">
        <f>ROUND(AK231*(1+取值表!$D$12)*取值表!$H$12,0)</f>
        <v>353706</v>
      </c>
      <c r="AM231" s="44">
        <f t="shared" ref="AM231:AO231" si="3458">AL231</f>
        <v>353706</v>
      </c>
      <c r="AN231" s="44">
        <f t="shared" si="3458"/>
        <v>353706</v>
      </c>
      <c r="AO231" s="44">
        <f t="shared" si="3458"/>
        <v>353706</v>
      </c>
      <c r="AP231" s="44">
        <f>ROUND(AO231*(1+取值表!$D$12)*取值表!$H$12,0)</f>
        <v>386488</v>
      </c>
      <c r="AQ231" s="44">
        <f t="shared" ref="AQ231:AS231" si="3459">AP231</f>
        <v>386488</v>
      </c>
      <c r="AR231" s="44">
        <f t="shared" si="3459"/>
        <v>386488</v>
      </c>
      <c r="AS231" s="44">
        <f t="shared" si="3459"/>
        <v>386488</v>
      </c>
      <c r="AT231" s="44">
        <f>ROUND(AS231*(1+取值表!$D$12)*取值表!$H$12,0)</f>
        <v>422309</v>
      </c>
      <c r="AU231" s="44">
        <f t="shared" ref="AU231:AW231" si="3460">AT231</f>
        <v>422309</v>
      </c>
      <c r="AV231" s="44">
        <f t="shared" si="3460"/>
        <v>422309</v>
      </c>
      <c r="AW231" s="44">
        <f t="shared" si="3460"/>
        <v>422309</v>
      </c>
      <c r="AX231" s="44">
        <f>ROUND(AW231*(1+取值表!$D$12)*取值表!$H$12,0)</f>
        <v>461450</v>
      </c>
      <c r="AY231" s="44">
        <f t="shared" ref="AY231:BA231" si="3461">AX231</f>
        <v>461450</v>
      </c>
      <c r="AZ231" s="44">
        <f t="shared" si="3461"/>
        <v>461450</v>
      </c>
      <c r="BA231" s="44">
        <f t="shared" si="3461"/>
        <v>461450</v>
      </c>
      <c r="BB231" s="44">
        <f>ROUND(BA231*(1+取值表!$D$12)*取值表!$H$12,0)</f>
        <v>504218</v>
      </c>
      <c r="BC231" s="44">
        <f t="shared" ref="BC231:BE231" si="3462">BB231</f>
        <v>504218</v>
      </c>
      <c r="BD231" s="44">
        <f t="shared" si="3462"/>
        <v>504218</v>
      </c>
      <c r="BE231" s="44">
        <f t="shared" si="3462"/>
        <v>504218</v>
      </c>
      <c r="BF231" s="44">
        <f>ROUND(BE231*(1+取值表!$D$12)*取值表!$H$12,0)</f>
        <v>550950</v>
      </c>
      <c r="BG231" s="44">
        <f t="shared" ref="BG231:BI231" si="3463">BF231</f>
        <v>550950</v>
      </c>
      <c r="BH231" s="44">
        <f t="shared" si="3463"/>
        <v>550950</v>
      </c>
      <c r="BI231" s="44">
        <f t="shared" si="3463"/>
        <v>550950</v>
      </c>
      <c r="BJ231" s="44">
        <f>ROUND(BI231*(1+取值表!$D$12)*取值表!$H$12,0)</f>
        <v>602014</v>
      </c>
      <c r="BK231" s="44">
        <f t="shared" ref="BK231:BM231" si="3464">BJ231</f>
        <v>602014</v>
      </c>
      <c r="BL231" s="44">
        <f t="shared" si="3464"/>
        <v>602014</v>
      </c>
      <c r="BM231" s="44">
        <f t="shared" si="3464"/>
        <v>602014</v>
      </c>
      <c r="BN231" s="44">
        <f>ROUND(BM231*(1+取值表!$D$12)*取值表!$H$12,0)</f>
        <v>657810</v>
      </c>
      <c r="BO231" s="44">
        <f t="shared" ref="BO231:BQ231" si="3465">BN231</f>
        <v>657810</v>
      </c>
      <c r="BP231" s="44">
        <f t="shared" si="3465"/>
        <v>657810</v>
      </c>
      <c r="BQ231" s="44">
        <f t="shared" si="3465"/>
        <v>657810</v>
      </c>
      <c r="BR231" s="44">
        <f>ROUND(BQ231*(1+取值表!$D$12)*取值表!$H$12,0)</f>
        <v>718778</v>
      </c>
      <c r="BS231" s="44">
        <f t="shared" ref="BS231:BU231" si="3466">BR231</f>
        <v>718778</v>
      </c>
      <c r="BT231" s="44">
        <f t="shared" si="3466"/>
        <v>718778</v>
      </c>
      <c r="BU231" s="44">
        <f t="shared" si="3466"/>
        <v>718778</v>
      </c>
      <c r="BV231" s="44">
        <f>ROUND(BU231*(1+取值表!$D$12)*取值表!$H$12,0)</f>
        <v>785396</v>
      </c>
      <c r="BW231" s="44">
        <f t="shared" ref="BW231:BY231" si="3467">BV231</f>
        <v>785396</v>
      </c>
      <c r="BX231" s="44">
        <f t="shared" si="3467"/>
        <v>785396</v>
      </c>
      <c r="BY231" s="44">
        <f t="shared" si="3467"/>
        <v>785396</v>
      </c>
      <c r="BZ231" s="44">
        <f>ROUND(BY231*(1+取值表!$D$12)*取值表!$H$12,0)</f>
        <v>858189</v>
      </c>
      <c r="CA231" s="44">
        <f t="shared" ref="CA231:CC231" si="3468">BZ231</f>
        <v>858189</v>
      </c>
      <c r="CB231" s="44">
        <f t="shared" si="3468"/>
        <v>858189</v>
      </c>
      <c r="CC231" s="44">
        <f t="shared" si="3468"/>
        <v>858189</v>
      </c>
      <c r="CD231" s="44">
        <f>ROUND(CC231*(1+取值表!$D$12)*取值表!$H$12,0)</f>
        <v>937728</v>
      </c>
      <c r="CE231" s="44">
        <f t="shared" ref="CE231:CG231" si="3469">CD231</f>
        <v>937728</v>
      </c>
      <c r="CF231" s="44">
        <f t="shared" si="3469"/>
        <v>937728</v>
      </c>
      <c r="CG231" s="44">
        <f t="shared" si="3469"/>
        <v>937728</v>
      </c>
      <c r="CH231" s="44">
        <f>ROUND(CG231*(1+取值表!$D$12)*取值表!$H$12,0)</f>
        <v>1024639</v>
      </c>
      <c r="CI231" s="44">
        <f t="shared" ref="CI231:CK231" si="3470">CH231</f>
        <v>1024639</v>
      </c>
      <c r="CJ231" s="44">
        <f t="shared" si="3470"/>
        <v>1024639</v>
      </c>
      <c r="CK231" s="44">
        <f t="shared" si="3470"/>
        <v>1024639</v>
      </c>
      <c r="CL231" s="44">
        <f>ROUND(CK231*(1+取值表!$D$12)*取值表!$H$12,0)</f>
        <v>1119605</v>
      </c>
      <c r="CM231" s="44">
        <f t="shared" ref="CM231:CO231" si="3471">CL231</f>
        <v>1119605</v>
      </c>
      <c r="CN231" s="44">
        <f t="shared" si="3471"/>
        <v>1119605</v>
      </c>
      <c r="CO231" s="44">
        <f t="shared" si="3471"/>
        <v>1119605</v>
      </c>
      <c r="CP231" s="44">
        <f>ROUND(CO231*(1+取值表!$D$12)*取值表!$H$12,0)</f>
        <v>1223373</v>
      </c>
      <c r="CQ231" s="44">
        <f t="shared" ref="CQ231" si="3472">CP231</f>
        <v>1223373</v>
      </c>
      <c r="CR231" s="44">
        <f t="shared" ref="CR231" si="3473">CQ231</f>
        <v>1223373</v>
      </c>
      <c r="CS231" s="44">
        <f t="shared" ref="CS231" si="3474">CR231</f>
        <v>1223373</v>
      </c>
      <c r="CT231" s="44">
        <f>ROUND(CS231*(1+取值表!$D$12)*取值表!$H$12,0)</f>
        <v>1336759</v>
      </c>
      <c r="CU231" s="44">
        <f t="shared" ref="CU231" si="3475">CT231</f>
        <v>1336759</v>
      </c>
      <c r="CV231" s="44">
        <f t="shared" ref="CV231" si="3476">CU231</f>
        <v>1336759</v>
      </c>
      <c r="CW231" s="44">
        <f t="shared" ref="CW231" si="3477">CV231</f>
        <v>1336759</v>
      </c>
      <c r="CX231" s="44">
        <f>ROUND(CW231*(1+取值表!$D$12)*取值表!$H$12,0)</f>
        <v>1460654</v>
      </c>
      <c r="CY231" s="44">
        <f t="shared" ref="CY231" si="3478">CX231</f>
        <v>1460654</v>
      </c>
      <c r="CZ231" s="44">
        <f t="shared" ref="CZ231" si="3479">CY231</f>
        <v>1460654</v>
      </c>
      <c r="DA231" s="44">
        <f t="shared" ref="DA231" si="3480">CZ231</f>
        <v>1460654</v>
      </c>
      <c r="DB231" s="44">
        <f>ROUND(DA231*(1+取值表!$D$12)*取值表!$H$12,0)</f>
        <v>1596031</v>
      </c>
      <c r="DC231" s="44">
        <f t="shared" ref="DC231" si="3481">DB231</f>
        <v>1596031</v>
      </c>
      <c r="DD231" s="44">
        <f t="shared" ref="DD231" si="3482">DC231</f>
        <v>1596031</v>
      </c>
      <c r="DE231" s="44">
        <f t="shared" ref="DE231" si="3483">DD231</f>
        <v>1596031</v>
      </c>
      <c r="DF231" s="45">
        <f t="shared" si="2934"/>
        <v>67057472</v>
      </c>
    </row>
    <row r="232" spans="1:111" s="40" customFormat="1" ht="12">
      <c r="A232" s="517"/>
      <c r="B232" s="518"/>
      <c r="C232" s="450"/>
      <c r="D232" s="451"/>
      <c r="E232" s="452"/>
      <c r="F232" s="446"/>
      <c r="G232" s="446"/>
      <c r="H232" s="447"/>
      <c r="I232" s="41"/>
      <c r="J232" s="42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  <c r="AA232" s="44"/>
      <c r="AB232" s="44"/>
      <c r="AC232" s="44"/>
      <c r="AD232" s="44"/>
      <c r="AE232" s="44"/>
      <c r="AF232" s="44"/>
      <c r="AG232" s="44"/>
      <c r="AH232" s="44"/>
      <c r="AI232" s="44"/>
      <c r="AJ232" s="44"/>
      <c r="AK232" s="44"/>
      <c r="AL232" s="44"/>
      <c r="AM232" s="44"/>
      <c r="AN232" s="44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4"/>
      <c r="BM232" s="44"/>
      <c r="BN232" s="44"/>
      <c r="BO232" s="44"/>
      <c r="BP232" s="44"/>
      <c r="BQ232" s="44"/>
      <c r="BR232" s="44"/>
      <c r="BS232" s="44"/>
      <c r="BT232" s="44"/>
      <c r="BU232" s="44"/>
      <c r="BV232" s="44"/>
      <c r="BW232" s="44"/>
      <c r="BX232" s="44"/>
      <c r="BY232" s="44"/>
      <c r="BZ232" s="44"/>
      <c r="CA232" s="44"/>
      <c r="CB232" s="44"/>
      <c r="CC232" s="44"/>
      <c r="CD232" s="44"/>
      <c r="CE232" s="44"/>
      <c r="CF232" s="44"/>
      <c r="CG232" s="44"/>
      <c r="CH232" s="44"/>
      <c r="CI232" s="44"/>
      <c r="CJ232" s="44"/>
      <c r="CK232" s="44"/>
      <c r="CL232" s="44"/>
      <c r="CM232" s="44"/>
      <c r="CN232" s="44"/>
      <c r="CO232" s="44"/>
      <c r="CP232" s="44"/>
      <c r="CQ232" s="44"/>
      <c r="CR232" s="44"/>
      <c r="CS232" s="44"/>
      <c r="CT232" s="44"/>
      <c r="CU232" s="44"/>
      <c r="CV232" s="44"/>
      <c r="CW232" s="44"/>
      <c r="CX232" s="44"/>
      <c r="CY232" s="44"/>
      <c r="CZ232" s="44"/>
      <c r="DA232" s="44"/>
      <c r="DB232" s="44"/>
      <c r="DC232" s="44"/>
      <c r="DD232" s="44"/>
      <c r="DE232" s="44"/>
      <c r="DF232" s="45">
        <f t="shared" si="2934"/>
        <v>0</v>
      </c>
    </row>
    <row r="233" spans="1:111" s="40" customFormat="1" ht="12" customHeight="1">
      <c r="A233" s="516">
        <v>117</v>
      </c>
      <c r="B233" s="518" t="s">
        <v>232</v>
      </c>
      <c r="C233" s="450" t="s">
        <v>233</v>
      </c>
      <c r="D233" s="451" t="s">
        <v>502</v>
      </c>
      <c r="E233" s="452" t="s">
        <v>490</v>
      </c>
      <c r="F233" s="446">
        <v>59.25</v>
      </c>
      <c r="G233" s="446">
        <f>AVERAGE(18.5)</f>
        <v>18.5</v>
      </c>
      <c r="H233" s="447">
        <f>F233*G233*365</f>
        <v>400085.625</v>
      </c>
      <c r="I233" s="41">
        <v>94614.84</v>
      </c>
      <c r="J233" s="42">
        <f>ROUND(G233*F233*365/4,0)</f>
        <v>100021</v>
      </c>
      <c r="K233" s="245">
        <f>J233</f>
        <v>100021</v>
      </c>
      <c r="L233" s="246">
        <f>K233</f>
        <v>100021</v>
      </c>
      <c r="M233" s="245">
        <f>L233</f>
        <v>100021</v>
      </c>
      <c r="N233" s="44">
        <f>ROUND(M233*(1+取值表!$D$12)*取值表!$H$12,0)</f>
        <v>109291</v>
      </c>
      <c r="O233" s="245">
        <f>N233</f>
        <v>109291</v>
      </c>
      <c r="P233" s="245">
        <f>O233</f>
        <v>109291</v>
      </c>
      <c r="Q233" s="245">
        <f>P233</f>
        <v>109291</v>
      </c>
      <c r="R233" s="44">
        <f>ROUND(Q233*(1+取值表!$D$12)*取值表!$H$12,0)</f>
        <v>119420</v>
      </c>
      <c r="S233" s="245">
        <f t="shared" ref="S233:U233" si="3484">R233</f>
        <v>119420</v>
      </c>
      <c r="T233" s="245">
        <f t="shared" si="3484"/>
        <v>119420</v>
      </c>
      <c r="U233" s="245">
        <f t="shared" si="3484"/>
        <v>119420</v>
      </c>
      <c r="V233" s="44">
        <f>ROUND(U233*(1+取值表!$D$12)*取值表!$H$12,0)</f>
        <v>130488</v>
      </c>
      <c r="W233" s="245">
        <f t="shared" ref="W233:Y233" si="3485">V233</f>
        <v>130488</v>
      </c>
      <c r="X233" s="245">
        <f t="shared" si="3485"/>
        <v>130488</v>
      </c>
      <c r="Y233" s="245">
        <f t="shared" si="3485"/>
        <v>130488</v>
      </c>
      <c r="Z233" s="44">
        <f>ROUND(Y233*(1+取值表!$D$12)*取值表!$H$12,0)</f>
        <v>142582</v>
      </c>
      <c r="AA233" s="245">
        <f t="shared" ref="AA233:AC233" si="3486">Z233</f>
        <v>142582</v>
      </c>
      <c r="AB233" s="245">
        <f t="shared" si="3486"/>
        <v>142582</v>
      </c>
      <c r="AC233" s="245">
        <f t="shared" si="3486"/>
        <v>142582</v>
      </c>
      <c r="AD233" s="44">
        <f>ROUND(AC233*(1+取值表!$D$12)*取值表!$H$12,0)</f>
        <v>155797</v>
      </c>
      <c r="AE233" s="245">
        <f t="shared" ref="AE233:AG233" si="3487">AD233</f>
        <v>155797</v>
      </c>
      <c r="AF233" s="245">
        <f t="shared" si="3487"/>
        <v>155797</v>
      </c>
      <c r="AG233" s="245">
        <f t="shared" si="3487"/>
        <v>155797</v>
      </c>
      <c r="AH233" s="44">
        <f>ROUND(AG233*(1+取值表!$D$12)*取值表!$H$12,0)</f>
        <v>170237</v>
      </c>
      <c r="AI233" s="245">
        <f t="shared" ref="AI233:AK233" si="3488">AH233</f>
        <v>170237</v>
      </c>
      <c r="AJ233" s="245">
        <f t="shared" si="3488"/>
        <v>170237</v>
      </c>
      <c r="AK233" s="245">
        <f t="shared" si="3488"/>
        <v>170237</v>
      </c>
      <c r="AL233" s="44">
        <f>ROUND(AK233*(1+取值表!$D$12)*取值表!$H$12,0)</f>
        <v>186015</v>
      </c>
      <c r="AM233" s="245">
        <f t="shared" ref="AM233:AO233" si="3489">AL233</f>
        <v>186015</v>
      </c>
      <c r="AN233" s="245">
        <f t="shared" si="3489"/>
        <v>186015</v>
      </c>
      <c r="AO233" s="245">
        <f t="shared" si="3489"/>
        <v>186015</v>
      </c>
      <c r="AP233" s="44">
        <f>ROUND(AO233*(1+取值表!$D$12)*取值表!$H$12,0)</f>
        <v>203255</v>
      </c>
      <c r="AQ233" s="245">
        <f t="shared" ref="AQ233:AS233" si="3490">AP233</f>
        <v>203255</v>
      </c>
      <c r="AR233" s="245">
        <f t="shared" si="3490"/>
        <v>203255</v>
      </c>
      <c r="AS233" s="245">
        <f t="shared" si="3490"/>
        <v>203255</v>
      </c>
      <c r="AT233" s="44">
        <f>ROUND(AS233*(1+取值表!$D$12)*取值表!$H$12,0)</f>
        <v>222093</v>
      </c>
      <c r="AU233" s="245">
        <f t="shared" ref="AU233:AW233" si="3491">AT233</f>
        <v>222093</v>
      </c>
      <c r="AV233" s="245">
        <f t="shared" si="3491"/>
        <v>222093</v>
      </c>
      <c r="AW233" s="245">
        <f t="shared" si="3491"/>
        <v>222093</v>
      </c>
      <c r="AX233" s="44">
        <f>ROUND(AW233*(1+取值表!$D$12)*取值表!$H$12,0)</f>
        <v>242677</v>
      </c>
      <c r="AY233" s="245">
        <f t="shared" ref="AY233:BA233" si="3492">AX233</f>
        <v>242677</v>
      </c>
      <c r="AZ233" s="245">
        <f t="shared" si="3492"/>
        <v>242677</v>
      </c>
      <c r="BA233" s="245">
        <f t="shared" si="3492"/>
        <v>242677</v>
      </c>
      <c r="BB233" s="44">
        <f>ROUND(BA233*(1+取值表!$D$12)*取值表!$H$12,0)</f>
        <v>265169</v>
      </c>
      <c r="BC233" s="245">
        <f t="shared" ref="BC233:BE233" si="3493">BB233</f>
        <v>265169</v>
      </c>
      <c r="BD233" s="245">
        <f t="shared" si="3493"/>
        <v>265169</v>
      </c>
      <c r="BE233" s="245">
        <f t="shared" si="3493"/>
        <v>265169</v>
      </c>
      <c r="BF233" s="44">
        <f>ROUND(BE233*(1+取值表!$D$12)*取值表!$H$12,0)</f>
        <v>289746</v>
      </c>
      <c r="BG233" s="245">
        <f t="shared" ref="BG233:BI233" si="3494">BF233</f>
        <v>289746</v>
      </c>
      <c r="BH233" s="245">
        <f t="shared" si="3494"/>
        <v>289746</v>
      </c>
      <c r="BI233" s="245">
        <f t="shared" si="3494"/>
        <v>289746</v>
      </c>
      <c r="BJ233" s="44">
        <f>ROUND(BI233*(1+取值表!$D$12)*取值表!$H$12,0)</f>
        <v>316600</v>
      </c>
      <c r="BK233" s="245">
        <f t="shared" ref="BK233:BM233" si="3495">BJ233</f>
        <v>316600</v>
      </c>
      <c r="BL233" s="245">
        <f t="shared" si="3495"/>
        <v>316600</v>
      </c>
      <c r="BM233" s="245">
        <f t="shared" si="3495"/>
        <v>316600</v>
      </c>
      <c r="BN233" s="44">
        <f>ROUND(BM233*(1+取值表!$D$12)*取值表!$H$12,0)</f>
        <v>345943</v>
      </c>
      <c r="BO233" s="245">
        <f t="shared" ref="BO233:BQ233" si="3496">BN233</f>
        <v>345943</v>
      </c>
      <c r="BP233" s="245">
        <f t="shared" si="3496"/>
        <v>345943</v>
      </c>
      <c r="BQ233" s="245">
        <f t="shared" si="3496"/>
        <v>345943</v>
      </c>
      <c r="BR233" s="44">
        <f>ROUND(BQ233*(1+取值表!$D$12)*取值表!$H$12,0)</f>
        <v>378006</v>
      </c>
      <c r="BS233" s="245">
        <f t="shared" ref="BS233:BU233" si="3497">BR233</f>
        <v>378006</v>
      </c>
      <c r="BT233" s="245">
        <f t="shared" si="3497"/>
        <v>378006</v>
      </c>
      <c r="BU233" s="245">
        <f t="shared" si="3497"/>
        <v>378006</v>
      </c>
      <c r="BV233" s="44">
        <f>ROUND(BU233*(1+取值表!$D$12)*取值表!$H$12,0)</f>
        <v>413041</v>
      </c>
      <c r="BW233" s="245">
        <f t="shared" ref="BW233:BY233" si="3498">BV233</f>
        <v>413041</v>
      </c>
      <c r="BX233" s="245">
        <f t="shared" si="3498"/>
        <v>413041</v>
      </c>
      <c r="BY233" s="245">
        <f t="shared" si="3498"/>
        <v>413041</v>
      </c>
      <c r="BZ233" s="44">
        <f>ROUND(BY233*(1+取值表!$D$12)*取值表!$H$12,0)</f>
        <v>451323</v>
      </c>
      <c r="CA233" s="245">
        <f t="shared" ref="CA233:CC233" si="3499">BZ233</f>
        <v>451323</v>
      </c>
      <c r="CB233" s="245">
        <f t="shared" si="3499"/>
        <v>451323</v>
      </c>
      <c r="CC233" s="245">
        <f t="shared" si="3499"/>
        <v>451323</v>
      </c>
      <c r="CD233" s="44">
        <f>ROUND(CC233*(1+取值表!$D$12)*取值表!$H$12,0)</f>
        <v>493153</v>
      </c>
      <c r="CE233" s="245">
        <f t="shared" ref="CE233:CG233" si="3500">CD233</f>
        <v>493153</v>
      </c>
      <c r="CF233" s="245">
        <f t="shared" si="3500"/>
        <v>493153</v>
      </c>
      <c r="CG233" s="245">
        <f t="shared" si="3500"/>
        <v>493153</v>
      </c>
      <c r="CH233" s="44">
        <f>ROUND(CG233*(1+取值表!$D$12)*取值表!$H$12,0)</f>
        <v>538860</v>
      </c>
      <c r="CI233" s="245">
        <f t="shared" ref="CI233:CK233" si="3501">CH233</f>
        <v>538860</v>
      </c>
      <c r="CJ233" s="245">
        <f t="shared" si="3501"/>
        <v>538860</v>
      </c>
      <c r="CK233" s="245">
        <f t="shared" si="3501"/>
        <v>538860</v>
      </c>
      <c r="CL233" s="44">
        <f>ROUND(CK233*(1+取值表!$D$12)*取值表!$H$12,0)</f>
        <v>588803</v>
      </c>
      <c r="CM233" s="245">
        <f t="shared" ref="CM233:CO233" si="3502">CL233</f>
        <v>588803</v>
      </c>
      <c r="CN233" s="245">
        <f t="shared" si="3502"/>
        <v>588803</v>
      </c>
      <c r="CO233" s="245">
        <f t="shared" si="3502"/>
        <v>588803</v>
      </c>
      <c r="CP233" s="44">
        <f>ROUND(CO233*(1+取值表!$D$12)*取值表!$H$12,0)</f>
        <v>643375</v>
      </c>
      <c r="CQ233" s="245">
        <f t="shared" ref="CQ233" si="3503">CP233</f>
        <v>643375</v>
      </c>
      <c r="CR233" s="245">
        <f t="shared" ref="CR233" si="3504">CQ233</f>
        <v>643375</v>
      </c>
      <c r="CS233" s="245">
        <f t="shared" ref="CS233" si="3505">CR233</f>
        <v>643375</v>
      </c>
      <c r="CT233" s="44">
        <f>ROUND(CS233*(1+取值表!$D$12)*取值表!$H$12,0)</f>
        <v>703005</v>
      </c>
      <c r="CU233" s="245">
        <f t="shared" ref="CU233" si="3506">CT233</f>
        <v>703005</v>
      </c>
      <c r="CV233" s="245">
        <f t="shared" ref="CV233" si="3507">CU233</f>
        <v>703005</v>
      </c>
      <c r="CW233" s="245">
        <f t="shared" ref="CW233" si="3508">CV233</f>
        <v>703005</v>
      </c>
      <c r="CX233" s="44">
        <f>ROUND(CW233*(1+取值表!$D$12)*取值表!$H$12,0)</f>
        <v>768161</v>
      </c>
      <c r="CY233" s="245">
        <f t="shared" ref="CY233" si="3509">CX233</f>
        <v>768161</v>
      </c>
      <c r="CZ233" s="245">
        <f t="shared" ref="CZ233" si="3510">CY233</f>
        <v>768161</v>
      </c>
      <c r="DA233" s="245">
        <f t="shared" ref="DA233" si="3511">CZ233</f>
        <v>768161</v>
      </c>
      <c r="DB233" s="44">
        <f>ROUND(DA233*(1+取值表!$D$12)*取值表!$H$12,0)</f>
        <v>839356</v>
      </c>
      <c r="DC233" s="245">
        <f t="shared" ref="DC233" si="3512">DB233</f>
        <v>839356</v>
      </c>
      <c r="DD233" s="245">
        <f t="shared" ref="DD233" si="3513">DC233</f>
        <v>839356</v>
      </c>
      <c r="DE233" s="245">
        <f t="shared" ref="DE233" si="3514">DD233</f>
        <v>839356</v>
      </c>
      <c r="DF233" s="45">
        <f t="shared" si="2934"/>
        <v>35265668</v>
      </c>
    </row>
    <row r="234" spans="1:111" s="40" customFormat="1" ht="12">
      <c r="A234" s="517"/>
      <c r="B234" s="518"/>
      <c r="C234" s="450"/>
      <c r="D234" s="451"/>
      <c r="E234" s="452"/>
      <c r="F234" s="446"/>
      <c r="G234" s="446"/>
      <c r="H234" s="447"/>
      <c r="I234" s="41"/>
      <c r="J234" s="42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  <c r="AA234" s="44"/>
      <c r="AB234" s="44"/>
      <c r="AC234" s="44"/>
      <c r="AD234" s="44"/>
      <c r="AE234" s="44"/>
      <c r="AF234" s="44"/>
      <c r="AG234" s="44"/>
      <c r="AH234" s="44"/>
      <c r="AI234" s="44"/>
      <c r="AJ234" s="44"/>
      <c r="AK234" s="44"/>
      <c r="AL234" s="44"/>
      <c r="AM234" s="44"/>
      <c r="AN234" s="44"/>
      <c r="AO234" s="44"/>
      <c r="AP234" s="44"/>
      <c r="AQ234" s="44"/>
      <c r="AR234" s="44"/>
      <c r="AS234" s="44"/>
      <c r="AT234" s="44"/>
      <c r="AU234" s="44"/>
      <c r="AV234" s="44"/>
      <c r="AW234" s="44"/>
      <c r="AX234" s="44"/>
      <c r="AY234" s="44"/>
      <c r="AZ234" s="44"/>
      <c r="BA234" s="44"/>
      <c r="BB234" s="44"/>
      <c r="BC234" s="44"/>
      <c r="BD234" s="44"/>
      <c r="BE234" s="44"/>
      <c r="BF234" s="44"/>
      <c r="BG234" s="44"/>
      <c r="BH234" s="44"/>
      <c r="BI234" s="44"/>
      <c r="BJ234" s="44"/>
      <c r="BK234" s="44"/>
      <c r="BL234" s="44"/>
      <c r="BM234" s="44"/>
      <c r="BN234" s="44"/>
      <c r="BO234" s="44"/>
      <c r="BP234" s="44"/>
      <c r="BQ234" s="44"/>
      <c r="BR234" s="44"/>
      <c r="BS234" s="44"/>
      <c r="BT234" s="44"/>
      <c r="BU234" s="44"/>
      <c r="BV234" s="44"/>
      <c r="BW234" s="44"/>
      <c r="BX234" s="44"/>
      <c r="BY234" s="44"/>
      <c r="BZ234" s="44"/>
      <c r="CA234" s="44"/>
      <c r="CB234" s="44"/>
      <c r="CC234" s="44"/>
      <c r="CD234" s="44"/>
      <c r="CE234" s="44"/>
      <c r="CF234" s="44"/>
      <c r="CG234" s="44"/>
      <c r="CH234" s="44"/>
      <c r="CI234" s="44"/>
      <c r="CJ234" s="44"/>
      <c r="CK234" s="44"/>
      <c r="CL234" s="44"/>
      <c r="CM234" s="44"/>
      <c r="CN234" s="44"/>
      <c r="CO234" s="44"/>
      <c r="CP234" s="44"/>
      <c r="CQ234" s="44"/>
      <c r="CR234" s="44"/>
      <c r="CS234" s="44"/>
      <c r="CT234" s="44"/>
      <c r="CU234" s="44"/>
      <c r="CV234" s="44"/>
      <c r="CW234" s="44"/>
      <c r="CX234" s="44"/>
      <c r="CY234" s="44"/>
      <c r="CZ234" s="44"/>
      <c r="DA234" s="44"/>
      <c r="DB234" s="44"/>
      <c r="DC234" s="44"/>
      <c r="DD234" s="44"/>
      <c r="DE234" s="44"/>
      <c r="DF234" s="45">
        <f t="shared" si="2934"/>
        <v>0</v>
      </c>
    </row>
    <row r="235" spans="1:111" s="234" customFormat="1" ht="12" customHeight="1">
      <c r="A235" s="516">
        <v>118</v>
      </c>
      <c r="B235" s="518" t="s">
        <v>234</v>
      </c>
      <c r="C235" s="450" t="s">
        <v>31</v>
      </c>
      <c r="D235" s="451" t="s">
        <v>32</v>
      </c>
      <c r="E235" s="452" t="s">
        <v>490</v>
      </c>
      <c r="F235" s="446">
        <v>60.68</v>
      </c>
      <c r="G235" s="446">
        <f>AVERAGE(18.5)</f>
        <v>18.5</v>
      </c>
      <c r="H235" s="447">
        <f>F235*G235*365</f>
        <v>409741.69999999995</v>
      </c>
      <c r="I235" s="41">
        <v>99666.9</v>
      </c>
      <c r="J235" s="42">
        <f>ROUND(G235*F235*365/4,0)</f>
        <v>102435</v>
      </c>
      <c r="K235" s="43">
        <f>J235</f>
        <v>102435</v>
      </c>
      <c r="L235" s="44">
        <f>K235</f>
        <v>102435</v>
      </c>
      <c r="M235" s="44">
        <f>L235</f>
        <v>102435</v>
      </c>
      <c r="N235" s="44">
        <f>ROUND(M235*(1+取值表!$D$12)*取值表!$H$12,0)</f>
        <v>111929</v>
      </c>
      <c r="O235" s="44">
        <f>N235</f>
        <v>111929</v>
      </c>
      <c r="P235" s="44">
        <f>O235</f>
        <v>111929</v>
      </c>
      <c r="Q235" s="44">
        <f>P235</f>
        <v>111929</v>
      </c>
      <c r="R235" s="44">
        <f>ROUND(Q235*(1+取值表!$D$12)*取值表!$H$12,0)</f>
        <v>122303</v>
      </c>
      <c r="S235" s="44">
        <f t="shared" ref="S235:U235" si="3515">R235</f>
        <v>122303</v>
      </c>
      <c r="T235" s="44">
        <f t="shared" si="3515"/>
        <v>122303</v>
      </c>
      <c r="U235" s="44">
        <f t="shared" si="3515"/>
        <v>122303</v>
      </c>
      <c r="V235" s="44">
        <f>ROUND(U235*(1+取值表!$D$12)*取值表!$H$12,0)</f>
        <v>133638</v>
      </c>
      <c r="W235" s="44">
        <f t="shared" ref="W235:Y235" si="3516">V235</f>
        <v>133638</v>
      </c>
      <c r="X235" s="44">
        <f t="shared" si="3516"/>
        <v>133638</v>
      </c>
      <c r="Y235" s="44">
        <f t="shared" si="3516"/>
        <v>133638</v>
      </c>
      <c r="Z235" s="44">
        <f>ROUND(Y235*(1+取值表!$D$12)*取值表!$H$12,0)</f>
        <v>146024</v>
      </c>
      <c r="AA235" s="44">
        <f t="shared" ref="AA235:AC235" si="3517">Z235</f>
        <v>146024</v>
      </c>
      <c r="AB235" s="44">
        <f t="shared" si="3517"/>
        <v>146024</v>
      </c>
      <c r="AC235" s="44">
        <f t="shared" si="3517"/>
        <v>146024</v>
      </c>
      <c r="AD235" s="44">
        <f>ROUND(AC235*(1+取值表!$D$12)*取值表!$H$12,0)</f>
        <v>159558</v>
      </c>
      <c r="AE235" s="44">
        <f t="shared" ref="AE235:AG235" si="3518">AD235</f>
        <v>159558</v>
      </c>
      <c r="AF235" s="44">
        <f t="shared" si="3518"/>
        <v>159558</v>
      </c>
      <c r="AG235" s="44">
        <f t="shared" si="3518"/>
        <v>159558</v>
      </c>
      <c r="AH235" s="44">
        <f>ROUND(AG235*(1+取值表!$D$12)*取值表!$H$12,0)</f>
        <v>174346</v>
      </c>
      <c r="AI235" s="44">
        <f t="shared" ref="AI235:AK235" si="3519">AH235</f>
        <v>174346</v>
      </c>
      <c r="AJ235" s="44">
        <f t="shared" si="3519"/>
        <v>174346</v>
      </c>
      <c r="AK235" s="44">
        <f t="shared" si="3519"/>
        <v>174346</v>
      </c>
      <c r="AL235" s="44">
        <f>ROUND(AK235*(1+取值表!$D$12)*取值表!$H$12,0)</f>
        <v>190505</v>
      </c>
      <c r="AM235" s="44">
        <f t="shared" ref="AM235:AO235" si="3520">AL235</f>
        <v>190505</v>
      </c>
      <c r="AN235" s="44">
        <f t="shared" si="3520"/>
        <v>190505</v>
      </c>
      <c r="AO235" s="44">
        <f t="shared" si="3520"/>
        <v>190505</v>
      </c>
      <c r="AP235" s="44">
        <f>ROUND(AO235*(1+取值表!$D$12)*取值表!$H$12,0)</f>
        <v>208162</v>
      </c>
      <c r="AQ235" s="44">
        <f t="shared" ref="AQ235:AS235" si="3521">AP235</f>
        <v>208162</v>
      </c>
      <c r="AR235" s="44">
        <f t="shared" si="3521"/>
        <v>208162</v>
      </c>
      <c r="AS235" s="44">
        <f t="shared" si="3521"/>
        <v>208162</v>
      </c>
      <c r="AT235" s="44">
        <f>ROUND(AS235*(1+取值表!$D$12)*取值表!$H$12,0)</f>
        <v>227455</v>
      </c>
      <c r="AU235" s="44">
        <f t="shared" ref="AU235:AW235" si="3522">AT235</f>
        <v>227455</v>
      </c>
      <c r="AV235" s="44">
        <f t="shared" si="3522"/>
        <v>227455</v>
      </c>
      <c r="AW235" s="44">
        <f t="shared" si="3522"/>
        <v>227455</v>
      </c>
      <c r="AX235" s="44">
        <f>ROUND(AW235*(1+取值表!$D$12)*取值表!$H$12,0)</f>
        <v>248536</v>
      </c>
      <c r="AY235" s="44">
        <f t="shared" ref="AY235:BA235" si="3523">AX235</f>
        <v>248536</v>
      </c>
      <c r="AZ235" s="44">
        <f t="shared" si="3523"/>
        <v>248536</v>
      </c>
      <c r="BA235" s="44">
        <f t="shared" si="3523"/>
        <v>248536</v>
      </c>
      <c r="BB235" s="44">
        <f>ROUND(BA235*(1+取值表!$D$12)*取值表!$H$12,0)</f>
        <v>271571</v>
      </c>
      <c r="BC235" s="44">
        <f t="shared" ref="BC235:BE235" si="3524">BB235</f>
        <v>271571</v>
      </c>
      <c r="BD235" s="44">
        <f t="shared" si="3524"/>
        <v>271571</v>
      </c>
      <c r="BE235" s="44">
        <f t="shared" si="3524"/>
        <v>271571</v>
      </c>
      <c r="BF235" s="44">
        <f>ROUND(BE235*(1+取值表!$D$12)*取值表!$H$12,0)</f>
        <v>296741</v>
      </c>
      <c r="BG235" s="44">
        <f t="shared" ref="BG235:BI235" si="3525">BF235</f>
        <v>296741</v>
      </c>
      <c r="BH235" s="44">
        <f t="shared" si="3525"/>
        <v>296741</v>
      </c>
      <c r="BI235" s="44">
        <f t="shared" si="3525"/>
        <v>296741</v>
      </c>
      <c r="BJ235" s="44">
        <f>ROUND(BI235*(1+取值表!$D$12)*取值表!$H$12,0)</f>
        <v>324244</v>
      </c>
      <c r="BK235" s="44">
        <f t="shared" ref="BK235:BM235" si="3526">BJ235</f>
        <v>324244</v>
      </c>
      <c r="BL235" s="44">
        <f t="shared" si="3526"/>
        <v>324244</v>
      </c>
      <c r="BM235" s="44">
        <f t="shared" si="3526"/>
        <v>324244</v>
      </c>
      <c r="BN235" s="44">
        <f>ROUND(BM235*(1+取值表!$D$12)*取值表!$H$12,0)</f>
        <v>354296</v>
      </c>
      <c r="BO235" s="44">
        <f t="shared" ref="BO235:BQ235" si="3527">BN235</f>
        <v>354296</v>
      </c>
      <c r="BP235" s="44">
        <f t="shared" si="3527"/>
        <v>354296</v>
      </c>
      <c r="BQ235" s="44">
        <f t="shared" si="3527"/>
        <v>354296</v>
      </c>
      <c r="BR235" s="44">
        <f>ROUND(BQ235*(1+取值表!$D$12)*取值表!$H$12,0)</f>
        <v>387133</v>
      </c>
      <c r="BS235" s="44">
        <f t="shared" ref="BS235:BU235" si="3528">BR235</f>
        <v>387133</v>
      </c>
      <c r="BT235" s="44">
        <f t="shared" si="3528"/>
        <v>387133</v>
      </c>
      <c r="BU235" s="44">
        <f t="shared" si="3528"/>
        <v>387133</v>
      </c>
      <c r="BV235" s="44">
        <f>ROUND(BU235*(1+取值表!$D$12)*取值表!$H$12,0)</f>
        <v>423014</v>
      </c>
      <c r="BW235" s="44">
        <f t="shared" ref="BW235:BY235" si="3529">BV235</f>
        <v>423014</v>
      </c>
      <c r="BX235" s="44">
        <f t="shared" si="3529"/>
        <v>423014</v>
      </c>
      <c r="BY235" s="44">
        <f t="shared" si="3529"/>
        <v>423014</v>
      </c>
      <c r="BZ235" s="44">
        <f>ROUND(BY235*(1+取值表!$D$12)*取值表!$H$12,0)</f>
        <v>462220</v>
      </c>
      <c r="CA235" s="44">
        <f t="shared" ref="CA235:CC235" si="3530">BZ235</f>
        <v>462220</v>
      </c>
      <c r="CB235" s="44">
        <f t="shared" si="3530"/>
        <v>462220</v>
      </c>
      <c r="CC235" s="44">
        <f t="shared" si="3530"/>
        <v>462220</v>
      </c>
      <c r="CD235" s="44">
        <f>ROUND(CC235*(1+取值表!$D$12)*取值表!$H$12,0)</f>
        <v>505060</v>
      </c>
      <c r="CE235" s="44">
        <f t="shared" ref="CE235:CG235" si="3531">CD235</f>
        <v>505060</v>
      </c>
      <c r="CF235" s="44">
        <f t="shared" si="3531"/>
        <v>505060</v>
      </c>
      <c r="CG235" s="44">
        <f t="shared" si="3531"/>
        <v>505060</v>
      </c>
      <c r="CH235" s="44">
        <f>ROUND(CG235*(1+取值表!$D$12)*取值表!$H$12,0)</f>
        <v>551870</v>
      </c>
      <c r="CI235" s="44">
        <f t="shared" ref="CI235:CK235" si="3532">CH235</f>
        <v>551870</v>
      </c>
      <c r="CJ235" s="44">
        <f t="shared" si="3532"/>
        <v>551870</v>
      </c>
      <c r="CK235" s="44">
        <f t="shared" si="3532"/>
        <v>551870</v>
      </c>
      <c r="CL235" s="44">
        <f>ROUND(CK235*(1+取值表!$D$12)*取值表!$H$12,0)</f>
        <v>603019</v>
      </c>
      <c r="CM235" s="44">
        <f t="shared" ref="CM235:CO235" si="3533">CL235</f>
        <v>603019</v>
      </c>
      <c r="CN235" s="44">
        <f t="shared" si="3533"/>
        <v>603019</v>
      </c>
      <c r="CO235" s="44">
        <f t="shared" si="3533"/>
        <v>603019</v>
      </c>
      <c r="CP235" s="44">
        <f>ROUND(CO235*(1+取值表!$D$12)*取值表!$H$12,0)</f>
        <v>658908</v>
      </c>
      <c r="CQ235" s="44">
        <f t="shared" ref="CQ235" si="3534">CP235</f>
        <v>658908</v>
      </c>
      <c r="CR235" s="44">
        <f t="shared" ref="CR235" si="3535">CQ235</f>
        <v>658908</v>
      </c>
      <c r="CS235" s="44">
        <f t="shared" ref="CS235" si="3536">CR235</f>
        <v>658908</v>
      </c>
      <c r="CT235" s="44">
        <f>ROUND(CS235*(1+取值表!$D$12)*取值表!$H$12,0)</f>
        <v>719977</v>
      </c>
      <c r="CU235" s="44">
        <f t="shared" ref="CU235" si="3537">CT235</f>
        <v>719977</v>
      </c>
      <c r="CV235" s="44">
        <f t="shared" ref="CV235" si="3538">CU235</f>
        <v>719977</v>
      </c>
      <c r="CW235" s="44">
        <f t="shared" ref="CW235" si="3539">CV235</f>
        <v>719977</v>
      </c>
      <c r="CX235" s="44">
        <f>ROUND(CW235*(1+取值表!$D$12)*取值表!$H$12,0)</f>
        <v>786706</v>
      </c>
      <c r="CY235" s="44">
        <f t="shared" ref="CY235" si="3540">CX235</f>
        <v>786706</v>
      </c>
      <c r="CZ235" s="44">
        <f t="shared" ref="CZ235" si="3541">CY235</f>
        <v>786706</v>
      </c>
      <c r="DA235" s="44">
        <f t="shared" ref="DA235" si="3542">CZ235</f>
        <v>786706</v>
      </c>
      <c r="DB235" s="44">
        <f>ROUND(DA235*(1+取值表!$D$12)*取值表!$H$12,0)</f>
        <v>859620</v>
      </c>
      <c r="DC235" s="44">
        <f t="shared" ref="DC235" si="3543">DB235</f>
        <v>859620</v>
      </c>
      <c r="DD235" s="44">
        <f t="shared" ref="DD235" si="3544">DC235</f>
        <v>859620</v>
      </c>
      <c r="DE235" s="44">
        <f t="shared" ref="DE235" si="3545">DD235</f>
        <v>859620</v>
      </c>
      <c r="DF235" s="45">
        <f t="shared" si="2934"/>
        <v>36117080</v>
      </c>
      <c r="DG235" s="40"/>
    </row>
    <row r="236" spans="1:111" s="234" customFormat="1" ht="12">
      <c r="A236" s="517"/>
      <c r="B236" s="518"/>
      <c r="C236" s="450"/>
      <c r="D236" s="451"/>
      <c r="E236" s="452"/>
      <c r="F236" s="446"/>
      <c r="G236" s="446"/>
      <c r="H236" s="447"/>
      <c r="I236" s="41"/>
      <c r="J236" s="42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  <c r="AA236" s="44"/>
      <c r="AB236" s="44"/>
      <c r="AC236" s="44"/>
      <c r="AD236" s="44"/>
      <c r="AE236" s="44"/>
      <c r="AF236" s="44"/>
      <c r="AG236" s="44"/>
      <c r="AH236" s="44"/>
      <c r="AI236" s="44"/>
      <c r="AJ236" s="44"/>
      <c r="AK236" s="44"/>
      <c r="AL236" s="44"/>
      <c r="AM236" s="44"/>
      <c r="AN236" s="44"/>
      <c r="AO236" s="44"/>
      <c r="AP236" s="44"/>
      <c r="AQ236" s="44"/>
      <c r="AR236" s="44"/>
      <c r="AS236" s="44"/>
      <c r="AT236" s="44"/>
      <c r="AU236" s="44"/>
      <c r="AV236" s="44"/>
      <c r="AW236" s="44"/>
      <c r="AX236" s="44"/>
      <c r="AY236" s="44"/>
      <c r="AZ236" s="44"/>
      <c r="BA236" s="44"/>
      <c r="BB236" s="44"/>
      <c r="BC236" s="44"/>
      <c r="BD236" s="44"/>
      <c r="BE236" s="44"/>
      <c r="BF236" s="44"/>
      <c r="BG236" s="44"/>
      <c r="BH236" s="44"/>
      <c r="BI236" s="44"/>
      <c r="BJ236" s="44"/>
      <c r="BK236" s="44"/>
      <c r="BL236" s="44"/>
      <c r="BM236" s="44"/>
      <c r="BN236" s="44"/>
      <c r="BO236" s="44"/>
      <c r="BP236" s="44"/>
      <c r="BQ236" s="44"/>
      <c r="BR236" s="44"/>
      <c r="BS236" s="44"/>
      <c r="BT236" s="44"/>
      <c r="BU236" s="44"/>
      <c r="BV236" s="44"/>
      <c r="BW236" s="44"/>
      <c r="BX236" s="44"/>
      <c r="BY236" s="44"/>
      <c r="BZ236" s="44"/>
      <c r="CA236" s="44"/>
      <c r="CB236" s="44"/>
      <c r="CC236" s="44"/>
      <c r="CD236" s="44"/>
      <c r="CE236" s="44"/>
      <c r="CF236" s="44"/>
      <c r="CG236" s="44"/>
      <c r="CH236" s="44"/>
      <c r="CI236" s="44"/>
      <c r="CJ236" s="44"/>
      <c r="CK236" s="44"/>
      <c r="CL236" s="44"/>
      <c r="CM236" s="44"/>
      <c r="CN236" s="44"/>
      <c r="CO236" s="44"/>
      <c r="CP236" s="44"/>
      <c r="CQ236" s="44"/>
      <c r="CR236" s="44"/>
      <c r="CS236" s="44"/>
      <c r="CT236" s="44"/>
      <c r="CU236" s="44"/>
      <c r="CV236" s="44"/>
      <c r="CW236" s="44"/>
      <c r="CX236" s="44"/>
      <c r="CY236" s="44"/>
      <c r="CZ236" s="44"/>
      <c r="DA236" s="44"/>
      <c r="DB236" s="44"/>
      <c r="DC236" s="44"/>
      <c r="DD236" s="44"/>
      <c r="DE236" s="44"/>
      <c r="DF236" s="45">
        <f t="shared" si="2934"/>
        <v>0</v>
      </c>
      <c r="DG236" s="40"/>
    </row>
    <row r="237" spans="1:111" s="40" customFormat="1" ht="12">
      <c r="A237" s="516">
        <v>119</v>
      </c>
      <c r="B237" s="518" t="s">
        <v>235</v>
      </c>
      <c r="C237" s="450" t="s">
        <v>236</v>
      </c>
      <c r="D237" s="451" t="s">
        <v>504</v>
      </c>
      <c r="E237" s="536">
        <v>3</v>
      </c>
      <c r="F237" s="446">
        <v>21.92</v>
      </c>
      <c r="G237" s="446">
        <v>23</v>
      </c>
      <c r="H237" s="447">
        <f>F237*G237*365</f>
        <v>184018.40000000002</v>
      </c>
      <c r="I237" s="41">
        <v>52005.2</v>
      </c>
      <c r="J237" s="42">
        <f>ROUND(G237*F237*365/4,0)</f>
        <v>46005</v>
      </c>
      <c r="K237" s="44">
        <f t="shared" ref="K237:Q237" si="3546">J237</f>
        <v>46005</v>
      </c>
      <c r="L237" s="44">
        <f t="shared" si="3546"/>
        <v>46005</v>
      </c>
      <c r="M237" s="44">
        <f t="shared" si="3546"/>
        <v>46005</v>
      </c>
      <c r="N237" s="43">
        <f t="shared" si="3546"/>
        <v>46005</v>
      </c>
      <c r="O237" s="44">
        <f t="shared" si="3546"/>
        <v>46005</v>
      </c>
      <c r="P237" s="44">
        <f t="shared" si="3546"/>
        <v>46005</v>
      </c>
      <c r="Q237" s="44">
        <f t="shared" si="3546"/>
        <v>46005</v>
      </c>
      <c r="R237" s="44">
        <f>ROUND(Q237*(1+取值表!$D$12)*取值表!$H$12,0)</f>
        <v>50269</v>
      </c>
      <c r="S237" s="44">
        <f>R237</f>
        <v>50269</v>
      </c>
      <c r="T237" s="44">
        <f>S237</f>
        <v>50269</v>
      </c>
      <c r="U237" s="44">
        <f>T237</f>
        <v>50269</v>
      </c>
      <c r="V237" s="44">
        <f>ROUND(U237*(1+取值表!$D$12)*取值表!$H$12,0)</f>
        <v>54928</v>
      </c>
      <c r="W237" s="44">
        <f t="shared" ref="W237:Y237" si="3547">V237</f>
        <v>54928</v>
      </c>
      <c r="X237" s="44">
        <f t="shared" si="3547"/>
        <v>54928</v>
      </c>
      <c r="Y237" s="44">
        <f t="shared" si="3547"/>
        <v>54928</v>
      </c>
      <c r="Z237" s="44">
        <f>ROUND(Y237*(1+取值表!$D$12)*取值表!$H$12,0)</f>
        <v>60019</v>
      </c>
      <c r="AA237" s="44">
        <f t="shared" ref="AA237:AC237" si="3548">Z237</f>
        <v>60019</v>
      </c>
      <c r="AB237" s="44">
        <f t="shared" si="3548"/>
        <v>60019</v>
      </c>
      <c r="AC237" s="44">
        <f t="shared" si="3548"/>
        <v>60019</v>
      </c>
      <c r="AD237" s="44">
        <f>ROUND(AC237*(1+取值表!$D$12)*取值表!$H$12,0)</f>
        <v>65582</v>
      </c>
      <c r="AE237" s="44">
        <f t="shared" ref="AE237:AG237" si="3549">AD237</f>
        <v>65582</v>
      </c>
      <c r="AF237" s="44">
        <f t="shared" si="3549"/>
        <v>65582</v>
      </c>
      <c r="AG237" s="44">
        <f t="shared" si="3549"/>
        <v>65582</v>
      </c>
      <c r="AH237" s="44">
        <f>ROUND(AG237*(1+取值表!$D$12)*取值表!$H$12,0)</f>
        <v>71660</v>
      </c>
      <c r="AI237" s="44">
        <f t="shared" ref="AI237:AK237" si="3550">AH237</f>
        <v>71660</v>
      </c>
      <c r="AJ237" s="44">
        <f t="shared" si="3550"/>
        <v>71660</v>
      </c>
      <c r="AK237" s="44">
        <f t="shared" si="3550"/>
        <v>71660</v>
      </c>
      <c r="AL237" s="44">
        <f>ROUND(AK237*(1+取值表!$D$12)*取值表!$H$12,0)</f>
        <v>78302</v>
      </c>
      <c r="AM237" s="44">
        <f t="shared" ref="AM237:AO237" si="3551">AL237</f>
        <v>78302</v>
      </c>
      <c r="AN237" s="44">
        <f t="shared" si="3551"/>
        <v>78302</v>
      </c>
      <c r="AO237" s="44">
        <f t="shared" si="3551"/>
        <v>78302</v>
      </c>
      <c r="AP237" s="44">
        <f>ROUND(AO237*(1+取值表!$D$12)*取值表!$H$12,0)</f>
        <v>85559</v>
      </c>
      <c r="AQ237" s="44">
        <f t="shared" ref="AQ237:AS237" si="3552">AP237</f>
        <v>85559</v>
      </c>
      <c r="AR237" s="44">
        <f t="shared" si="3552"/>
        <v>85559</v>
      </c>
      <c r="AS237" s="44">
        <f t="shared" si="3552"/>
        <v>85559</v>
      </c>
      <c r="AT237" s="44">
        <f>ROUND(AS237*(1+取值表!$D$12)*取值表!$H$12,0)</f>
        <v>93489</v>
      </c>
      <c r="AU237" s="44">
        <f t="shared" ref="AU237:AW237" si="3553">AT237</f>
        <v>93489</v>
      </c>
      <c r="AV237" s="44">
        <f t="shared" si="3553"/>
        <v>93489</v>
      </c>
      <c r="AW237" s="44">
        <f t="shared" si="3553"/>
        <v>93489</v>
      </c>
      <c r="AX237" s="44">
        <f>ROUND(AW237*(1+取值表!$D$12)*取值表!$H$12,0)</f>
        <v>102154</v>
      </c>
      <c r="AY237" s="44">
        <f t="shared" ref="AY237:BA237" si="3554">AX237</f>
        <v>102154</v>
      </c>
      <c r="AZ237" s="44">
        <f t="shared" si="3554"/>
        <v>102154</v>
      </c>
      <c r="BA237" s="44">
        <f t="shared" si="3554"/>
        <v>102154</v>
      </c>
      <c r="BB237" s="44">
        <f>ROUND(BA237*(1+取值表!$D$12)*取值表!$H$12,0)</f>
        <v>111622</v>
      </c>
      <c r="BC237" s="44">
        <f t="shared" ref="BC237:BE237" si="3555">BB237</f>
        <v>111622</v>
      </c>
      <c r="BD237" s="44">
        <f t="shared" si="3555"/>
        <v>111622</v>
      </c>
      <c r="BE237" s="44">
        <f t="shared" si="3555"/>
        <v>111622</v>
      </c>
      <c r="BF237" s="44">
        <f>ROUND(BE237*(1+取值表!$D$12)*取值表!$H$12,0)</f>
        <v>121967</v>
      </c>
      <c r="BG237" s="44">
        <f t="shared" ref="BG237:BI237" si="3556">BF237</f>
        <v>121967</v>
      </c>
      <c r="BH237" s="44">
        <f t="shared" si="3556"/>
        <v>121967</v>
      </c>
      <c r="BI237" s="44">
        <f t="shared" si="3556"/>
        <v>121967</v>
      </c>
      <c r="BJ237" s="44">
        <f>ROUND(BI237*(1+取值表!$D$12)*取值表!$H$12,0)</f>
        <v>133271</v>
      </c>
      <c r="BK237" s="44">
        <f t="shared" ref="BK237:BM237" si="3557">BJ237</f>
        <v>133271</v>
      </c>
      <c r="BL237" s="44">
        <f t="shared" si="3557"/>
        <v>133271</v>
      </c>
      <c r="BM237" s="44">
        <f t="shared" si="3557"/>
        <v>133271</v>
      </c>
      <c r="BN237" s="44">
        <f>ROUND(BM237*(1+取值表!$D$12)*取值表!$H$12,0)</f>
        <v>145623</v>
      </c>
      <c r="BO237" s="44">
        <f t="shared" ref="BO237:BQ237" si="3558">BN237</f>
        <v>145623</v>
      </c>
      <c r="BP237" s="44">
        <f t="shared" si="3558"/>
        <v>145623</v>
      </c>
      <c r="BQ237" s="44">
        <f t="shared" si="3558"/>
        <v>145623</v>
      </c>
      <c r="BR237" s="44">
        <f>ROUND(BQ237*(1+取值表!$D$12)*取值表!$H$12,0)</f>
        <v>159120</v>
      </c>
      <c r="BS237" s="44">
        <f t="shared" ref="BS237:BU237" si="3559">BR237</f>
        <v>159120</v>
      </c>
      <c r="BT237" s="44">
        <f t="shared" si="3559"/>
        <v>159120</v>
      </c>
      <c r="BU237" s="44">
        <f t="shared" si="3559"/>
        <v>159120</v>
      </c>
      <c r="BV237" s="44">
        <f>ROUND(BU237*(1+取值表!$D$12)*取值表!$H$12,0)</f>
        <v>173868</v>
      </c>
      <c r="BW237" s="44">
        <f t="shared" ref="BW237:BY237" si="3560">BV237</f>
        <v>173868</v>
      </c>
      <c r="BX237" s="44">
        <f t="shared" si="3560"/>
        <v>173868</v>
      </c>
      <c r="BY237" s="44">
        <f t="shared" si="3560"/>
        <v>173868</v>
      </c>
      <c r="BZ237" s="44">
        <f>ROUND(BY237*(1+取值表!$D$12)*取值表!$H$12,0)</f>
        <v>189983</v>
      </c>
      <c r="CA237" s="44">
        <f t="shared" ref="CA237:CC237" si="3561">BZ237</f>
        <v>189983</v>
      </c>
      <c r="CB237" s="44">
        <f t="shared" si="3561"/>
        <v>189983</v>
      </c>
      <c r="CC237" s="44">
        <f t="shared" si="3561"/>
        <v>189983</v>
      </c>
      <c r="CD237" s="44">
        <f>ROUND(CC237*(1+取值表!$D$12)*取值表!$H$12,0)</f>
        <v>207591</v>
      </c>
      <c r="CE237" s="44">
        <f t="shared" ref="CE237:CG237" si="3562">CD237</f>
        <v>207591</v>
      </c>
      <c r="CF237" s="44">
        <f t="shared" si="3562"/>
        <v>207591</v>
      </c>
      <c r="CG237" s="44">
        <f t="shared" si="3562"/>
        <v>207591</v>
      </c>
      <c r="CH237" s="44">
        <f>ROUND(CG237*(1+取值表!$D$12)*取值表!$H$12,0)</f>
        <v>226831</v>
      </c>
      <c r="CI237" s="44">
        <f t="shared" ref="CI237:CK237" si="3563">CH237</f>
        <v>226831</v>
      </c>
      <c r="CJ237" s="44">
        <f t="shared" si="3563"/>
        <v>226831</v>
      </c>
      <c r="CK237" s="44">
        <f t="shared" si="3563"/>
        <v>226831</v>
      </c>
      <c r="CL237" s="44">
        <f>ROUND(CK237*(1+取值表!$D$12)*取值表!$H$12,0)</f>
        <v>247854</v>
      </c>
      <c r="CM237" s="44">
        <f t="shared" ref="CM237:CO237" si="3564">CL237</f>
        <v>247854</v>
      </c>
      <c r="CN237" s="44">
        <f t="shared" si="3564"/>
        <v>247854</v>
      </c>
      <c r="CO237" s="44">
        <f t="shared" si="3564"/>
        <v>247854</v>
      </c>
      <c r="CP237" s="44">
        <f>ROUND(CO237*(1+取值表!$D$12)*取值表!$H$12,0)</f>
        <v>270826</v>
      </c>
      <c r="CQ237" s="44">
        <f t="shared" ref="CQ237" si="3565">CP237</f>
        <v>270826</v>
      </c>
      <c r="CR237" s="44">
        <f t="shared" ref="CR237" si="3566">CQ237</f>
        <v>270826</v>
      </c>
      <c r="CS237" s="44">
        <f t="shared" ref="CS237" si="3567">CR237</f>
        <v>270826</v>
      </c>
      <c r="CT237" s="44">
        <f>ROUND(CS237*(1+取值表!$D$12)*取值表!$H$12,0)</f>
        <v>295927</v>
      </c>
      <c r="CU237" s="44">
        <f t="shared" ref="CU237" si="3568">CT237</f>
        <v>295927</v>
      </c>
      <c r="CV237" s="44">
        <f t="shared" ref="CV237" si="3569">CU237</f>
        <v>295927</v>
      </c>
      <c r="CW237" s="44">
        <f t="shared" ref="CW237" si="3570">CV237</f>
        <v>295927</v>
      </c>
      <c r="CX237" s="44">
        <f>ROUND(CW237*(1+取值表!$D$12)*取值表!$H$12,0)</f>
        <v>323354</v>
      </c>
      <c r="CY237" s="44">
        <f t="shared" ref="CY237" si="3571">CX237</f>
        <v>323354</v>
      </c>
      <c r="CZ237" s="44">
        <f t="shared" ref="CZ237" si="3572">CY237</f>
        <v>323354</v>
      </c>
      <c r="DA237" s="44">
        <f t="shared" ref="DA237" si="3573">CZ237</f>
        <v>323354</v>
      </c>
      <c r="DB237" s="44">
        <f>ROUND(DA237*(1+取值表!$D$12)*取值表!$H$12,0)</f>
        <v>353323</v>
      </c>
      <c r="DC237" s="44">
        <f t="shared" ref="DC237" si="3574">DB237</f>
        <v>353323</v>
      </c>
      <c r="DD237" s="44">
        <f t="shared" ref="DD237" si="3575">DC237</f>
        <v>353323</v>
      </c>
      <c r="DE237" s="44">
        <f t="shared" ref="DE237" si="3576">DD237</f>
        <v>353323</v>
      </c>
      <c r="DF237" s="45">
        <f t="shared" si="2934"/>
        <v>14860528</v>
      </c>
    </row>
    <row r="238" spans="1:111" s="40" customFormat="1" ht="12">
      <c r="A238" s="517"/>
      <c r="B238" s="518"/>
      <c r="C238" s="450"/>
      <c r="D238" s="451"/>
      <c r="E238" s="536"/>
      <c r="F238" s="446"/>
      <c r="G238" s="446"/>
      <c r="H238" s="447"/>
      <c r="I238" s="41"/>
      <c r="J238" s="42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  <c r="AA238" s="44"/>
      <c r="AB238" s="44"/>
      <c r="AC238" s="44"/>
      <c r="AD238" s="44"/>
      <c r="AE238" s="44"/>
      <c r="AF238" s="44"/>
      <c r="AG238" s="44"/>
      <c r="AH238" s="44"/>
      <c r="AI238" s="44"/>
      <c r="AJ238" s="44"/>
      <c r="AK238" s="44"/>
      <c r="AL238" s="44"/>
      <c r="AM238" s="44"/>
      <c r="AN238" s="44"/>
      <c r="AO238" s="44"/>
      <c r="AP238" s="44"/>
      <c r="AQ238" s="44"/>
      <c r="AR238" s="44"/>
      <c r="AS238" s="44"/>
      <c r="AT238" s="44"/>
      <c r="AU238" s="44"/>
      <c r="AV238" s="44"/>
      <c r="AW238" s="44"/>
      <c r="AX238" s="44"/>
      <c r="AY238" s="44"/>
      <c r="AZ238" s="44"/>
      <c r="BA238" s="44"/>
      <c r="BB238" s="44"/>
      <c r="BC238" s="44"/>
      <c r="BD238" s="44"/>
      <c r="BE238" s="44"/>
      <c r="BF238" s="44"/>
      <c r="BG238" s="44"/>
      <c r="BH238" s="44"/>
      <c r="BI238" s="44"/>
      <c r="BJ238" s="44"/>
      <c r="BK238" s="44"/>
      <c r="BL238" s="44"/>
      <c r="BM238" s="44"/>
      <c r="BN238" s="44"/>
      <c r="BO238" s="44"/>
      <c r="BP238" s="44"/>
      <c r="BQ238" s="44"/>
      <c r="BR238" s="44"/>
      <c r="BS238" s="44"/>
      <c r="BT238" s="44"/>
      <c r="BU238" s="44"/>
      <c r="BV238" s="44"/>
      <c r="BW238" s="44"/>
      <c r="BX238" s="44"/>
      <c r="BY238" s="44"/>
      <c r="BZ238" s="44"/>
      <c r="CA238" s="44"/>
      <c r="CB238" s="44"/>
      <c r="CC238" s="44"/>
      <c r="CD238" s="44"/>
      <c r="CE238" s="44"/>
      <c r="CF238" s="44"/>
      <c r="CG238" s="44"/>
      <c r="CH238" s="44"/>
      <c r="CI238" s="44"/>
      <c r="CJ238" s="44"/>
      <c r="CK238" s="44"/>
      <c r="CL238" s="44"/>
      <c r="CM238" s="44"/>
      <c r="CN238" s="44"/>
      <c r="CO238" s="44"/>
      <c r="CP238" s="44"/>
      <c r="CQ238" s="44"/>
      <c r="CR238" s="44"/>
      <c r="CS238" s="44"/>
      <c r="CT238" s="44"/>
      <c r="CU238" s="44"/>
      <c r="CV238" s="44"/>
      <c r="CW238" s="44"/>
      <c r="CX238" s="44"/>
      <c r="CY238" s="44"/>
      <c r="CZ238" s="44"/>
      <c r="DA238" s="44"/>
      <c r="DB238" s="44"/>
      <c r="DC238" s="44"/>
      <c r="DD238" s="44"/>
      <c r="DE238" s="44"/>
      <c r="DF238" s="45">
        <f t="shared" si="2934"/>
        <v>0</v>
      </c>
    </row>
    <row r="239" spans="1:111" s="40" customFormat="1" ht="12" customHeight="1">
      <c r="A239" s="516">
        <v>120</v>
      </c>
      <c r="B239" s="518" t="s">
        <v>237</v>
      </c>
      <c r="C239" s="450" t="s">
        <v>733</v>
      </c>
      <c r="D239" s="451" t="s">
        <v>505</v>
      </c>
      <c r="E239" s="452" t="s">
        <v>490</v>
      </c>
      <c r="F239" s="446">
        <v>149.49</v>
      </c>
      <c r="G239" s="446">
        <v>20</v>
      </c>
      <c r="H239" s="447">
        <f>F239*G239*365</f>
        <v>1091277</v>
      </c>
      <c r="I239" s="41">
        <v>259178.29</v>
      </c>
      <c r="J239" s="42">
        <f>ROUND(G239*F239*365/4,0)</f>
        <v>272819</v>
      </c>
      <c r="K239" s="44">
        <f t="shared" ref="K239:Q239" si="3577">J239</f>
        <v>272819</v>
      </c>
      <c r="L239" s="44">
        <f t="shared" si="3577"/>
        <v>272819</v>
      </c>
      <c r="M239" s="44">
        <f t="shared" si="3577"/>
        <v>272819</v>
      </c>
      <c r="N239" s="44">
        <f t="shared" si="3577"/>
        <v>272819</v>
      </c>
      <c r="O239" s="43">
        <f t="shared" si="3577"/>
        <v>272819</v>
      </c>
      <c r="P239" s="44">
        <f t="shared" si="3577"/>
        <v>272819</v>
      </c>
      <c r="Q239" s="44">
        <f t="shared" si="3577"/>
        <v>272819</v>
      </c>
      <c r="R239" s="44">
        <f>ROUND(Q239*(1+取值表!$D$12)*取值表!$H$12,0)</f>
        <v>298105</v>
      </c>
      <c r="S239" s="44">
        <f>R239</f>
        <v>298105</v>
      </c>
      <c r="T239" s="44">
        <f>S239</f>
        <v>298105</v>
      </c>
      <c r="U239" s="44">
        <f>T239</f>
        <v>298105</v>
      </c>
      <c r="V239" s="44">
        <f>ROUND(U239*(1+取值表!$D$12)*取值表!$H$12,0)</f>
        <v>325734</v>
      </c>
      <c r="W239" s="44">
        <f t="shared" ref="W239:Y239" si="3578">V239</f>
        <v>325734</v>
      </c>
      <c r="X239" s="44">
        <f t="shared" si="3578"/>
        <v>325734</v>
      </c>
      <c r="Y239" s="44">
        <f t="shared" si="3578"/>
        <v>325734</v>
      </c>
      <c r="Z239" s="44">
        <f>ROUND(Y239*(1+取值表!$D$12)*取值表!$H$12,0)</f>
        <v>355924</v>
      </c>
      <c r="AA239" s="44">
        <f t="shared" ref="AA239:AC239" si="3579">Z239</f>
        <v>355924</v>
      </c>
      <c r="AB239" s="44">
        <f t="shared" si="3579"/>
        <v>355924</v>
      </c>
      <c r="AC239" s="44">
        <f t="shared" si="3579"/>
        <v>355924</v>
      </c>
      <c r="AD239" s="44">
        <f>ROUND(AC239*(1+取值表!$D$12)*取值表!$H$12,0)</f>
        <v>388912</v>
      </c>
      <c r="AE239" s="44">
        <f t="shared" ref="AE239:AG239" si="3580">AD239</f>
        <v>388912</v>
      </c>
      <c r="AF239" s="44">
        <f t="shared" si="3580"/>
        <v>388912</v>
      </c>
      <c r="AG239" s="44">
        <f t="shared" si="3580"/>
        <v>388912</v>
      </c>
      <c r="AH239" s="44">
        <f>ROUND(AG239*(1+取值表!$D$12)*取值表!$H$12,0)</f>
        <v>424957</v>
      </c>
      <c r="AI239" s="44">
        <f t="shared" ref="AI239:AK239" si="3581">AH239</f>
        <v>424957</v>
      </c>
      <c r="AJ239" s="44">
        <f t="shared" si="3581"/>
        <v>424957</v>
      </c>
      <c r="AK239" s="44">
        <f t="shared" si="3581"/>
        <v>424957</v>
      </c>
      <c r="AL239" s="44">
        <f>ROUND(AK239*(1+取值表!$D$12)*取值表!$H$12,0)</f>
        <v>464343</v>
      </c>
      <c r="AM239" s="44">
        <f t="shared" ref="AM239:AO239" si="3582">AL239</f>
        <v>464343</v>
      </c>
      <c r="AN239" s="44">
        <f t="shared" si="3582"/>
        <v>464343</v>
      </c>
      <c r="AO239" s="44">
        <f t="shared" si="3582"/>
        <v>464343</v>
      </c>
      <c r="AP239" s="44">
        <f>ROUND(AO239*(1+取值表!$D$12)*取值表!$H$12,0)</f>
        <v>507380</v>
      </c>
      <c r="AQ239" s="44">
        <f t="shared" ref="AQ239:AS239" si="3583">AP239</f>
        <v>507380</v>
      </c>
      <c r="AR239" s="44">
        <f t="shared" si="3583"/>
        <v>507380</v>
      </c>
      <c r="AS239" s="44">
        <f t="shared" si="3583"/>
        <v>507380</v>
      </c>
      <c r="AT239" s="44">
        <f>ROUND(AS239*(1+取值表!$D$12)*取值表!$H$12,0)</f>
        <v>554405</v>
      </c>
      <c r="AU239" s="44">
        <f t="shared" ref="AU239:AW239" si="3584">AT239</f>
        <v>554405</v>
      </c>
      <c r="AV239" s="44">
        <f t="shared" si="3584"/>
        <v>554405</v>
      </c>
      <c r="AW239" s="44">
        <f t="shared" si="3584"/>
        <v>554405</v>
      </c>
      <c r="AX239" s="44">
        <f>ROUND(AW239*(1+取值表!$D$12)*取值表!$H$12,0)</f>
        <v>605789</v>
      </c>
      <c r="AY239" s="44">
        <f t="shared" ref="AY239:BA239" si="3585">AX239</f>
        <v>605789</v>
      </c>
      <c r="AZ239" s="44">
        <f t="shared" si="3585"/>
        <v>605789</v>
      </c>
      <c r="BA239" s="44">
        <f t="shared" si="3585"/>
        <v>605789</v>
      </c>
      <c r="BB239" s="44">
        <f>ROUND(BA239*(1+取值表!$D$12)*取值表!$H$12,0)</f>
        <v>661935</v>
      </c>
      <c r="BC239" s="44">
        <f t="shared" ref="BC239:BE239" si="3586">BB239</f>
        <v>661935</v>
      </c>
      <c r="BD239" s="44">
        <f t="shared" si="3586"/>
        <v>661935</v>
      </c>
      <c r="BE239" s="44">
        <f t="shared" si="3586"/>
        <v>661935</v>
      </c>
      <c r="BF239" s="44">
        <f>ROUND(BE239*(1+取值表!$D$12)*取值表!$H$12,0)</f>
        <v>723285</v>
      </c>
      <c r="BG239" s="44">
        <f t="shared" ref="BG239:BI239" si="3587">BF239</f>
        <v>723285</v>
      </c>
      <c r="BH239" s="44">
        <f t="shared" si="3587"/>
        <v>723285</v>
      </c>
      <c r="BI239" s="44">
        <f t="shared" si="3587"/>
        <v>723285</v>
      </c>
      <c r="BJ239" s="44">
        <f>ROUND(BI239*(1+取值表!$D$12)*取值表!$H$12,0)</f>
        <v>790321</v>
      </c>
      <c r="BK239" s="44">
        <f t="shared" ref="BK239:BM239" si="3588">BJ239</f>
        <v>790321</v>
      </c>
      <c r="BL239" s="44">
        <f t="shared" si="3588"/>
        <v>790321</v>
      </c>
      <c r="BM239" s="44">
        <f t="shared" si="3588"/>
        <v>790321</v>
      </c>
      <c r="BN239" s="44">
        <f>ROUND(BM239*(1+取值表!$D$12)*取值表!$H$12,0)</f>
        <v>863570</v>
      </c>
      <c r="BO239" s="44">
        <f t="shared" ref="BO239:BQ239" si="3589">BN239</f>
        <v>863570</v>
      </c>
      <c r="BP239" s="44">
        <f t="shared" si="3589"/>
        <v>863570</v>
      </c>
      <c r="BQ239" s="44">
        <f t="shared" si="3589"/>
        <v>863570</v>
      </c>
      <c r="BR239" s="44">
        <f>ROUND(BQ239*(1+取值表!$D$12)*取值表!$H$12,0)</f>
        <v>943608</v>
      </c>
      <c r="BS239" s="44">
        <f t="shared" ref="BS239:BU239" si="3590">BR239</f>
        <v>943608</v>
      </c>
      <c r="BT239" s="44">
        <f t="shared" si="3590"/>
        <v>943608</v>
      </c>
      <c r="BU239" s="44">
        <f t="shared" si="3590"/>
        <v>943608</v>
      </c>
      <c r="BV239" s="44">
        <f>ROUND(BU239*(1+取值表!$D$12)*取值表!$H$12,0)</f>
        <v>1031064</v>
      </c>
      <c r="BW239" s="44">
        <f t="shared" ref="BW239:BY239" si="3591">BV239</f>
        <v>1031064</v>
      </c>
      <c r="BX239" s="44">
        <f t="shared" si="3591"/>
        <v>1031064</v>
      </c>
      <c r="BY239" s="44">
        <f t="shared" si="3591"/>
        <v>1031064</v>
      </c>
      <c r="BZ239" s="44">
        <f>ROUND(BY239*(1+取值表!$D$12)*取值表!$H$12,0)</f>
        <v>1126626</v>
      </c>
      <c r="CA239" s="44">
        <f t="shared" ref="CA239:CC239" si="3592">BZ239</f>
        <v>1126626</v>
      </c>
      <c r="CB239" s="44">
        <f t="shared" si="3592"/>
        <v>1126626</v>
      </c>
      <c r="CC239" s="44">
        <f t="shared" si="3592"/>
        <v>1126626</v>
      </c>
      <c r="CD239" s="44">
        <f>ROUND(CC239*(1+取值表!$D$12)*取值表!$H$12,0)</f>
        <v>1231045</v>
      </c>
      <c r="CE239" s="44">
        <f t="shared" ref="CE239:CG239" si="3593">CD239</f>
        <v>1231045</v>
      </c>
      <c r="CF239" s="44">
        <f t="shared" si="3593"/>
        <v>1231045</v>
      </c>
      <c r="CG239" s="44">
        <f t="shared" si="3593"/>
        <v>1231045</v>
      </c>
      <c r="CH239" s="44">
        <f>ROUND(CG239*(1+取值表!$D$12)*取值表!$H$12,0)</f>
        <v>1345142</v>
      </c>
      <c r="CI239" s="44">
        <f t="shared" ref="CI239:CK239" si="3594">CH239</f>
        <v>1345142</v>
      </c>
      <c r="CJ239" s="44">
        <f t="shared" si="3594"/>
        <v>1345142</v>
      </c>
      <c r="CK239" s="44">
        <f t="shared" si="3594"/>
        <v>1345142</v>
      </c>
      <c r="CL239" s="44">
        <f>ROUND(CK239*(1+取值表!$D$12)*取值表!$H$12,0)</f>
        <v>1469813</v>
      </c>
      <c r="CM239" s="44">
        <f t="shared" ref="CM239:CO239" si="3595">CL239</f>
        <v>1469813</v>
      </c>
      <c r="CN239" s="44">
        <f t="shared" si="3595"/>
        <v>1469813</v>
      </c>
      <c r="CO239" s="44">
        <f t="shared" si="3595"/>
        <v>1469813</v>
      </c>
      <c r="CP239" s="44">
        <f>ROUND(CO239*(1+取值表!$D$12)*取值表!$H$12,0)</f>
        <v>1606039</v>
      </c>
      <c r="CQ239" s="44">
        <f t="shared" ref="CQ239" si="3596">CP239</f>
        <v>1606039</v>
      </c>
      <c r="CR239" s="44">
        <f t="shared" ref="CR239" si="3597">CQ239</f>
        <v>1606039</v>
      </c>
      <c r="CS239" s="44">
        <f t="shared" ref="CS239" si="3598">CR239</f>
        <v>1606039</v>
      </c>
      <c r="CT239" s="44">
        <f>ROUND(CS239*(1+取值表!$D$12)*取值表!$H$12,0)</f>
        <v>1754891</v>
      </c>
      <c r="CU239" s="44">
        <f t="shared" ref="CU239" si="3599">CT239</f>
        <v>1754891</v>
      </c>
      <c r="CV239" s="44">
        <f t="shared" ref="CV239" si="3600">CU239</f>
        <v>1754891</v>
      </c>
      <c r="CW239" s="44">
        <f t="shared" ref="CW239" si="3601">CV239</f>
        <v>1754891</v>
      </c>
      <c r="CX239" s="44">
        <f>ROUND(CW239*(1+取值表!$D$12)*取值表!$H$12,0)</f>
        <v>1917539</v>
      </c>
      <c r="CY239" s="44">
        <f t="shared" ref="CY239" si="3602">CX239</f>
        <v>1917539</v>
      </c>
      <c r="CZ239" s="44">
        <f t="shared" ref="CZ239" si="3603">CY239</f>
        <v>1917539</v>
      </c>
      <c r="DA239" s="44">
        <f t="shared" ref="DA239" si="3604">CZ239</f>
        <v>1917539</v>
      </c>
      <c r="DB239" s="44">
        <f>ROUND(DA239*(1+取值表!$D$12)*取值表!$H$12,0)</f>
        <v>2095262</v>
      </c>
      <c r="DC239" s="44">
        <f t="shared" ref="DC239" si="3605">DB239</f>
        <v>2095262</v>
      </c>
      <c r="DD239" s="44">
        <f t="shared" ref="DD239" si="3606">DC239</f>
        <v>2095262</v>
      </c>
      <c r="DE239" s="44">
        <f t="shared" ref="DE239" si="3607">DD239</f>
        <v>2095262</v>
      </c>
      <c r="DF239" s="45">
        <f t="shared" si="2934"/>
        <v>88125308</v>
      </c>
    </row>
    <row r="240" spans="1:111" s="40" customFormat="1" ht="12">
      <c r="A240" s="517"/>
      <c r="B240" s="518"/>
      <c r="C240" s="450"/>
      <c r="D240" s="451"/>
      <c r="E240" s="452"/>
      <c r="F240" s="446"/>
      <c r="G240" s="446"/>
      <c r="H240" s="447"/>
      <c r="I240" s="41"/>
      <c r="J240" s="42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44"/>
      <c r="BY240" s="44"/>
      <c r="BZ240" s="44"/>
      <c r="CA240" s="44"/>
      <c r="CB240" s="44"/>
      <c r="CC240" s="44"/>
      <c r="CD240" s="44"/>
      <c r="CE240" s="44"/>
      <c r="CF240" s="44"/>
      <c r="CG240" s="44"/>
      <c r="CH240" s="44"/>
      <c r="CI240" s="44"/>
      <c r="CJ240" s="44"/>
      <c r="CK240" s="44"/>
      <c r="CL240" s="44"/>
      <c r="CM240" s="44"/>
      <c r="CN240" s="44"/>
      <c r="CO240" s="44"/>
      <c r="CP240" s="44"/>
      <c r="CQ240" s="44"/>
      <c r="CR240" s="44"/>
      <c r="CS240" s="44"/>
      <c r="CT240" s="44"/>
      <c r="CU240" s="44"/>
      <c r="CV240" s="44"/>
      <c r="CW240" s="44"/>
      <c r="CX240" s="44"/>
      <c r="CY240" s="44"/>
      <c r="CZ240" s="44"/>
      <c r="DA240" s="44"/>
      <c r="DB240" s="44"/>
      <c r="DC240" s="44"/>
      <c r="DD240" s="44"/>
      <c r="DE240" s="44"/>
      <c r="DF240" s="45">
        <f t="shared" si="2934"/>
        <v>0</v>
      </c>
    </row>
    <row r="241" spans="1:228" s="40" customFormat="1" ht="12" customHeight="1">
      <c r="A241" s="516">
        <v>121</v>
      </c>
      <c r="B241" s="456" t="s">
        <v>238</v>
      </c>
      <c r="C241" s="450" t="s">
        <v>109</v>
      </c>
      <c r="D241" s="451" t="s">
        <v>506</v>
      </c>
      <c r="E241" s="452" t="s">
        <v>490</v>
      </c>
      <c r="F241" s="446">
        <v>163.41</v>
      </c>
      <c r="G241" s="446">
        <v>15</v>
      </c>
      <c r="H241" s="447">
        <f>F241*G241*365</f>
        <v>894669.75</v>
      </c>
      <c r="I241" s="41">
        <v>160295</v>
      </c>
      <c r="J241" s="43">
        <f>ROUND(G241*F241*365/4,0)</f>
        <v>223667</v>
      </c>
      <c r="K241" s="44">
        <f>J241</f>
        <v>223667</v>
      </c>
      <c r="L241" s="44">
        <f>K241</f>
        <v>223667</v>
      </c>
      <c r="M241" s="44">
        <f>L241</f>
        <v>223667</v>
      </c>
      <c r="N241" s="44">
        <f>ROUND(M241*(1+取值表!$D$12)*取值表!$H$12,0)</f>
        <v>244397</v>
      </c>
      <c r="O241" s="44">
        <f>N241</f>
        <v>244397</v>
      </c>
      <c r="P241" s="44">
        <f>O241</f>
        <v>244397</v>
      </c>
      <c r="Q241" s="44">
        <f>P241</f>
        <v>244397</v>
      </c>
      <c r="R241" s="44">
        <f>ROUND(Q241*(1+取值表!$D$12)*取值表!$H$12,0)</f>
        <v>267048</v>
      </c>
      <c r="S241" s="44">
        <f t="shared" ref="S241:U241" si="3608">R241</f>
        <v>267048</v>
      </c>
      <c r="T241" s="44">
        <f t="shared" si="3608"/>
        <v>267048</v>
      </c>
      <c r="U241" s="44">
        <f t="shared" si="3608"/>
        <v>267048</v>
      </c>
      <c r="V241" s="44">
        <f>ROUND(U241*(1+取值表!$D$12)*取值表!$H$12,0)</f>
        <v>291799</v>
      </c>
      <c r="W241" s="44">
        <f t="shared" ref="W241:Y241" si="3609">V241</f>
        <v>291799</v>
      </c>
      <c r="X241" s="44">
        <f t="shared" si="3609"/>
        <v>291799</v>
      </c>
      <c r="Y241" s="44">
        <f t="shared" si="3609"/>
        <v>291799</v>
      </c>
      <c r="Z241" s="44">
        <f>ROUND(Y241*(1+取值表!$D$12)*取值表!$H$12,0)</f>
        <v>318844</v>
      </c>
      <c r="AA241" s="44">
        <f t="shared" ref="AA241:AC241" si="3610">Z241</f>
        <v>318844</v>
      </c>
      <c r="AB241" s="44">
        <f t="shared" si="3610"/>
        <v>318844</v>
      </c>
      <c r="AC241" s="44">
        <f t="shared" si="3610"/>
        <v>318844</v>
      </c>
      <c r="AD241" s="44">
        <f>ROUND(AC241*(1+取值表!$D$12)*取值表!$H$12,0)</f>
        <v>348395</v>
      </c>
      <c r="AE241" s="44">
        <f t="shared" ref="AE241:AG241" si="3611">AD241</f>
        <v>348395</v>
      </c>
      <c r="AF241" s="44">
        <f t="shared" si="3611"/>
        <v>348395</v>
      </c>
      <c r="AG241" s="44">
        <f t="shared" si="3611"/>
        <v>348395</v>
      </c>
      <c r="AH241" s="44">
        <f>ROUND(AG241*(1+取值表!$D$12)*取值表!$H$12,0)</f>
        <v>380685</v>
      </c>
      <c r="AI241" s="44">
        <f t="shared" ref="AI241:AK241" si="3612">AH241</f>
        <v>380685</v>
      </c>
      <c r="AJ241" s="44">
        <f t="shared" si="3612"/>
        <v>380685</v>
      </c>
      <c r="AK241" s="44">
        <f t="shared" si="3612"/>
        <v>380685</v>
      </c>
      <c r="AL241" s="44">
        <f>ROUND(AK241*(1+取值表!$D$12)*取值表!$H$12,0)</f>
        <v>415968</v>
      </c>
      <c r="AM241" s="44">
        <f t="shared" ref="AM241:AO241" si="3613">AL241</f>
        <v>415968</v>
      </c>
      <c r="AN241" s="44">
        <f t="shared" si="3613"/>
        <v>415968</v>
      </c>
      <c r="AO241" s="44">
        <f t="shared" si="3613"/>
        <v>415968</v>
      </c>
      <c r="AP241" s="44">
        <f>ROUND(AO241*(1+取值表!$D$12)*取值表!$H$12,0)</f>
        <v>454521</v>
      </c>
      <c r="AQ241" s="44">
        <f t="shared" ref="AQ241:AS241" si="3614">AP241</f>
        <v>454521</v>
      </c>
      <c r="AR241" s="44">
        <f t="shared" si="3614"/>
        <v>454521</v>
      </c>
      <c r="AS241" s="44">
        <f t="shared" si="3614"/>
        <v>454521</v>
      </c>
      <c r="AT241" s="44">
        <f>ROUND(AS241*(1+取值表!$D$12)*取值表!$H$12,0)</f>
        <v>496647</v>
      </c>
      <c r="AU241" s="44">
        <f t="shared" ref="AU241:AW241" si="3615">AT241</f>
        <v>496647</v>
      </c>
      <c r="AV241" s="44">
        <f t="shared" si="3615"/>
        <v>496647</v>
      </c>
      <c r="AW241" s="44">
        <f t="shared" si="3615"/>
        <v>496647</v>
      </c>
      <c r="AX241" s="44">
        <f>ROUND(AW241*(1+取值表!$D$12)*取值表!$H$12,0)</f>
        <v>542678</v>
      </c>
      <c r="AY241" s="44">
        <f t="shared" ref="AY241:BA241" si="3616">AX241</f>
        <v>542678</v>
      </c>
      <c r="AZ241" s="44">
        <f t="shared" si="3616"/>
        <v>542678</v>
      </c>
      <c r="BA241" s="44">
        <f t="shared" si="3616"/>
        <v>542678</v>
      </c>
      <c r="BB241" s="44">
        <f>ROUND(BA241*(1+取值表!$D$12)*取值表!$H$12,0)</f>
        <v>592975</v>
      </c>
      <c r="BC241" s="44">
        <f t="shared" ref="BC241:BE241" si="3617">BB241</f>
        <v>592975</v>
      </c>
      <c r="BD241" s="44">
        <f t="shared" si="3617"/>
        <v>592975</v>
      </c>
      <c r="BE241" s="44">
        <f t="shared" si="3617"/>
        <v>592975</v>
      </c>
      <c r="BF241" s="44">
        <f>ROUND(BE241*(1+取值表!$D$12)*取值表!$H$12,0)</f>
        <v>647934</v>
      </c>
      <c r="BG241" s="44">
        <f t="shared" ref="BG241:BI241" si="3618">BF241</f>
        <v>647934</v>
      </c>
      <c r="BH241" s="44">
        <f t="shared" si="3618"/>
        <v>647934</v>
      </c>
      <c r="BI241" s="44">
        <f t="shared" si="3618"/>
        <v>647934</v>
      </c>
      <c r="BJ241" s="44">
        <f>ROUND(BI241*(1+取值表!$D$12)*取值表!$H$12,0)</f>
        <v>707986</v>
      </c>
      <c r="BK241" s="44">
        <f t="shared" ref="BK241:BM241" si="3619">BJ241</f>
        <v>707986</v>
      </c>
      <c r="BL241" s="44">
        <f t="shared" si="3619"/>
        <v>707986</v>
      </c>
      <c r="BM241" s="44">
        <f t="shared" si="3619"/>
        <v>707986</v>
      </c>
      <c r="BN241" s="44">
        <f>ROUND(BM241*(1+取值表!$D$12)*取值表!$H$12,0)</f>
        <v>773604</v>
      </c>
      <c r="BO241" s="44">
        <f t="shared" ref="BO241:BQ241" si="3620">BN241</f>
        <v>773604</v>
      </c>
      <c r="BP241" s="44">
        <f t="shared" si="3620"/>
        <v>773604</v>
      </c>
      <c r="BQ241" s="44">
        <f t="shared" si="3620"/>
        <v>773604</v>
      </c>
      <c r="BR241" s="44">
        <f>ROUND(BQ241*(1+取值表!$D$12)*取值表!$H$12,0)</f>
        <v>845304</v>
      </c>
      <c r="BS241" s="44">
        <f t="shared" ref="BS241:BU241" si="3621">BR241</f>
        <v>845304</v>
      </c>
      <c r="BT241" s="44">
        <f t="shared" si="3621"/>
        <v>845304</v>
      </c>
      <c r="BU241" s="44">
        <f t="shared" si="3621"/>
        <v>845304</v>
      </c>
      <c r="BV241" s="44">
        <f>ROUND(BU241*(1+取值表!$D$12)*取值表!$H$12,0)</f>
        <v>923649</v>
      </c>
      <c r="BW241" s="44">
        <f t="shared" ref="BW241:BY241" si="3622">BV241</f>
        <v>923649</v>
      </c>
      <c r="BX241" s="44">
        <f t="shared" si="3622"/>
        <v>923649</v>
      </c>
      <c r="BY241" s="44">
        <f t="shared" si="3622"/>
        <v>923649</v>
      </c>
      <c r="BZ241" s="44">
        <f>ROUND(BY241*(1+取值表!$D$12)*取值表!$H$12,0)</f>
        <v>1009255</v>
      </c>
      <c r="CA241" s="44">
        <f t="shared" ref="CA241:CC241" si="3623">BZ241</f>
        <v>1009255</v>
      </c>
      <c r="CB241" s="44">
        <f t="shared" si="3623"/>
        <v>1009255</v>
      </c>
      <c r="CC241" s="44">
        <f t="shared" si="3623"/>
        <v>1009255</v>
      </c>
      <c r="CD241" s="44">
        <f>ROUND(CC241*(1+取值表!$D$12)*取值表!$H$12,0)</f>
        <v>1102796</v>
      </c>
      <c r="CE241" s="44">
        <f t="shared" ref="CE241:CG241" si="3624">CD241</f>
        <v>1102796</v>
      </c>
      <c r="CF241" s="44">
        <f t="shared" si="3624"/>
        <v>1102796</v>
      </c>
      <c r="CG241" s="44">
        <f t="shared" si="3624"/>
        <v>1102796</v>
      </c>
      <c r="CH241" s="44">
        <f>ROUND(CG241*(1+取值表!$D$12)*取值表!$H$12,0)</f>
        <v>1205006</v>
      </c>
      <c r="CI241" s="44">
        <f t="shared" ref="CI241:CK241" si="3625">CH241</f>
        <v>1205006</v>
      </c>
      <c r="CJ241" s="44">
        <f t="shared" si="3625"/>
        <v>1205006</v>
      </c>
      <c r="CK241" s="44">
        <f t="shared" si="3625"/>
        <v>1205006</v>
      </c>
      <c r="CL241" s="44">
        <f>ROUND(CK241*(1+取值表!$D$12)*取值表!$H$12,0)</f>
        <v>1316689</v>
      </c>
      <c r="CM241" s="44">
        <f t="shared" ref="CM241:CO241" si="3626">CL241</f>
        <v>1316689</v>
      </c>
      <c r="CN241" s="44">
        <f t="shared" si="3626"/>
        <v>1316689</v>
      </c>
      <c r="CO241" s="44">
        <f t="shared" si="3626"/>
        <v>1316689</v>
      </c>
      <c r="CP241" s="44">
        <f>ROUND(CO241*(1+取值表!$D$12)*取值表!$H$12,0)</f>
        <v>1438723</v>
      </c>
      <c r="CQ241" s="44">
        <f t="shared" ref="CQ241" si="3627">CP241</f>
        <v>1438723</v>
      </c>
      <c r="CR241" s="44">
        <f t="shared" ref="CR241" si="3628">CQ241</f>
        <v>1438723</v>
      </c>
      <c r="CS241" s="44">
        <f t="shared" ref="CS241" si="3629">CR241</f>
        <v>1438723</v>
      </c>
      <c r="CT241" s="44">
        <f>ROUND(CS241*(1+取值表!$D$12)*取值表!$H$12,0)</f>
        <v>1572068</v>
      </c>
      <c r="CU241" s="44">
        <f t="shared" ref="CU241" si="3630">CT241</f>
        <v>1572068</v>
      </c>
      <c r="CV241" s="44">
        <f t="shared" ref="CV241" si="3631">CU241</f>
        <v>1572068</v>
      </c>
      <c r="CW241" s="44">
        <f t="shared" ref="CW241" si="3632">CV241</f>
        <v>1572068</v>
      </c>
      <c r="CX241" s="44">
        <f>ROUND(CW241*(1+取值表!$D$12)*取值表!$H$12,0)</f>
        <v>1717772</v>
      </c>
      <c r="CY241" s="44">
        <f t="shared" ref="CY241" si="3633">CX241</f>
        <v>1717772</v>
      </c>
      <c r="CZ241" s="44">
        <f t="shared" ref="CZ241" si="3634">CY241</f>
        <v>1717772</v>
      </c>
      <c r="DA241" s="44">
        <f t="shared" ref="DA241" si="3635">CZ241</f>
        <v>1717772</v>
      </c>
      <c r="DB241" s="44">
        <f>ROUND(DA241*(1+取值表!$D$12)*取值表!$H$12,0)</f>
        <v>1876980</v>
      </c>
      <c r="DC241" s="44">
        <f t="shared" ref="DC241" si="3636">DB241</f>
        <v>1876980</v>
      </c>
      <c r="DD241" s="44">
        <f t="shared" ref="DD241" si="3637">DC241</f>
        <v>1876980</v>
      </c>
      <c r="DE241" s="44">
        <f t="shared" ref="DE241" si="3638">DD241</f>
        <v>1876980</v>
      </c>
      <c r="DF241" s="45">
        <f t="shared" si="2934"/>
        <v>78861560</v>
      </c>
    </row>
    <row r="242" spans="1:228" s="40" customFormat="1" ht="12">
      <c r="A242" s="517"/>
      <c r="B242" s="456"/>
      <c r="C242" s="450"/>
      <c r="D242" s="451"/>
      <c r="E242" s="452"/>
      <c r="F242" s="446"/>
      <c r="G242" s="446"/>
      <c r="H242" s="447"/>
      <c r="I242" s="41"/>
      <c r="J242" s="42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44"/>
      <c r="BY242" s="44"/>
      <c r="BZ242" s="44"/>
      <c r="CA242" s="44"/>
      <c r="CB242" s="44"/>
      <c r="CC242" s="44"/>
      <c r="CD242" s="44"/>
      <c r="CE242" s="44"/>
      <c r="CF242" s="44"/>
      <c r="CG242" s="44"/>
      <c r="CH242" s="44"/>
      <c r="CI242" s="44"/>
      <c r="CJ242" s="44"/>
      <c r="CK242" s="44"/>
      <c r="CL242" s="44"/>
      <c r="CM242" s="44"/>
      <c r="CN242" s="44"/>
      <c r="CO242" s="44"/>
      <c r="CP242" s="44"/>
      <c r="CQ242" s="44"/>
      <c r="CR242" s="44"/>
      <c r="CS242" s="44"/>
      <c r="CT242" s="44"/>
      <c r="CU242" s="44"/>
      <c r="CV242" s="44"/>
      <c r="CW242" s="44"/>
      <c r="CX242" s="44"/>
      <c r="CY242" s="44"/>
      <c r="CZ242" s="44"/>
      <c r="DA242" s="44"/>
      <c r="DB242" s="44"/>
      <c r="DC242" s="44"/>
      <c r="DD242" s="44"/>
      <c r="DE242" s="44"/>
      <c r="DF242" s="45">
        <f t="shared" si="2934"/>
        <v>0</v>
      </c>
    </row>
    <row r="243" spans="1:228" s="40" customFormat="1" ht="12">
      <c r="A243" s="516">
        <v>122</v>
      </c>
      <c r="B243" s="518" t="s">
        <v>239</v>
      </c>
      <c r="C243" s="450" t="s">
        <v>240</v>
      </c>
      <c r="D243" s="451" t="s">
        <v>188</v>
      </c>
      <c r="E243" s="452" t="s">
        <v>490</v>
      </c>
      <c r="F243" s="446">
        <v>12.96</v>
      </c>
      <c r="G243" s="446">
        <v>19.5</v>
      </c>
      <c r="H243" s="447">
        <f>F243*G243*365</f>
        <v>92242.8</v>
      </c>
      <c r="I243" s="41">
        <v>23060.7</v>
      </c>
      <c r="J243" s="42">
        <f>ROUND(G243*F243*365/4,0)</f>
        <v>23061</v>
      </c>
      <c r="K243" s="44">
        <f>J243</f>
        <v>23061</v>
      </c>
      <c r="L243" s="43">
        <f>K243</f>
        <v>23061</v>
      </c>
      <c r="M243" s="44">
        <f>L243</f>
        <v>23061</v>
      </c>
      <c r="N243" s="44">
        <f>ROUND(M243*(1+取值表!$D$12)*取值表!$H$12,0)</f>
        <v>25198</v>
      </c>
      <c r="O243" s="44">
        <f>N243</f>
        <v>25198</v>
      </c>
      <c r="P243" s="44">
        <f>O243</f>
        <v>25198</v>
      </c>
      <c r="Q243" s="44">
        <f>P243</f>
        <v>25198</v>
      </c>
      <c r="R243" s="44">
        <f>ROUND(Q243*(1+取值表!$D$12)*取值表!$H$12,0)</f>
        <v>27533</v>
      </c>
      <c r="S243" s="44">
        <f t="shared" ref="S243:U243" si="3639">R243</f>
        <v>27533</v>
      </c>
      <c r="T243" s="44">
        <f t="shared" si="3639"/>
        <v>27533</v>
      </c>
      <c r="U243" s="44">
        <f t="shared" si="3639"/>
        <v>27533</v>
      </c>
      <c r="V243" s="44">
        <f>ROUND(U243*(1+取值表!$D$12)*取值表!$H$12,0)</f>
        <v>30085</v>
      </c>
      <c r="W243" s="44">
        <f t="shared" ref="W243:Y243" si="3640">V243</f>
        <v>30085</v>
      </c>
      <c r="X243" s="44">
        <f t="shared" si="3640"/>
        <v>30085</v>
      </c>
      <c r="Y243" s="44">
        <f t="shared" si="3640"/>
        <v>30085</v>
      </c>
      <c r="Z243" s="44">
        <f>ROUND(Y243*(1+取值表!$D$12)*取值表!$H$12,0)</f>
        <v>32873</v>
      </c>
      <c r="AA243" s="44">
        <f t="shared" ref="AA243:AC243" si="3641">Z243</f>
        <v>32873</v>
      </c>
      <c r="AB243" s="44">
        <f t="shared" si="3641"/>
        <v>32873</v>
      </c>
      <c r="AC243" s="44">
        <f t="shared" si="3641"/>
        <v>32873</v>
      </c>
      <c r="AD243" s="44">
        <f>ROUND(AC243*(1+取值表!$D$12)*取值表!$H$12,0)</f>
        <v>35920</v>
      </c>
      <c r="AE243" s="44">
        <f t="shared" ref="AE243:AG243" si="3642">AD243</f>
        <v>35920</v>
      </c>
      <c r="AF243" s="44">
        <f t="shared" si="3642"/>
        <v>35920</v>
      </c>
      <c r="AG243" s="44">
        <f t="shared" si="3642"/>
        <v>35920</v>
      </c>
      <c r="AH243" s="44">
        <f>ROUND(AG243*(1+取值表!$D$12)*取值表!$H$12,0)</f>
        <v>39249</v>
      </c>
      <c r="AI243" s="44">
        <f t="shared" ref="AI243:AK243" si="3643">AH243</f>
        <v>39249</v>
      </c>
      <c r="AJ243" s="44">
        <f t="shared" si="3643"/>
        <v>39249</v>
      </c>
      <c r="AK243" s="44">
        <f t="shared" si="3643"/>
        <v>39249</v>
      </c>
      <c r="AL243" s="44">
        <f>ROUND(AK243*(1+取值表!$D$12)*取值表!$H$12,0)</f>
        <v>42887</v>
      </c>
      <c r="AM243" s="44">
        <f t="shared" ref="AM243:AO243" si="3644">AL243</f>
        <v>42887</v>
      </c>
      <c r="AN243" s="44">
        <f t="shared" si="3644"/>
        <v>42887</v>
      </c>
      <c r="AO243" s="44">
        <f t="shared" si="3644"/>
        <v>42887</v>
      </c>
      <c r="AP243" s="44">
        <f>ROUND(AO243*(1+取值表!$D$12)*取值表!$H$12,0)</f>
        <v>46862</v>
      </c>
      <c r="AQ243" s="44">
        <f t="shared" ref="AQ243:AS243" si="3645">AP243</f>
        <v>46862</v>
      </c>
      <c r="AR243" s="44">
        <f t="shared" si="3645"/>
        <v>46862</v>
      </c>
      <c r="AS243" s="44">
        <f t="shared" si="3645"/>
        <v>46862</v>
      </c>
      <c r="AT243" s="44">
        <f>ROUND(AS243*(1+取值表!$D$12)*取值表!$H$12,0)</f>
        <v>51205</v>
      </c>
      <c r="AU243" s="44">
        <f t="shared" ref="AU243:AW243" si="3646">AT243</f>
        <v>51205</v>
      </c>
      <c r="AV243" s="44">
        <f t="shared" si="3646"/>
        <v>51205</v>
      </c>
      <c r="AW243" s="44">
        <f t="shared" si="3646"/>
        <v>51205</v>
      </c>
      <c r="AX243" s="44">
        <f>ROUND(AW243*(1+取值表!$D$12)*取值表!$H$12,0)</f>
        <v>55951</v>
      </c>
      <c r="AY243" s="44">
        <f t="shared" ref="AY243:BA243" si="3647">AX243</f>
        <v>55951</v>
      </c>
      <c r="AZ243" s="44">
        <f t="shared" si="3647"/>
        <v>55951</v>
      </c>
      <c r="BA243" s="44">
        <f t="shared" si="3647"/>
        <v>55951</v>
      </c>
      <c r="BB243" s="44">
        <f>ROUND(BA243*(1+取值表!$D$12)*取值表!$H$12,0)</f>
        <v>61137</v>
      </c>
      <c r="BC243" s="44">
        <f t="shared" ref="BC243:BE243" si="3648">BB243</f>
        <v>61137</v>
      </c>
      <c r="BD243" s="44">
        <f t="shared" si="3648"/>
        <v>61137</v>
      </c>
      <c r="BE243" s="44">
        <f t="shared" si="3648"/>
        <v>61137</v>
      </c>
      <c r="BF243" s="44">
        <f>ROUND(BE243*(1+取值表!$D$12)*取值表!$H$12,0)</f>
        <v>66803</v>
      </c>
      <c r="BG243" s="44">
        <f t="shared" ref="BG243:BI243" si="3649">BF243</f>
        <v>66803</v>
      </c>
      <c r="BH243" s="44">
        <f t="shared" si="3649"/>
        <v>66803</v>
      </c>
      <c r="BI243" s="44">
        <f t="shared" si="3649"/>
        <v>66803</v>
      </c>
      <c r="BJ243" s="44">
        <f>ROUND(BI243*(1+取值表!$D$12)*取值表!$H$12,0)</f>
        <v>72994</v>
      </c>
      <c r="BK243" s="44">
        <f t="shared" ref="BK243:BM243" si="3650">BJ243</f>
        <v>72994</v>
      </c>
      <c r="BL243" s="44">
        <f t="shared" si="3650"/>
        <v>72994</v>
      </c>
      <c r="BM243" s="44">
        <f t="shared" si="3650"/>
        <v>72994</v>
      </c>
      <c r="BN243" s="44">
        <f>ROUND(BM243*(1+取值表!$D$12)*取值表!$H$12,0)</f>
        <v>79759</v>
      </c>
      <c r="BO243" s="44">
        <f t="shared" ref="BO243:BQ243" si="3651">BN243</f>
        <v>79759</v>
      </c>
      <c r="BP243" s="44">
        <f t="shared" si="3651"/>
        <v>79759</v>
      </c>
      <c r="BQ243" s="44">
        <f t="shared" si="3651"/>
        <v>79759</v>
      </c>
      <c r="BR243" s="44">
        <f>ROUND(BQ243*(1+取值表!$D$12)*取值表!$H$12,0)</f>
        <v>87151</v>
      </c>
      <c r="BS243" s="44">
        <f t="shared" ref="BS243:BU243" si="3652">BR243</f>
        <v>87151</v>
      </c>
      <c r="BT243" s="44">
        <f t="shared" si="3652"/>
        <v>87151</v>
      </c>
      <c r="BU243" s="44">
        <f t="shared" si="3652"/>
        <v>87151</v>
      </c>
      <c r="BV243" s="44">
        <f>ROUND(BU243*(1+取值表!$D$12)*取值表!$H$12,0)</f>
        <v>95228</v>
      </c>
      <c r="BW243" s="44">
        <f t="shared" ref="BW243:BY243" si="3653">BV243</f>
        <v>95228</v>
      </c>
      <c r="BX243" s="44">
        <f t="shared" si="3653"/>
        <v>95228</v>
      </c>
      <c r="BY243" s="44">
        <f t="shared" si="3653"/>
        <v>95228</v>
      </c>
      <c r="BZ243" s="44">
        <f>ROUND(BY243*(1+取值表!$D$12)*取值表!$H$12,0)</f>
        <v>104054</v>
      </c>
      <c r="CA243" s="44">
        <f t="shared" ref="CA243:CC243" si="3654">BZ243</f>
        <v>104054</v>
      </c>
      <c r="CB243" s="44">
        <f t="shared" si="3654"/>
        <v>104054</v>
      </c>
      <c r="CC243" s="44">
        <f t="shared" si="3654"/>
        <v>104054</v>
      </c>
      <c r="CD243" s="44">
        <f>ROUND(CC243*(1+取值表!$D$12)*取值表!$H$12,0)</f>
        <v>113698</v>
      </c>
      <c r="CE243" s="44">
        <f t="shared" ref="CE243:CG243" si="3655">CD243</f>
        <v>113698</v>
      </c>
      <c r="CF243" s="44">
        <f t="shared" si="3655"/>
        <v>113698</v>
      </c>
      <c r="CG243" s="44">
        <f t="shared" si="3655"/>
        <v>113698</v>
      </c>
      <c r="CH243" s="44">
        <f>ROUND(CG243*(1+取值表!$D$12)*取值表!$H$12,0)</f>
        <v>124236</v>
      </c>
      <c r="CI243" s="44">
        <f t="shared" ref="CI243:CK243" si="3656">CH243</f>
        <v>124236</v>
      </c>
      <c r="CJ243" s="44">
        <f t="shared" si="3656"/>
        <v>124236</v>
      </c>
      <c r="CK243" s="44">
        <f t="shared" si="3656"/>
        <v>124236</v>
      </c>
      <c r="CL243" s="44">
        <f>ROUND(CK243*(1+取值表!$D$12)*取值表!$H$12,0)</f>
        <v>135751</v>
      </c>
      <c r="CM243" s="44">
        <f t="shared" ref="CM243:CO243" si="3657">CL243</f>
        <v>135751</v>
      </c>
      <c r="CN243" s="44">
        <f t="shared" si="3657"/>
        <v>135751</v>
      </c>
      <c r="CO243" s="44">
        <f t="shared" si="3657"/>
        <v>135751</v>
      </c>
      <c r="CP243" s="44">
        <f>ROUND(CO243*(1+取值表!$D$12)*取值表!$H$12,0)</f>
        <v>148333</v>
      </c>
      <c r="CQ243" s="44">
        <f t="shared" ref="CQ243" si="3658">CP243</f>
        <v>148333</v>
      </c>
      <c r="CR243" s="44">
        <f t="shared" ref="CR243" si="3659">CQ243</f>
        <v>148333</v>
      </c>
      <c r="CS243" s="44">
        <f t="shared" ref="CS243" si="3660">CR243</f>
        <v>148333</v>
      </c>
      <c r="CT243" s="44">
        <f>ROUND(CS243*(1+取值表!$D$12)*取值表!$H$12,0)</f>
        <v>162081</v>
      </c>
      <c r="CU243" s="44">
        <f t="shared" ref="CU243" si="3661">CT243</f>
        <v>162081</v>
      </c>
      <c r="CV243" s="44">
        <f t="shared" ref="CV243" si="3662">CU243</f>
        <v>162081</v>
      </c>
      <c r="CW243" s="44">
        <f t="shared" ref="CW243" si="3663">CV243</f>
        <v>162081</v>
      </c>
      <c r="CX243" s="44">
        <f>ROUND(CW243*(1+取值表!$D$12)*取值表!$H$12,0)</f>
        <v>177103</v>
      </c>
      <c r="CY243" s="44">
        <f t="shared" ref="CY243" si="3664">CX243</f>
        <v>177103</v>
      </c>
      <c r="CZ243" s="44">
        <f t="shared" ref="CZ243" si="3665">CY243</f>
        <v>177103</v>
      </c>
      <c r="DA243" s="44">
        <f t="shared" ref="DA243" si="3666">CZ243</f>
        <v>177103</v>
      </c>
      <c r="DB243" s="44">
        <f>ROUND(DA243*(1+取值表!$D$12)*取值表!$H$12,0)</f>
        <v>193517</v>
      </c>
      <c r="DC243" s="44">
        <f t="shared" ref="DC243" si="3667">DB243</f>
        <v>193517</v>
      </c>
      <c r="DD243" s="44">
        <f t="shared" ref="DD243" si="3668">DC243</f>
        <v>193517</v>
      </c>
      <c r="DE243" s="44">
        <f t="shared" ref="DE243" si="3669">DD243</f>
        <v>193517</v>
      </c>
      <c r="DF243" s="45">
        <f t="shared" si="2934"/>
        <v>8130676</v>
      </c>
    </row>
    <row r="244" spans="1:228" s="40" customFormat="1" ht="12">
      <c r="A244" s="517"/>
      <c r="B244" s="518"/>
      <c r="C244" s="450"/>
      <c r="D244" s="451"/>
      <c r="E244" s="452"/>
      <c r="F244" s="446"/>
      <c r="G244" s="446"/>
      <c r="H244" s="447"/>
      <c r="I244" s="41"/>
      <c r="J244" s="42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  <c r="AA244" s="44"/>
      <c r="AB244" s="44"/>
      <c r="AC244" s="44"/>
      <c r="AD244" s="44"/>
      <c r="AE244" s="44"/>
      <c r="AF244" s="44"/>
      <c r="AG244" s="44"/>
      <c r="AH244" s="44"/>
      <c r="AI244" s="44"/>
      <c r="AJ244" s="44"/>
      <c r="AK244" s="44"/>
      <c r="AL244" s="44"/>
      <c r="AM244" s="44"/>
      <c r="AN244" s="44"/>
      <c r="AO244" s="44"/>
      <c r="AP244" s="44"/>
      <c r="AQ244" s="44"/>
      <c r="AR244" s="44"/>
      <c r="AS244" s="44"/>
      <c r="AT244" s="44"/>
      <c r="AU244" s="44"/>
      <c r="AV244" s="44"/>
      <c r="AW244" s="44"/>
      <c r="AX244" s="44"/>
      <c r="AY244" s="44"/>
      <c r="AZ244" s="44"/>
      <c r="BA244" s="44"/>
      <c r="BB244" s="44"/>
      <c r="BC244" s="44"/>
      <c r="BD244" s="44"/>
      <c r="BE244" s="44"/>
      <c r="BF244" s="44"/>
      <c r="BG244" s="44"/>
      <c r="BH244" s="44"/>
      <c r="BI244" s="44"/>
      <c r="BJ244" s="44"/>
      <c r="BK244" s="44"/>
      <c r="BL244" s="44"/>
      <c r="BM244" s="44"/>
      <c r="BN244" s="44"/>
      <c r="BO244" s="44"/>
      <c r="BP244" s="44"/>
      <c r="BQ244" s="44"/>
      <c r="BR244" s="44"/>
      <c r="BS244" s="44"/>
      <c r="BT244" s="44"/>
      <c r="BU244" s="44"/>
      <c r="BV244" s="44"/>
      <c r="BW244" s="44"/>
      <c r="BX244" s="44"/>
      <c r="BY244" s="44"/>
      <c r="BZ244" s="44"/>
      <c r="CA244" s="44"/>
      <c r="CB244" s="44"/>
      <c r="CC244" s="44"/>
      <c r="CD244" s="44"/>
      <c r="CE244" s="44"/>
      <c r="CF244" s="44"/>
      <c r="CG244" s="44"/>
      <c r="CH244" s="44"/>
      <c r="CI244" s="44"/>
      <c r="CJ244" s="44"/>
      <c r="CK244" s="44"/>
      <c r="CL244" s="44"/>
      <c r="CM244" s="44"/>
      <c r="CN244" s="44"/>
      <c r="CO244" s="44"/>
      <c r="CP244" s="44"/>
      <c r="CQ244" s="44"/>
      <c r="CR244" s="44"/>
      <c r="CS244" s="44"/>
      <c r="CT244" s="44"/>
      <c r="CU244" s="44"/>
      <c r="CV244" s="44"/>
      <c r="CW244" s="44"/>
      <c r="CX244" s="44"/>
      <c r="CY244" s="44"/>
      <c r="CZ244" s="44"/>
      <c r="DA244" s="44"/>
      <c r="DB244" s="44"/>
      <c r="DC244" s="44"/>
      <c r="DD244" s="44"/>
      <c r="DE244" s="44"/>
      <c r="DF244" s="45">
        <f t="shared" si="2934"/>
        <v>0</v>
      </c>
    </row>
    <row r="245" spans="1:228" s="40" customFormat="1" ht="12">
      <c r="A245" s="516">
        <v>123</v>
      </c>
      <c r="B245" s="518" t="s">
        <v>241</v>
      </c>
      <c r="C245" s="450" t="s">
        <v>14</v>
      </c>
      <c r="D245" s="451" t="s">
        <v>242</v>
      </c>
      <c r="E245" s="452" t="s">
        <v>490</v>
      </c>
      <c r="F245" s="446">
        <v>211</v>
      </c>
      <c r="G245" s="446">
        <v>12</v>
      </c>
      <c r="H245" s="447">
        <f>F245*G245*365</f>
        <v>924180</v>
      </c>
      <c r="I245" s="41">
        <v>256652.49</v>
      </c>
      <c r="J245" s="42">
        <f>ROUND(G245*F245*365/4,0)</f>
        <v>231045</v>
      </c>
      <c r="K245" s="43">
        <f>J245</f>
        <v>231045</v>
      </c>
      <c r="L245" s="44">
        <f>K245</f>
        <v>231045</v>
      </c>
      <c r="M245" s="44">
        <f>L245</f>
        <v>231045</v>
      </c>
      <c r="N245" s="44">
        <f>ROUND(M245*(1+取值表!$D$12)*取值表!$H$12,0)</f>
        <v>252459</v>
      </c>
      <c r="O245" s="44">
        <f>N245</f>
        <v>252459</v>
      </c>
      <c r="P245" s="44">
        <f>O245</f>
        <v>252459</v>
      </c>
      <c r="Q245" s="44">
        <f>P245</f>
        <v>252459</v>
      </c>
      <c r="R245" s="44">
        <f>ROUND(Q245*(1+取值表!$D$12)*取值表!$H$12,0)</f>
        <v>275858</v>
      </c>
      <c r="S245" s="44">
        <f t="shared" ref="S245:U245" si="3670">R245</f>
        <v>275858</v>
      </c>
      <c r="T245" s="44">
        <f t="shared" si="3670"/>
        <v>275858</v>
      </c>
      <c r="U245" s="44">
        <f t="shared" si="3670"/>
        <v>275858</v>
      </c>
      <c r="V245" s="44">
        <f>ROUND(U245*(1+取值表!$D$12)*取值表!$H$12,0)</f>
        <v>301425</v>
      </c>
      <c r="W245" s="44">
        <f t="shared" ref="W245:Y245" si="3671">V245</f>
        <v>301425</v>
      </c>
      <c r="X245" s="44">
        <f t="shared" si="3671"/>
        <v>301425</v>
      </c>
      <c r="Y245" s="44">
        <f t="shared" si="3671"/>
        <v>301425</v>
      </c>
      <c r="Z245" s="44">
        <f>ROUND(Y245*(1+取值表!$D$12)*取值表!$H$12,0)</f>
        <v>329362</v>
      </c>
      <c r="AA245" s="44">
        <f t="shared" ref="AA245:AC245" si="3672">Z245</f>
        <v>329362</v>
      </c>
      <c r="AB245" s="44">
        <f t="shared" si="3672"/>
        <v>329362</v>
      </c>
      <c r="AC245" s="44">
        <f t="shared" si="3672"/>
        <v>329362</v>
      </c>
      <c r="AD245" s="44">
        <f>ROUND(AC245*(1+取值表!$D$12)*取值表!$H$12,0)</f>
        <v>359888</v>
      </c>
      <c r="AE245" s="44">
        <f t="shared" ref="AE245:AG245" si="3673">AD245</f>
        <v>359888</v>
      </c>
      <c r="AF245" s="44">
        <f t="shared" si="3673"/>
        <v>359888</v>
      </c>
      <c r="AG245" s="44">
        <f t="shared" si="3673"/>
        <v>359888</v>
      </c>
      <c r="AH245" s="44">
        <f>ROUND(AG245*(1+取值表!$D$12)*取值表!$H$12,0)</f>
        <v>393243</v>
      </c>
      <c r="AI245" s="44">
        <f t="shared" ref="AI245:AK245" si="3674">AH245</f>
        <v>393243</v>
      </c>
      <c r="AJ245" s="44">
        <f t="shared" si="3674"/>
        <v>393243</v>
      </c>
      <c r="AK245" s="44">
        <f t="shared" si="3674"/>
        <v>393243</v>
      </c>
      <c r="AL245" s="44">
        <f>ROUND(AK245*(1+取值表!$D$12)*取值表!$H$12,0)</f>
        <v>429690</v>
      </c>
      <c r="AM245" s="44">
        <f t="shared" ref="AM245:AO245" si="3675">AL245</f>
        <v>429690</v>
      </c>
      <c r="AN245" s="44">
        <f t="shared" si="3675"/>
        <v>429690</v>
      </c>
      <c r="AO245" s="44">
        <f t="shared" si="3675"/>
        <v>429690</v>
      </c>
      <c r="AP245" s="44">
        <f>ROUND(AO245*(1+取值表!$D$12)*取值表!$H$12,0)</f>
        <v>469515</v>
      </c>
      <c r="AQ245" s="44">
        <f t="shared" ref="AQ245:AS245" si="3676">AP245</f>
        <v>469515</v>
      </c>
      <c r="AR245" s="44">
        <f t="shared" si="3676"/>
        <v>469515</v>
      </c>
      <c r="AS245" s="44">
        <f t="shared" si="3676"/>
        <v>469515</v>
      </c>
      <c r="AT245" s="44">
        <f>ROUND(AS245*(1+取值表!$D$12)*取值表!$H$12,0)</f>
        <v>513031</v>
      </c>
      <c r="AU245" s="44">
        <f t="shared" ref="AU245:AW245" si="3677">AT245</f>
        <v>513031</v>
      </c>
      <c r="AV245" s="44">
        <f t="shared" si="3677"/>
        <v>513031</v>
      </c>
      <c r="AW245" s="44">
        <f t="shared" si="3677"/>
        <v>513031</v>
      </c>
      <c r="AX245" s="44">
        <f>ROUND(AW245*(1+取值表!$D$12)*取值表!$H$12,0)</f>
        <v>560580</v>
      </c>
      <c r="AY245" s="44">
        <f t="shared" ref="AY245:BA245" si="3678">AX245</f>
        <v>560580</v>
      </c>
      <c r="AZ245" s="44">
        <f t="shared" si="3678"/>
        <v>560580</v>
      </c>
      <c r="BA245" s="44">
        <f t="shared" si="3678"/>
        <v>560580</v>
      </c>
      <c r="BB245" s="44">
        <f>ROUND(BA245*(1+取值表!$D$12)*取值表!$H$12,0)</f>
        <v>612536</v>
      </c>
      <c r="BC245" s="44">
        <f t="shared" ref="BC245:BE245" si="3679">BB245</f>
        <v>612536</v>
      </c>
      <c r="BD245" s="44">
        <f t="shared" si="3679"/>
        <v>612536</v>
      </c>
      <c r="BE245" s="44">
        <f t="shared" si="3679"/>
        <v>612536</v>
      </c>
      <c r="BF245" s="44">
        <f>ROUND(BE245*(1+取值表!$D$12)*取值表!$H$12,0)</f>
        <v>669308</v>
      </c>
      <c r="BG245" s="44">
        <f t="shared" ref="BG245:BI245" si="3680">BF245</f>
        <v>669308</v>
      </c>
      <c r="BH245" s="44">
        <f t="shared" si="3680"/>
        <v>669308</v>
      </c>
      <c r="BI245" s="44">
        <f t="shared" si="3680"/>
        <v>669308</v>
      </c>
      <c r="BJ245" s="44">
        <f>ROUND(BI245*(1+取值表!$D$12)*取值表!$H$12,0)</f>
        <v>731341</v>
      </c>
      <c r="BK245" s="44">
        <f t="shared" ref="BK245:BM245" si="3681">BJ245</f>
        <v>731341</v>
      </c>
      <c r="BL245" s="44">
        <f t="shared" si="3681"/>
        <v>731341</v>
      </c>
      <c r="BM245" s="44">
        <f t="shared" si="3681"/>
        <v>731341</v>
      </c>
      <c r="BN245" s="44">
        <f>ROUND(BM245*(1+取值表!$D$12)*取值表!$H$12,0)</f>
        <v>799124</v>
      </c>
      <c r="BO245" s="44">
        <f t="shared" ref="BO245:BQ245" si="3682">BN245</f>
        <v>799124</v>
      </c>
      <c r="BP245" s="44">
        <f t="shared" si="3682"/>
        <v>799124</v>
      </c>
      <c r="BQ245" s="44">
        <f t="shared" si="3682"/>
        <v>799124</v>
      </c>
      <c r="BR245" s="44">
        <f>ROUND(BQ245*(1+取值表!$D$12)*取值表!$H$12,0)</f>
        <v>873189</v>
      </c>
      <c r="BS245" s="44">
        <f t="shared" ref="BS245:BU245" si="3683">BR245</f>
        <v>873189</v>
      </c>
      <c r="BT245" s="44">
        <f t="shared" si="3683"/>
        <v>873189</v>
      </c>
      <c r="BU245" s="44">
        <f t="shared" si="3683"/>
        <v>873189</v>
      </c>
      <c r="BV245" s="44">
        <f>ROUND(BU245*(1+取值表!$D$12)*取值表!$H$12,0)</f>
        <v>954119</v>
      </c>
      <c r="BW245" s="44">
        <f t="shared" ref="BW245:BY245" si="3684">BV245</f>
        <v>954119</v>
      </c>
      <c r="BX245" s="44">
        <f t="shared" si="3684"/>
        <v>954119</v>
      </c>
      <c r="BY245" s="44">
        <f t="shared" si="3684"/>
        <v>954119</v>
      </c>
      <c r="BZ245" s="44">
        <f>ROUND(BY245*(1+取值表!$D$12)*取值表!$H$12,0)</f>
        <v>1042549</v>
      </c>
      <c r="CA245" s="44">
        <f t="shared" ref="CA245:CC245" si="3685">BZ245</f>
        <v>1042549</v>
      </c>
      <c r="CB245" s="44">
        <f t="shared" si="3685"/>
        <v>1042549</v>
      </c>
      <c r="CC245" s="44">
        <f t="shared" si="3685"/>
        <v>1042549</v>
      </c>
      <c r="CD245" s="44">
        <f>ROUND(CC245*(1+取值表!$D$12)*取值表!$H$12,0)</f>
        <v>1139175</v>
      </c>
      <c r="CE245" s="44">
        <f t="shared" ref="CE245:CG245" si="3686">CD245</f>
        <v>1139175</v>
      </c>
      <c r="CF245" s="44">
        <f t="shared" si="3686"/>
        <v>1139175</v>
      </c>
      <c r="CG245" s="44">
        <f t="shared" si="3686"/>
        <v>1139175</v>
      </c>
      <c r="CH245" s="44">
        <f>ROUND(CG245*(1+取值表!$D$12)*取值表!$H$12,0)</f>
        <v>1244757</v>
      </c>
      <c r="CI245" s="44">
        <f t="shared" ref="CI245:CK245" si="3687">CH245</f>
        <v>1244757</v>
      </c>
      <c r="CJ245" s="44">
        <f t="shared" si="3687"/>
        <v>1244757</v>
      </c>
      <c r="CK245" s="44">
        <f t="shared" si="3687"/>
        <v>1244757</v>
      </c>
      <c r="CL245" s="44">
        <f>ROUND(CK245*(1+取值表!$D$12)*取值表!$H$12,0)</f>
        <v>1360125</v>
      </c>
      <c r="CM245" s="44">
        <f t="shared" ref="CM245:CO245" si="3688">CL245</f>
        <v>1360125</v>
      </c>
      <c r="CN245" s="44">
        <f t="shared" si="3688"/>
        <v>1360125</v>
      </c>
      <c r="CO245" s="44">
        <f t="shared" si="3688"/>
        <v>1360125</v>
      </c>
      <c r="CP245" s="44">
        <f>ROUND(CO245*(1+取值表!$D$12)*取值表!$H$12,0)</f>
        <v>1486185</v>
      </c>
      <c r="CQ245" s="44">
        <f t="shared" ref="CQ245" si="3689">CP245</f>
        <v>1486185</v>
      </c>
      <c r="CR245" s="44">
        <f t="shared" ref="CR245" si="3690">CQ245</f>
        <v>1486185</v>
      </c>
      <c r="CS245" s="44">
        <f t="shared" ref="CS245" si="3691">CR245</f>
        <v>1486185</v>
      </c>
      <c r="CT245" s="44">
        <f>ROUND(CS245*(1+取值表!$D$12)*取值表!$H$12,0)</f>
        <v>1623929</v>
      </c>
      <c r="CU245" s="44">
        <f t="shared" ref="CU245" si="3692">CT245</f>
        <v>1623929</v>
      </c>
      <c r="CV245" s="44">
        <f t="shared" ref="CV245" si="3693">CU245</f>
        <v>1623929</v>
      </c>
      <c r="CW245" s="44">
        <f t="shared" ref="CW245" si="3694">CV245</f>
        <v>1623929</v>
      </c>
      <c r="CX245" s="44">
        <f>ROUND(CW245*(1+取值表!$D$12)*取值表!$H$12,0)</f>
        <v>1774439</v>
      </c>
      <c r="CY245" s="44">
        <f t="shared" ref="CY245" si="3695">CX245</f>
        <v>1774439</v>
      </c>
      <c r="CZ245" s="44">
        <f t="shared" ref="CZ245" si="3696">CY245</f>
        <v>1774439</v>
      </c>
      <c r="DA245" s="44">
        <f t="shared" ref="DA245" si="3697">CZ245</f>
        <v>1774439</v>
      </c>
      <c r="DB245" s="44">
        <f>ROUND(DA245*(1+取值表!$D$12)*取值表!$H$12,0)</f>
        <v>1938899</v>
      </c>
      <c r="DC245" s="44">
        <f t="shared" ref="DC245" si="3698">DB245</f>
        <v>1938899</v>
      </c>
      <c r="DD245" s="44">
        <f t="shared" ref="DD245" si="3699">DC245</f>
        <v>1938899</v>
      </c>
      <c r="DE245" s="44">
        <f t="shared" ref="DE245" si="3700">DD245</f>
        <v>1938899</v>
      </c>
      <c r="DF245" s="45">
        <f t="shared" si="2934"/>
        <v>81463084</v>
      </c>
    </row>
    <row r="246" spans="1:228" s="40" customFormat="1" ht="12">
      <c r="A246" s="517"/>
      <c r="B246" s="518"/>
      <c r="C246" s="450"/>
      <c r="D246" s="451"/>
      <c r="E246" s="452"/>
      <c r="F246" s="446"/>
      <c r="G246" s="446"/>
      <c r="H246" s="447"/>
      <c r="I246" s="41"/>
      <c r="J246" s="42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  <c r="AA246" s="44"/>
      <c r="AB246" s="44"/>
      <c r="AC246" s="44"/>
      <c r="AD246" s="44"/>
      <c r="AE246" s="44"/>
      <c r="AF246" s="44"/>
      <c r="AG246" s="44"/>
      <c r="AH246" s="44"/>
      <c r="AI246" s="44"/>
      <c r="AJ246" s="44"/>
      <c r="AK246" s="44"/>
      <c r="AL246" s="44"/>
      <c r="AM246" s="44"/>
      <c r="AN246" s="44"/>
      <c r="AO246" s="44"/>
      <c r="AP246" s="44"/>
      <c r="AQ246" s="44"/>
      <c r="AR246" s="44"/>
      <c r="AS246" s="44"/>
      <c r="AT246" s="44"/>
      <c r="AU246" s="44"/>
      <c r="AV246" s="44"/>
      <c r="AW246" s="44"/>
      <c r="AX246" s="44"/>
      <c r="AY246" s="44"/>
      <c r="AZ246" s="44"/>
      <c r="BA246" s="44"/>
      <c r="BB246" s="44"/>
      <c r="BC246" s="44"/>
      <c r="BD246" s="44"/>
      <c r="BE246" s="44"/>
      <c r="BF246" s="44"/>
      <c r="BG246" s="44"/>
      <c r="BH246" s="44"/>
      <c r="BI246" s="44"/>
      <c r="BJ246" s="44"/>
      <c r="BK246" s="44"/>
      <c r="BL246" s="44"/>
      <c r="BM246" s="44"/>
      <c r="BN246" s="44"/>
      <c r="BO246" s="44"/>
      <c r="BP246" s="44"/>
      <c r="BQ246" s="44"/>
      <c r="BR246" s="44"/>
      <c r="BS246" s="44"/>
      <c r="BT246" s="44"/>
      <c r="BU246" s="44"/>
      <c r="BV246" s="44"/>
      <c r="BW246" s="44"/>
      <c r="BX246" s="44"/>
      <c r="BY246" s="44"/>
      <c r="BZ246" s="44"/>
      <c r="CA246" s="44"/>
      <c r="CB246" s="44"/>
      <c r="CC246" s="44"/>
      <c r="CD246" s="44"/>
      <c r="CE246" s="44"/>
      <c r="CF246" s="44"/>
      <c r="CG246" s="44"/>
      <c r="CH246" s="44"/>
      <c r="CI246" s="44"/>
      <c r="CJ246" s="44"/>
      <c r="CK246" s="44"/>
      <c r="CL246" s="44"/>
      <c r="CM246" s="44"/>
      <c r="CN246" s="44"/>
      <c r="CO246" s="44"/>
      <c r="CP246" s="44"/>
      <c r="CQ246" s="44"/>
      <c r="CR246" s="44"/>
      <c r="CS246" s="44"/>
      <c r="CT246" s="44"/>
      <c r="CU246" s="44"/>
      <c r="CV246" s="44"/>
      <c r="CW246" s="44"/>
      <c r="CX246" s="44"/>
      <c r="CY246" s="44"/>
      <c r="CZ246" s="44"/>
      <c r="DA246" s="44"/>
      <c r="DB246" s="44"/>
      <c r="DC246" s="44"/>
      <c r="DD246" s="44"/>
      <c r="DE246" s="44"/>
      <c r="DF246" s="45">
        <f t="shared" si="2934"/>
        <v>0</v>
      </c>
    </row>
    <row r="247" spans="1:228" s="40" customFormat="1" ht="12">
      <c r="A247" s="516">
        <v>124</v>
      </c>
      <c r="B247" s="518" t="s">
        <v>243</v>
      </c>
      <c r="C247" s="450" t="s">
        <v>244</v>
      </c>
      <c r="D247" s="451" t="s">
        <v>507</v>
      </c>
      <c r="E247" s="452" t="s">
        <v>490</v>
      </c>
      <c r="F247" s="446">
        <v>23.76</v>
      </c>
      <c r="G247" s="446">
        <v>22</v>
      </c>
      <c r="H247" s="447">
        <f>F247*G247*365</f>
        <v>190792.80000000002</v>
      </c>
      <c r="I247" s="41">
        <v>47698.2</v>
      </c>
      <c r="J247" s="42">
        <f>ROUND(G247*F247*365/4,0)</f>
        <v>47698</v>
      </c>
      <c r="K247" s="43">
        <f>J247</f>
        <v>47698</v>
      </c>
      <c r="L247" s="44">
        <f>K247</f>
        <v>47698</v>
      </c>
      <c r="M247" s="44">
        <f>L247</f>
        <v>47698</v>
      </c>
      <c r="N247" s="44">
        <f>ROUND(M247*(1+取值表!$D$12)*取值表!$H$12,0)</f>
        <v>52119</v>
      </c>
      <c r="O247" s="44">
        <f>N247</f>
        <v>52119</v>
      </c>
      <c r="P247" s="44">
        <f>O247</f>
        <v>52119</v>
      </c>
      <c r="Q247" s="44">
        <f>P247</f>
        <v>52119</v>
      </c>
      <c r="R247" s="44">
        <f>ROUND(Q247*(1+取值表!$D$12)*取值表!$H$12,0)</f>
        <v>56950</v>
      </c>
      <c r="S247" s="44">
        <f t="shared" ref="S247:U247" si="3701">R247</f>
        <v>56950</v>
      </c>
      <c r="T247" s="44">
        <f t="shared" si="3701"/>
        <v>56950</v>
      </c>
      <c r="U247" s="44">
        <f t="shared" si="3701"/>
        <v>56950</v>
      </c>
      <c r="V247" s="44">
        <f>ROUND(U247*(1+取值表!$D$12)*取值表!$H$12,0)</f>
        <v>62228</v>
      </c>
      <c r="W247" s="44">
        <f t="shared" ref="W247:Y247" si="3702">V247</f>
        <v>62228</v>
      </c>
      <c r="X247" s="44">
        <f t="shared" si="3702"/>
        <v>62228</v>
      </c>
      <c r="Y247" s="44">
        <f t="shared" si="3702"/>
        <v>62228</v>
      </c>
      <c r="Z247" s="44">
        <f>ROUND(Y247*(1+取值表!$D$12)*取值表!$H$12,0)</f>
        <v>67995</v>
      </c>
      <c r="AA247" s="44">
        <f t="shared" ref="AA247:AC247" si="3703">Z247</f>
        <v>67995</v>
      </c>
      <c r="AB247" s="44">
        <f t="shared" si="3703"/>
        <v>67995</v>
      </c>
      <c r="AC247" s="44">
        <f t="shared" si="3703"/>
        <v>67995</v>
      </c>
      <c r="AD247" s="44">
        <f>ROUND(AC247*(1+取值表!$D$12)*取值表!$H$12,0)</f>
        <v>74297</v>
      </c>
      <c r="AE247" s="44">
        <f t="shared" ref="AE247:AG247" si="3704">AD247</f>
        <v>74297</v>
      </c>
      <c r="AF247" s="44">
        <f t="shared" si="3704"/>
        <v>74297</v>
      </c>
      <c r="AG247" s="44">
        <f t="shared" si="3704"/>
        <v>74297</v>
      </c>
      <c r="AH247" s="44">
        <f>ROUND(AG247*(1+取值表!$D$12)*取值表!$H$12,0)</f>
        <v>81183</v>
      </c>
      <c r="AI247" s="44">
        <f t="shared" ref="AI247:AK247" si="3705">AH247</f>
        <v>81183</v>
      </c>
      <c r="AJ247" s="44">
        <f t="shared" si="3705"/>
        <v>81183</v>
      </c>
      <c r="AK247" s="44">
        <f t="shared" si="3705"/>
        <v>81183</v>
      </c>
      <c r="AL247" s="44">
        <f>ROUND(AK247*(1+取值表!$D$12)*取值表!$H$12,0)</f>
        <v>88707</v>
      </c>
      <c r="AM247" s="44">
        <f t="shared" ref="AM247:AO247" si="3706">AL247</f>
        <v>88707</v>
      </c>
      <c r="AN247" s="44">
        <f t="shared" si="3706"/>
        <v>88707</v>
      </c>
      <c r="AO247" s="44">
        <f t="shared" si="3706"/>
        <v>88707</v>
      </c>
      <c r="AP247" s="44">
        <f>ROUND(AO247*(1+取值表!$D$12)*取值表!$H$12,0)</f>
        <v>96929</v>
      </c>
      <c r="AQ247" s="44">
        <f t="shared" ref="AQ247:AS247" si="3707">AP247</f>
        <v>96929</v>
      </c>
      <c r="AR247" s="44">
        <f t="shared" si="3707"/>
        <v>96929</v>
      </c>
      <c r="AS247" s="44">
        <f t="shared" si="3707"/>
        <v>96929</v>
      </c>
      <c r="AT247" s="44">
        <f>ROUND(AS247*(1+取值表!$D$12)*取值表!$H$12,0)</f>
        <v>105913</v>
      </c>
      <c r="AU247" s="44">
        <f t="shared" ref="AU247:AW247" si="3708">AT247</f>
        <v>105913</v>
      </c>
      <c r="AV247" s="44">
        <f t="shared" si="3708"/>
        <v>105913</v>
      </c>
      <c r="AW247" s="44">
        <f t="shared" si="3708"/>
        <v>105913</v>
      </c>
      <c r="AX247" s="44">
        <f>ROUND(AW247*(1+取值表!$D$12)*取值表!$H$12,0)</f>
        <v>115729</v>
      </c>
      <c r="AY247" s="44">
        <f t="shared" ref="AY247:BA247" si="3709">AX247</f>
        <v>115729</v>
      </c>
      <c r="AZ247" s="44">
        <f t="shared" si="3709"/>
        <v>115729</v>
      </c>
      <c r="BA247" s="44">
        <f t="shared" si="3709"/>
        <v>115729</v>
      </c>
      <c r="BB247" s="44">
        <f>ROUND(BA247*(1+取值表!$D$12)*取值表!$H$12,0)</f>
        <v>126455</v>
      </c>
      <c r="BC247" s="44">
        <f t="shared" ref="BC247:BE247" si="3710">BB247</f>
        <v>126455</v>
      </c>
      <c r="BD247" s="44">
        <f t="shared" si="3710"/>
        <v>126455</v>
      </c>
      <c r="BE247" s="44">
        <f t="shared" si="3710"/>
        <v>126455</v>
      </c>
      <c r="BF247" s="44">
        <f>ROUND(BE247*(1+取值表!$D$12)*取值表!$H$12,0)</f>
        <v>138175</v>
      </c>
      <c r="BG247" s="44">
        <f t="shared" ref="BG247:BI247" si="3711">BF247</f>
        <v>138175</v>
      </c>
      <c r="BH247" s="44">
        <f t="shared" si="3711"/>
        <v>138175</v>
      </c>
      <c r="BI247" s="44">
        <f t="shared" si="3711"/>
        <v>138175</v>
      </c>
      <c r="BJ247" s="44">
        <f>ROUND(BI247*(1+取值表!$D$12)*取值表!$H$12,0)</f>
        <v>150981</v>
      </c>
      <c r="BK247" s="44">
        <f t="shared" ref="BK247:BM247" si="3712">BJ247</f>
        <v>150981</v>
      </c>
      <c r="BL247" s="44">
        <f t="shared" si="3712"/>
        <v>150981</v>
      </c>
      <c r="BM247" s="44">
        <f t="shared" si="3712"/>
        <v>150981</v>
      </c>
      <c r="BN247" s="44">
        <f>ROUND(BM247*(1+取值表!$D$12)*取值表!$H$12,0)</f>
        <v>164974</v>
      </c>
      <c r="BO247" s="44">
        <f t="shared" ref="BO247:BQ247" si="3713">BN247</f>
        <v>164974</v>
      </c>
      <c r="BP247" s="44">
        <f t="shared" si="3713"/>
        <v>164974</v>
      </c>
      <c r="BQ247" s="44">
        <f t="shared" si="3713"/>
        <v>164974</v>
      </c>
      <c r="BR247" s="44">
        <f>ROUND(BQ247*(1+取值表!$D$12)*取值表!$H$12,0)</f>
        <v>180264</v>
      </c>
      <c r="BS247" s="44">
        <f t="shared" ref="BS247:BU247" si="3714">BR247</f>
        <v>180264</v>
      </c>
      <c r="BT247" s="44">
        <f t="shared" si="3714"/>
        <v>180264</v>
      </c>
      <c r="BU247" s="44">
        <f t="shared" si="3714"/>
        <v>180264</v>
      </c>
      <c r="BV247" s="44">
        <f>ROUND(BU247*(1+取值表!$D$12)*取值表!$H$12,0)</f>
        <v>196971</v>
      </c>
      <c r="BW247" s="44">
        <f t="shared" ref="BW247:BY247" si="3715">BV247</f>
        <v>196971</v>
      </c>
      <c r="BX247" s="44">
        <f t="shared" si="3715"/>
        <v>196971</v>
      </c>
      <c r="BY247" s="44">
        <f t="shared" si="3715"/>
        <v>196971</v>
      </c>
      <c r="BZ247" s="44">
        <f>ROUND(BY247*(1+取值表!$D$12)*取值表!$H$12,0)</f>
        <v>215227</v>
      </c>
      <c r="CA247" s="44">
        <f t="shared" ref="CA247:CC247" si="3716">BZ247</f>
        <v>215227</v>
      </c>
      <c r="CB247" s="44">
        <f t="shared" si="3716"/>
        <v>215227</v>
      </c>
      <c r="CC247" s="44">
        <f t="shared" si="3716"/>
        <v>215227</v>
      </c>
      <c r="CD247" s="44">
        <f>ROUND(CC247*(1+取值表!$D$12)*取值表!$H$12,0)</f>
        <v>235175</v>
      </c>
      <c r="CE247" s="44">
        <f t="shared" ref="CE247:CG247" si="3717">CD247</f>
        <v>235175</v>
      </c>
      <c r="CF247" s="44">
        <f t="shared" si="3717"/>
        <v>235175</v>
      </c>
      <c r="CG247" s="44">
        <f t="shared" si="3717"/>
        <v>235175</v>
      </c>
      <c r="CH247" s="44">
        <f>ROUND(CG247*(1+取值表!$D$12)*取值表!$H$12,0)</f>
        <v>256972</v>
      </c>
      <c r="CI247" s="44">
        <f t="shared" ref="CI247:CK247" si="3718">CH247</f>
        <v>256972</v>
      </c>
      <c r="CJ247" s="44">
        <f t="shared" si="3718"/>
        <v>256972</v>
      </c>
      <c r="CK247" s="44">
        <f t="shared" si="3718"/>
        <v>256972</v>
      </c>
      <c r="CL247" s="44">
        <f>ROUND(CK247*(1+取值表!$D$12)*取值表!$H$12,0)</f>
        <v>280789</v>
      </c>
      <c r="CM247" s="44">
        <f t="shared" ref="CM247:CO247" si="3719">CL247</f>
        <v>280789</v>
      </c>
      <c r="CN247" s="44">
        <f t="shared" si="3719"/>
        <v>280789</v>
      </c>
      <c r="CO247" s="44">
        <f t="shared" si="3719"/>
        <v>280789</v>
      </c>
      <c r="CP247" s="44">
        <f>ROUND(CO247*(1+取值表!$D$12)*取值表!$H$12,0)</f>
        <v>306813</v>
      </c>
      <c r="CQ247" s="44">
        <f t="shared" ref="CQ247" si="3720">CP247</f>
        <v>306813</v>
      </c>
      <c r="CR247" s="44">
        <f t="shared" ref="CR247" si="3721">CQ247</f>
        <v>306813</v>
      </c>
      <c r="CS247" s="44">
        <f t="shared" ref="CS247" si="3722">CR247</f>
        <v>306813</v>
      </c>
      <c r="CT247" s="44">
        <f>ROUND(CS247*(1+取值表!$D$12)*取值表!$H$12,0)</f>
        <v>335249</v>
      </c>
      <c r="CU247" s="44">
        <f t="shared" ref="CU247" si="3723">CT247</f>
        <v>335249</v>
      </c>
      <c r="CV247" s="44">
        <f t="shared" ref="CV247" si="3724">CU247</f>
        <v>335249</v>
      </c>
      <c r="CW247" s="44">
        <f t="shared" ref="CW247" si="3725">CV247</f>
        <v>335249</v>
      </c>
      <c r="CX247" s="44">
        <f>ROUND(CW247*(1+取值表!$D$12)*取值表!$H$12,0)</f>
        <v>366321</v>
      </c>
      <c r="CY247" s="44">
        <f t="shared" ref="CY247" si="3726">CX247</f>
        <v>366321</v>
      </c>
      <c r="CZ247" s="44">
        <f t="shared" ref="CZ247" si="3727">CY247</f>
        <v>366321</v>
      </c>
      <c r="DA247" s="44">
        <f t="shared" ref="DA247" si="3728">CZ247</f>
        <v>366321</v>
      </c>
      <c r="DB247" s="44">
        <f>ROUND(DA247*(1+取值表!$D$12)*取值表!$H$12,0)</f>
        <v>400273</v>
      </c>
      <c r="DC247" s="44">
        <f t="shared" ref="DC247" si="3729">DB247</f>
        <v>400273</v>
      </c>
      <c r="DD247" s="44">
        <f t="shared" ref="DD247" si="3730">DC247</f>
        <v>400273</v>
      </c>
      <c r="DE247" s="44">
        <f t="shared" ref="DE247" si="3731">DD247</f>
        <v>400273</v>
      </c>
      <c r="DF247" s="45">
        <f t="shared" si="2934"/>
        <v>16817548</v>
      </c>
    </row>
    <row r="248" spans="1:228" s="40" customFormat="1" ht="12">
      <c r="A248" s="517"/>
      <c r="B248" s="518"/>
      <c r="C248" s="450"/>
      <c r="D248" s="451"/>
      <c r="E248" s="452"/>
      <c r="F248" s="446"/>
      <c r="G248" s="446"/>
      <c r="H248" s="447"/>
      <c r="I248" s="41"/>
      <c r="J248" s="42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  <c r="AA248" s="44"/>
      <c r="AB248" s="44"/>
      <c r="AC248" s="44"/>
      <c r="AD248" s="44"/>
      <c r="AE248" s="44"/>
      <c r="AF248" s="44"/>
      <c r="AG248" s="44"/>
      <c r="AH248" s="44"/>
      <c r="AI248" s="44"/>
      <c r="AJ248" s="44"/>
      <c r="AK248" s="44"/>
      <c r="AL248" s="44"/>
      <c r="AM248" s="44"/>
      <c r="AN248" s="44"/>
      <c r="AO248" s="44"/>
      <c r="AP248" s="44"/>
      <c r="AQ248" s="44"/>
      <c r="AR248" s="44"/>
      <c r="AS248" s="44"/>
      <c r="AT248" s="44"/>
      <c r="AU248" s="44"/>
      <c r="AV248" s="44"/>
      <c r="AW248" s="44"/>
      <c r="AX248" s="44"/>
      <c r="AY248" s="44"/>
      <c r="AZ248" s="44"/>
      <c r="BA248" s="44"/>
      <c r="BB248" s="44"/>
      <c r="BC248" s="44"/>
      <c r="BD248" s="44"/>
      <c r="BE248" s="44"/>
      <c r="BF248" s="44"/>
      <c r="BG248" s="44"/>
      <c r="BH248" s="44"/>
      <c r="BI248" s="44"/>
      <c r="BJ248" s="44"/>
      <c r="BK248" s="44"/>
      <c r="BL248" s="44"/>
      <c r="BM248" s="44"/>
      <c r="BN248" s="44"/>
      <c r="BO248" s="44"/>
      <c r="BP248" s="44"/>
      <c r="BQ248" s="44"/>
      <c r="BR248" s="44"/>
      <c r="BS248" s="44"/>
      <c r="BT248" s="44"/>
      <c r="BU248" s="44"/>
      <c r="BV248" s="44"/>
      <c r="BW248" s="44"/>
      <c r="BX248" s="44"/>
      <c r="BY248" s="44"/>
      <c r="BZ248" s="44"/>
      <c r="CA248" s="44"/>
      <c r="CB248" s="44"/>
      <c r="CC248" s="44"/>
      <c r="CD248" s="44"/>
      <c r="CE248" s="44"/>
      <c r="CF248" s="44"/>
      <c r="CG248" s="44"/>
      <c r="CH248" s="44"/>
      <c r="CI248" s="44"/>
      <c r="CJ248" s="44"/>
      <c r="CK248" s="44"/>
      <c r="CL248" s="44"/>
      <c r="CM248" s="44"/>
      <c r="CN248" s="44"/>
      <c r="CO248" s="44"/>
      <c r="CP248" s="44"/>
      <c r="CQ248" s="44"/>
      <c r="CR248" s="44"/>
      <c r="CS248" s="44"/>
      <c r="CT248" s="44"/>
      <c r="CU248" s="44"/>
      <c r="CV248" s="44"/>
      <c r="CW248" s="44"/>
      <c r="CX248" s="44"/>
      <c r="CY248" s="44"/>
      <c r="CZ248" s="44"/>
      <c r="DA248" s="44"/>
      <c r="DB248" s="44"/>
      <c r="DC248" s="44"/>
      <c r="DD248" s="44"/>
      <c r="DE248" s="44"/>
      <c r="DF248" s="45">
        <f t="shared" si="2934"/>
        <v>0</v>
      </c>
    </row>
    <row r="249" spans="1:228" s="40" customFormat="1" ht="12">
      <c r="A249" s="516">
        <v>125</v>
      </c>
      <c r="B249" s="518" t="s">
        <v>245</v>
      </c>
      <c r="C249" s="450" t="s">
        <v>246</v>
      </c>
      <c r="D249" s="451" t="s">
        <v>402</v>
      </c>
      <c r="E249" s="452" t="s">
        <v>490</v>
      </c>
      <c r="F249" s="446">
        <v>25.92</v>
      </c>
      <c r="G249" s="446">
        <v>25</v>
      </c>
      <c r="H249" s="447">
        <f>F249*G249*365</f>
        <v>236520</v>
      </c>
      <c r="I249" s="41">
        <v>59130</v>
      </c>
      <c r="J249" s="42">
        <f>ROUND(G249*F249*365/4,0)</f>
        <v>59130</v>
      </c>
      <c r="K249" s="43">
        <f>J249</f>
        <v>59130</v>
      </c>
      <c r="L249" s="44">
        <f>K249</f>
        <v>59130</v>
      </c>
      <c r="M249" s="44">
        <f>L249</f>
        <v>59130</v>
      </c>
      <c r="N249" s="44">
        <f>ROUND(M249*(1+取值表!$D$12)*取值表!$H$12,0)</f>
        <v>64610</v>
      </c>
      <c r="O249" s="44">
        <f>N249</f>
        <v>64610</v>
      </c>
      <c r="P249" s="44">
        <f>O249</f>
        <v>64610</v>
      </c>
      <c r="Q249" s="44">
        <f>P249</f>
        <v>64610</v>
      </c>
      <c r="R249" s="44">
        <f>ROUND(Q249*(1+取值表!$D$12)*取值表!$H$12,0)</f>
        <v>70598</v>
      </c>
      <c r="S249" s="44">
        <f t="shared" ref="S249:U249" si="3732">R249</f>
        <v>70598</v>
      </c>
      <c r="T249" s="44">
        <f t="shared" si="3732"/>
        <v>70598</v>
      </c>
      <c r="U249" s="44">
        <f t="shared" si="3732"/>
        <v>70598</v>
      </c>
      <c r="V249" s="44">
        <f>ROUND(U249*(1+取值表!$D$12)*取值表!$H$12,0)</f>
        <v>77141</v>
      </c>
      <c r="W249" s="44">
        <f t="shared" ref="W249:Y249" si="3733">V249</f>
        <v>77141</v>
      </c>
      <c r="X249" s="44">
        <f t="shared" si="3733"/>
        <v>77141</v>
      </c>
      <c r="Y249" s="44">
        <f t="shared" si="3733"/>
        <v>77141</v>
      </c>
      <c r="Z249" s="44">
        <f>ROUND(Y249*(1+取值表!$D$12)*取值表!$H$12,0)</f>
        <v>84291</v>
      </c>
      <c r="AA249" s="44">
        <f t="shared" ref="AA249:AC249" si="3734">Z249</f>
        <v>84291</v>
      </c>
      <c r="AB249" s="44">
        <f t="shared" si="3734"/>
        <v>84291</v>
      </c>
      <c r="AC249" s="44">
        <f t="shared" si="3734"/>
        <v>84291</v>
      </c>
      <c r="AD249" s="44">
        <f>ROUND(AC249*(1+取值表!$D$12)*取值表!$H$12,0)</f>
        <v>92103</v>
      </c>
      <c r="AE249" s="44">
        <f t="shared" ref="AE249:AG249" si="3735">AD249</f>
        <v>92103</v>
      </c>
      <c r="AF249" s="44">
        <f t="shared" si="3735"/>
        <v>92103</v>
      </c>
      <c r="AG249" s="44">
        <f t="shared" si="3735"/>
        <v>92103</v>
      </c>
      <c r="AH249" s="44">
        <f>ROUND(AG249*(1+取值表!$D$12)*取值表!$H$12,0)</f>
        <v>100639</v>
      </c>
      <c r="AI249" s="44">
        <f t="shared" ref="AI249:AK249" si="3736">AH249</f>
        <v>100639</v>
      </c>
      <c r="AJ249" s="44">
        <f t="shared" si="3736"/>
        <v>100639</v>
      </c>
      <c r="AK249" s="44">
        <f t="shared" si="3736"/>
        <v>100639</v>
      </c>
      <c r="AL249" s="44">
        <f>ROUND(AK249*(1+取值表!$D$12)*取值表!$H$12,0)</f>
        <v>109966</v>
      </c>
      <c r="AM249" s="44">
        <f t="shared" ref="AM249:AO249" si="3737">AL249</f>
        <v>109966</v>
      </c>
      <c r="AN249" s="44">
        <f t="shared" si="3737"/>
        <v>109966</v>
      </c>
      <c r="AO249" s="44">
        <f t="shared" si="3737"/>
        <v>109966</v>
      </c>
      <c r="AP249" s="44">
        <f>ROUND(AO249*(1+取值表!$D$12)*取值表!$H$12,0)</f>
        <v>120158</v>
      </c>
      <c r="AQ249" s="44">
        <f t="shared" ref="AQ249:AS249" si="3738">AP249</f>
        <v>120158</v>
      </c>
      <c r="AR249" s="44">
        <f t="shared" si="3738"/>
        <v>120158</v>
      </c>
      <c r="AS249" s="44">
        <f t="shared" si="3738"/>
        <v>120158</v>
      </c>
      <c r="AT249" s="44">
        <f>ROUND(AS249*(1+取值表!$D$12)*取值表!$H$12,0)</f>
        <v>131295</v>
      </c>
      <c r="AU249" s="44">
        <f t="shared" ref="AU249:AW249" si="3739">AT249</f>
        <v>131295</v>
      </c>
      <c r="AV249" s="44">
        <f t="shared" si="3739"/>
        <v>131295</v>
      </c>
      <c r="AW249" s="44">
        <f t="shared" si="3739"/>
        <v>131295</v>
      </c>
      <c r="AX249" s="44">
        <f>ROUND(AW249*(1+取值表!$D$12)*取值表!$H$12,0)</f>
        <v>143464</v>
      </c>
      <c r="AY249" s="44">
        <f t="shared" ref="AY249:BA249" si="3740">AX249</f>
        <v>143464</v>
      </c>
      <c r="AZ249" s="44">
        <f t="shared" si="3740"/>
        <v>143464</v>
      </c>
      <c r="BA249" s="44">
        <f t="shared" si="3740"/>
        <v>143464</v>
      </c>
      <c r="BB249" s="44">
        <f>ROUND(BA249*(1+取值表!$D$12)*取值表!$H$12,0)</f>
        <v>156761</v>
      </c>
      <c r="BC249" s="44">
        <f t="shared" ref="BC249:BE249" si="3741">BB249</f>
        <v>156761</v>
      </c>
      <c r="BD249" s="44">
        <f t="shared" si="3741"/>
        <v>156761</v>
      </c>
      <c r="BE249" s="44">
        <f t="shared" si="3741"/>
        <v>156761</v>
      </c>
      <c r="BF249" s="44">
        <f>ROUND(BE249*(1+取值表!$D$12)*取值表!$H$12,0)</f>
        <v>171290</v>
      </c>
      <c r="BG249" s="44">
        <f t="shared" ref="BG249:BI249" si="3742">BF249</f>
        <v>171290</v>
      </c>
      <c r="BH249" s="44">
        <f t="shared" si="3742"/>
        <v>171290</v>
      </c>
      <c r="BI249" s="44">
        <f t="shared" si="3742"/>
        <v>171290</v>
      </c>
      <c r="BJ249" s="44">
        <f>ROUND(BI249*(1+取值表!$D$12)*取值表!$H$12,0)</f>
        <v>187166</v>
      </c>
      <c r="BK249" s="44">
        <f t="shared" ref="BK249:BM249" si="3743">BJ249</f>
        <v>187166</v>
      </c>
      <c r="BL249" s="44">
        <f t="shared" si="3743"/>
        <v>187166</v>
      </c>
      <c r="BM249" s="44">
        <f t="shared" si="3743"/>
        <v>187166</v>
      </c>
      <c r="BN249" s="44">
        <f>ROUND(BM249*(1+取值表!$D$12)*取值表!$H$12,0)</f>
        <v>204513</v>
      </c>
      <c r="BO249" s="44">
        <f t="shared" ref="BO249:BQ249" si="3744">BN249</f>
        <v>204513</v>
      </c>
      <c r="BP249" s="44">
        <f t="shared" si="3744"/>
        <v>204513</v>
      </c>
      <c r="BQ249" s="44">
        <f t="shared" si="3744"/>
        <v>204513</v>
      </c>
      <c r="BR249" s="44">
        <f>ROUND(BQ249*(1+取值表!$D$12)*取值表!$H$12,0)</f>
        <v>223468</v>
      </c>
      <c r="BS249" s="44">
        <f t="shared" ref="BS249:BU249" si="3745">BR249</f>
        <v>223468</v>
      </c>
      <c r="BT249" s="44">
        <f t="shared" si="3745"/>
        <v>223468</v>
      </c>
      <c r="BU249" s="44">
        <f t="shared" si="3745"/>
        <v>223468</v>
      </c>
      <c r="BV249" s="44">
        <f>ROUND(BU249*(1+取值表!$D$12)*取值表!$H$12,0)</f>
        <v>244180</v>
      </c>
      <c r="BW249" s="44">
        <f t="shared" ref="BW249:BY249" si="3746">BV249</f>
        <v>244180</v>
      </c>
      <c r="BX249" s="44">
        <f t="shared" si="3746"/>
        <v>244180</v>
      </c>
      <c r="BY249" s="44">
        <f t="shared" si="3746"/>
        <v>244180</v>
      </c>
      <c r="BZ249" s="44">
        <f>ROUND(BY249*(1+取值表!$D$12)*取值表!$H$12,0)</f>
        <v>266811</v>
      </c>
      <c r="CA249" s="44">
        <f t="shared" ref="CA249:CC249" si="3747">BZ249</f>
        <v>266811</v>
      </c>
      <c r="CB249" s="44">
        <f t="shared" si="3747"/>
        <v>266811</v>
      </c>
      <c r="CC249" s="44">
        <f t="shared" si="3747"/>
        <v>266811</v>
      </c>
      <c r="CD249" s="44">
        <f>ROUND(CC249*(1+取值表!$D$12)*取值表!$H$12,0)</f>
        <v>291540</v>
      </c>
      <c r="CE249" s="44">
        <f t="shared" ref="CE249:CG249" si="3748">CD249</f>
        <v>291540</v>
      </c>
      <c r="CF249" s="44">
        <f t="shared" si="3748"/>
        <v>291540</v>
      </c>
      <c r="CG249" s="44">
        <f t="shared" si="3748"/>
        <v>291540</v>
      </c>
      <c r="CH249" s="44">
        <f>ROUND(CG249*(1+取值表!$D$12)*取值表!$H$12,0)</f>
        <v>318561</v>
      </c>
      <c r="CI249" s="44">
        <f t="shared" ref="CI249:CK249" si="3749">CH249</f>
        <v>318561</v>
      </c>
      <c r="CJ249" s="44">
        <f t="shared" si="3749"/>
        <v>318561</v>
      </c>
      <c r="CK249" s="44">
        <f t="shared" si="3749"/>
        <v>318561</v>
      </c>
      <c r="CL249" s="44">
        <f>ROUND(CK249*(1+取值表!$D$12)*取值表!$H$12,0)</f>
        <v>348086</v>
      </c>
      <c r="CM249" s="44">
        <f t="shared" ref="CM249:CO249" si="3750">CL249</f>
        <v>348086</v>
      </c>
      <c r="CN249" s="44">
        <f t="shared" si="3750"/>
        <v>348086</v>
      </c>
      <c r="CO249" s="44">
        <f t="shared" si="3750"/>
        <v>348086</v>
      </c>
      <c r="CP249" s="44">
        <f>ROUND(CO249*(1+取值表!$D$12)*取值表!$H$12,0)</f>
        <v>380348</v>
      </c>
      <c r="CQ249" s="44">
        <f t="shared" ref="CQ249" si="3751">CP249</f>
        <v>380348</v>
      </c>
      <c r="CR249" s="44">
        <f t="shared" ref="CR249" si="3752">CQ249</f>
        <v>380348</v>
      </c>
      <c r="CS249" s="44">
        <f t="shared" ref="CS249" si="3753">CR249</f>
        <v>380348</v>
      </c>
      <c r="CT249" s="44">
        <f>ROUND(CS249*(1+取值表!$D$12)*取值表!$H$12,0)</f>
        <v>415600</v>
      </c>
      <c r="CU249" s="44">
        <f t="shared" ref="CU249" si="3754">CT249</f>
        <v>415600</v>
      </c>
      <c r="CV249" s="44">
        <f t="shared" ref="CV249" si="3755">CU249</f>
        <v>415600</v>
      </c>
      <c r="CW249" s="44">
        <f t="shared" ref="CW249" si="3756">CV249</f>
        <v>415600</v>
      </c>
      <c r="CX249" s="44">
        <f>ROUND(CW249*(1+取值表!$D$12)*取值表!$H$12,0)</f>
        <v>454119</v>
      </c>
      <c r="CY249" s="44">
        <f t="shared" ref="CY249" si="3757">CX249</f>
        <v>454119</v>
      </c>
      <c r="CZ249" s="44">
        <f t="shared" ref="CZ249" si="3758">CY249</f>
        <v>454119</v>
      </c>
      <c r="DA249" s="44">
        <f t="shared" ref="DA249" si="3759">CZ249</f>
        <v>454119</v>
      </c>
      <c r="DB249" s="44">
        <f>ROUND(DA249*(1+取值表!$D$12)*取值表!$H$12,0)</f>
        <v>496208</v>
      </c>
      <c r="DC249" s="44">
        <f t="shared" ref="DC249" si="3760">DB249</f>
        <v>496208</v>
      </c>
      <c r="DD249" s="44">
        <f t="shared" ref="DD249" si="3761">DC249</f>
        <v>496208</v>
      </c>
      <c r="DE249" s="44">
        <f t="shared" ref="DE249" si="3762">DD249</f>
        <v>496208</v>
      </c>
      <c r="DF249" s="45">
        <f t="shared" si="2934"/>
        <v>20848184</v>
      </c>
    </row>
    <row r="250" spans="1:228" s="40" customFormat="1" ht="12">
      <c r="A250" s="517"/>
      <c r="B250" s="518"/>
      <c r="C250" s="450"/>
      <c r="D250" s="451"/>
      <c r="E250" s="452"/>
      <c r="F250" s="446"/>
      <c r="G250" s="446"/>
      <c r="H250" s="447"/>
      <c r="I250" s="41"/>
      <c r="J250" s="42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  <c r="AA250" s="44"/>
      <c r="AB250" s="44"/>
      <c r="AC250" s="44"/>
      <c r="AD250" s="44"/>
      <c r="AE250" s="44"/>
      <c r="AF250" s="44"/>
      <c r="AG250" s="44"/>
      <c r="AH250" s="44"/>
      <c r="AI250" s="44"/>
      <c r="AJ250" s="44"/>
      <c r="AK250" s="44"/>
      <c r="AL250" s="44"/>
      <c r="AM250" s="44"/>
      <c r="AN250" s="44"/>
      <c r="AO250" s="44"/>
      <c r="AP250" s="44"/>
      <c r="AQ250" s="44"/>
      <c r="AR250" s="44"/>
      <c r="AS250" s="44"/>
      <c r="AT250" s="44"/>
      <c r="AU250" s="44"/>
      <c r="AV250" s="44"/>
      <c r="AW250" s="44"/>
      <c r="AX250" s="44"/>
      <c r="AY250" s="44"/>
      <c r="AZ250" s="44"/>
      <c r="BA250" s="44"/>
      <c r="BB250" s="44"/>
      <c r="BC250" s="44"/>
      <c r="BD250" s="44"/>
      <c r="BE250" s="44"/>
      <c r="BF250" s="44"/>
      <c r="BG250" s="44"/>
      <c r="BH250" s="44"/>
      <c r="BI250" s="44"/>
      <c r="BJ250" s="44"/>
      <c r="BK250" s="44"/>
      <c r="BL250" s="44"/>
      <c r="BM250" s="44"/>
      <c r="BN250" s="44"/>
      <c r="BO250" s="44"/>
      <c r="BP250" s="44"/>
      <c r="BQ250" s="44"/>
      <c r="BR250" s="44"/>
      <c r="BS250" s="44"/>
      <c r="BT250" s="44"/>
      <c r="BU250" s="44"/>
      <c r="BV250" s="44"/>
      <c r="BW250" s="44"/>
      <c r="BX250" s="44"/>
      <c r="BY250" s="44"/>
      <c r="BZ250" s="44"/>
      <c r="CA250" s="44"/>
      <c r="CB250" s="44"/>
      <c r="CC250" s="44"/>
      <c r="CD250" s="44"/>
      <c r="CE250" s="44"/>
      <c r="CF250" s="44"/>
      <c r="CG250" s="44"/>
      <c r="CH250" s="44"/>
      <c r="CI250" s="44"/>
      <c r="CJ250" s="44"/>
      <c r="CK250" s="44"/>
      <c r="CL250" s="44"/>
      <c r="CM250" s="44"/>
      <c r="CN250" s="44"/>
      <c r="CO250" s="44"/>
      <c r="CP250" s="44"/>
      <c r="CQ250" s="44"/>
      <c r="CR250" s="44"/>
      <c r="CS250" s="44"/>
      <c r="CT250" s="44"/>
      <c r="CU250" s="44"/>
      <c r="CV250" s="44"/>
      <c r="CW250" s="44"/>
      <c r="CX250" s="44"/>
      <c r="CY250" s="44"/>
      <c r="CZ250" s="44"/>
      <c r="DA250" s="44"/>
      <c r="DB250" s="44"/>
      <c r="DC250" s="44"/>
      <c r="DD250" s="44"/>
      <c r="DE250" s="44"/>
      <c r="DF250" s="45">
        <f t="shared" si="2934"/>
        <v>0</v>
      </c>
    </row>
    <row r="251" spans="1:228" ht="16.5" customHeight="1">
      <c r="A251" s="115">
        <v>126</v>
      </c>
      <c r="B251" s="3" t="s">
        <v>358</v>
      </c>
      <c r="C251" s="5" t="s">
        <v>359</v>
      </c>
      <c r="D251" s="247" t="s">
        <v>1179</v>
      </c>
      <c r="E251" s="240" t="s">
        <v>1180</v>
      </c>
      <c r="F251" s="41">
        <v>28.8</v>
      </c>
      <c r="G251" s="55">
        <v>27</v>
      </c>
      <c r="H251" s="241">
        <f>G251*F251*365</f>
        <v>283824</v>
      </c>
      <c r="I251" s="41">
        <v>70956</v>
      </c>
      <c r="J251" s="225">
        <f>ROUND(G251*F251*365/4,0)</f>
        <v>70956</v>
      </c>
      <c r="K251" s="243">
        <f t="shared" ref="K251:M252" si="3763">J251</f>
        <v>70956</v>
      </c>
      <c r="L251" s="244">
        <f t="shared" si="3763"/>
        <v>70956</v>
      </c>
      <c r="M251" s="55">
        <f t="shared" si="3763"/>
        <v>70956</v>
      </c>
      <c r="N251" s="44">
        <f>ROUND(M251*(1+取值表!$D$12)*取值表!$H$12,0)</f>
        <v>77532</v>
      </c>
      <c r="O251" s="55">
        <f t="shared" ref="O251:Q252" si="3764">N251</f>
        <v>77532</v>
      </c>
      <c r="P251" s="55">
        <f t="shared" si="3764"/>
        <v>77532</v>
      </c>
      <c r="Q251" s="55">
        <f t="shared" si="3764"/>
        <v>77532</v>
      </c>
      <c r="R251" s="44">
        <f>ROUND(Q251*(1+取值表!$D$12)*取值表!$H$12,0)</f>
        <v>84718</v>
      </c>
      <c r="S251" s="55">
        <f t="shared" ref="S251:U251" si="3765">R251</f>
        <v>84718</v>
      </c>
      <c r="T251" s="55">
        <f t="shared" si="3765"/>
        <v>84718</v>
      </c>
      <c r="U251" s="55">
        <f t="shared" si="3765"/>
        <v>84718</v>
      </c>
      <c r="V251" s="44">
        <f>ROUND(U251*(1+取值表!$D$12)*取值表!$H$12,0)</f>
        <v>92570</v>
      </c>
      <c r="W251" s="55">
        <f t="shared" ref="W251:Y251" si="3766">V251</f>
        <v>92570</v>
      </c>
      <c r="X251" s="55">
        <f t="shared" si="3766"/>
        <v>92570</v>
      </c>
      <c r="Y251" s="55">
        <f t="shared" si="3766"/>
        <v>92570</v>
      </c>
      <c r="Z251" s="44">
        <f>ROUND(Y251*(1+取值表!$D$12)*取值表!$H$12,0)</f>
        <v>101150</v>
      </c>
      <c r="AA251" s="55">
        <f t="shared" ref="AA251:AC251" si="3767">Z251</f>
        <v>101150</v>
      </c>
      <c r="AB251" s="55">
        <f t="shared" si="3767"/>
        <v>101150</v>
      </c>
      <c r="AC251" s="55">
        <f t="shared" si="3767"/>
        <v>101150</v>
      </c>
      <c r="AD251" s="44">
        <f>ROUND(AC251*(1+取值表!$D$12)*取值表!$H$12,0)</f>
        <v>110525</v>
      </c>
      <c r="AE251" s="55">
        <f t="shared" ref="AE251:AG251" si="3768">AD251</f>
        <v>110525</v>
      </c>
      <c r="AF251" s="55">
        <f t="shared" si="3768"/>
        <v>110525</v>
      </c>
      <c r="AG251" s="55">
        <f t="shared" si="3768"/>
        <v>110525</v>
      </c>
      <c r="AH251" s="44">
        <f>ROUND(AG251*(1+取值表!$D$12)*取值表!$H$12,0)</f>
        <v>120769</v>
      </c>
      <c r="AI251" s="55">
        <f t="shared" ref="AI251:AK251" si="3769">AH251</f>
        <v>120769</v>
      </c>
      <c r="AJ251" s="55">
        <f t="shared" si="3769"/>
        <v>120769</v>
      </c>
      <c r="AK251" s="55">
        <f t="shared" si="3769"/>
        <v>120769</v>
      </c>
      <c r="AL251" s="44">
        <f>ROUND(AK251*(1+取值表!$D$12)*取值表!$H$12,0)</f>
        <v>131962</v>
      </c>
      <c r="AM251" s="55">
        <f t="shared" ref="AM251:AO251" si="3770">AL251</f>
        <v>131962</v>
      </c>
      <c r="AN251" s="55">
        <f t="shared" si="3770"/>
        <v>131962</v>
      </c>
      <c r="AO251" s="55">
        <f t="shared" si="3770"/>
        <v>131962</v>
      </c>
      <c r="AP251" s="44">
        <f>ROUND(AO251*(1+取值表!$D$12)*取值表!$H$12,0)</f>
        <v>144193</v>
      </c>
      <c r="AQ251" s="55">
        <f t="shared" ref="AQ251:AS251" si="3771">AP251</f>
        <v>144193</v>
      </c>
      <c r="AR251" s="55">
        <f t="shared" si="3771"/>
        <v>144193</v>
      </c>
      <c r="AS251" s="55">
        <f t="shared" si="3771"/>
        <v>144193</v>
      </c>
      <c r="AT251" s="44">
        <f>ROUND(AS251*(1+取值表!$D$12)*取值表!$H$12,0)</f>
        <v>157557</v>
      </c>
      <c r="AU251" s="55">
        <f t="shared" ref="AU251:AW251" si="3772">AT251</f>
        <v>157557</v>
      </c>
      <c r="AV251" s="55">
        <f t="shared" si="3772"/>
        <v>157557</v>
      </c>
      <c r="AW251" s="55">
        <f t="shared" si="3772"/>
        <v>157557</v>
      </c>
      <c r="AX251" s="44">
        <f>ROUND(AW251*(1+取值表!$D$12)*取值表!$H$12,0)</f>
        <v>172160</v>
      </c>
      <c r="AY251" s="55">
        <f t="shared" ref="AY251:BA251" si="3773">AX251</f>
        <v>172160</v>
      </c>
      <c r="AZ251" s="55">
        <f t="shared" si="3773"/>
        <v>172160</v>
      </c>
      <c r="BA251" s="55">
        <f t="shared" si="3773"/>
        <v>172160</v>
      </c>
      <c r="BB251" s="44">
        <f>ROUND(BA251*(1+取值表!$D$12)*取值表!$H$12,0)</f>
        <v>188116</v>
      </c>
      <c r="BC251" s="55">
        <f t="shared" ref="BC251:BE251" si="3774">BB251</f>
        <v>188116</v>
      </c>
      <c r="BD251" s="55">
        <f t="shared" si="3774"/>
        <v>188116</v>
      </c>
      <c r="BE251" s="55">
        <f t="shared" si="3774"/>
        <v>188116</v>
      </c>
      <c r="BF251" s="44">
        <f>ROUND(BE251*(1+取值表!$D$12)*取值表!$H$12,0)</f>
        <v>205551</v>
      </c>
      <c r="BG251" s="55">
        <f t="shared" ref="BG251:BI251" si="3775">BF251</f>
        <v>205551</v>
      </c>
      <c r="BH251" s="55">
        <f t="shared" si="3775"/>
        <v>205551</v>
      </c>
      <c r="BI251" s="55">
        <f t="shared" si="3775"/>
        <v>205551</v>
      </c>
      <c r="BJ251" s="44">
        <f>ROUND(BI251*(1+取值表!$D$12)*取值表!$H$12,0)</f>
        <v>224602</v>
      </c>
      <c r="BK251" s="55">
        <f t="shared" ref="BK251:BM251" si="3776">BJ251</f>
        <v>224602</v>
      </c>
      <c r="BL251" s="55">
        <f t="shared" si="3776"/>
        <v>224602</v>
      </c>
      <c r="BM251" s="55">
        <f t="shared" si="3776"/>
        <v>224602</v>
      </c>
      <c r="BN251" s="44">
        <f>ROUND(BM251*(1+取值表!$D$12)*取值表!$H$12,0)</f>
        <v>245419</v>
      </c>
      <c r="BO251" s="55">
        <f t="shared" ref="BO251:BQ251" si="3777">BN251</f>
        <v>245419</v>
      </c>
      <c r="BP251" s="55">
        <f t="shared" si="3777"/>
        <v>245419</v>
      </c>
      <c r="BQ251" s="55">
        <f t="shared" si="3777"/>
        <v>245419</v>
      </c>
      <c r="BR251" s="44">
        <f>ROUND(BQ251*(1+取值表!$D$12)*取值表!$H$12,0)</f>
        <v>268165</v>
      </c>
      <c r="BS251" s="55">
        <f t="shared" ref="BS251:BU251" si="3778">BR251</f>
        <v>268165</v>
      </c>
      <c r="BT251" s="55">
        <f t="shared" si="3778"/>
        <v>268165</v>
      </c>
      <c r="BU251" s="55">
        <f t="shared" si="3778"/>
        <v>268165</v>
      </c>
      <c r="BV251" s="44">
        <f>ROUND(BU251*(1+取值表!$D$12)*取值表!$H$12,0)</f>
        <v>293019</v>
      </c>
      <c r="BW251" s="55">
        <f t="shared" ref="BW251:BY251" si="3779">BV251</f>
        <v>293019</v>
      </c>
      <c r="BX251" s="55">
        <f t="shared" si="3779"/>
        <v>293019</v>
      </c>
      <c r="BY251" s="55">
        <f t="shared" si="3779"/>
        <v>293019</v>
      </c>
      <c r="BZ251" s="44">
        <f>ROUND(BY251*(1+取值表!$D$12)*取值表!$H$12,0)</f>
        <v>320177</v>
      </c>
      <c r="CA251" s="55">
        <f t="shared" ref="CA251:CC251" si="3780">BZ251</f>
        <v>320177</v>
      </c>
      <c r="CB251" s="55">
        <f t="shared" si="3780"/>
        <v>320177</v>
      </c>
      <c r="CC251" s="55">
        <f t="shared" si="3780"/>
        <v>320177</v>
      </c>
      <c r="CD251" s="44">
        <f>ROUND(CC251*(1+取值表!$D$12)*取值表!$H$12,0)</f>
        <v>349852</v>
      </c>
      <c r="CE251" s="55">
        <f t="shared" ref="CE251:CG251" si="3781">CD251</f>
        <v>349852</v>
      </c>
      <c r="CF251" s="55">
        <f t="shared" si="3781"/>
        <v>349852</v>
      </c>
      <c r="CG251" s="55">
        <f t="shared" si="3781"/>
        <v>349852</v>
      </c>
      <c r="CH251" s="44">
        <f>ROUND(CG251*(1+取值表!$D$12)*取值表!$H$12,0)</f>
        <v>382277</v>
      </c>
      <c r="CI251" s="55">
        <f t="shared" ref="CI251:CK251" si="3782">CH251</f>
        <v>382277</v>
      </c>
      <c r="CJ251" s="55">
        <f t="shared" si="3782"/>
        <v>382277</v>
      </c>
      <c r="CK251" s="55">
        <f t="shared" si="3782"/>
        <v>382277</v>
      </c>
      <c r="CL251" s="44">
        <f>ROUND(CK251*(1+取值表!$D$12)*取值表!$H$12,0)</f>
        <v>417707</v>
      </c>
      <c r="CM251" s="55">
        <f t="shared" ref="CM251:CO251" si="3783">CL251</f>
        <v>417707</v>
      </c>
      <c r="CN251" s="55">
        <f t="shared" si="3783"/>
        <v>417707</v>
      </c>
      <c r="CO251" s="55">
        <f t="shared" si="3783"/>
        <v>417707</v>
      </c>
      <c r="CP251" s="44">
        <f>ROUND(CO251*(1+取值表!$D$12)*取值表!$H$12,0)</f>
        <v>456421</v>
      </c>
      <c r="CQ251" s="55">
        <f t="shared" ref="CQ251:CQ252" si="3784">CP251</f>
        <v>456421</v>
      </c>
      <c r="CR251" s="55">
        <f t="shared" ref="CR251:CR252" si="3785">CQ251</f>
        <v>456421</v>
      </c>
      <c r="CS251" s="55">
        <f t="shared" ref="CS251:CS252" si="3786">CR251</f>
        <v>456421</v>
      </c>
      <c r="CT251" s="44">
        <f>ROUND(CS251*(1+取值表!$D$12)*取值表!$H$12,0)</f>
        <v>498723</v>
      </c>
      <c r="CU251" s="55">
        <f t="shared" ref="CU251:CU252" si="3787">CT251</f>
        <v>498723</v>
      </c>
      <c r="CV251" s="55">
        <f t="shared" ref="CV251:CV252" si="3788">CU251</f>
        <v>498723</v>
      </c>
      <c r="CW251" s="55">
        <f t="shared" ref="CW251:CW252" si="3789">CV251</f>
        <v>498723</v>
      </c>
      <c r="CX251" s="44">
        <f>ROUND(CW251*(1+取值表!$D$12)*取值表!$H$12,0)</f>
        <v>544946</v>
      </c>
      <c r="CY251" s="55">
        <f t="shared" ref="CY251:CY252" si="3790">CX251</f>
        <v>544946</v>
      </c>
      <c r="CZ251" s="55">
        <f t="shared" ref="CZ251:CZ252" si="3791">CY251</f>
        <v>544946</v>
      </c>
      <c r="DA251" s="55">
        <f t="shared" ref="DA251:DA252" si="3792">CZ251</f>
        <v>544946</v>
      </c>
      <c r="DB251" s="44">
        <f>ROUND(DA251*(1+取值表!$D$12)*取值表!$H$12,0)</f>
        <v>595453</v>
      </c>
      <c r="DC251" s="55">
        <f t="shared" ref="DC251:DC252" si="3793">DB251</f>
        <v>595453</v>
      </c>
      <c r="DD251" s="55">
        <f t="shared" ref="DD251:DD252" si="3794">DC251</f>
        <v>595453</v>
      </c>
      <c r="DE251" s="55">
        <f t="shared" ref="DE251:DE252" si="3795">DD251</f>
        <v>595453</v>
      </c>
      <c r="DF251" s="45">
        <f t="shared" si="2934"/>
        <v>25018080</v>
      </c>
      <c r="DG251" s="40"/>
    </row>
    <row r="252" spans="1:228" s="52" customFormat="1" ht="12">
      <c r="A252" s="504">
        <v>127</v>
      </c>
      <c r="B252" s="506" t="s">
        <v>563</v>
      </c>
      <c r="C252" s="508" t="s">
        <v>564</v>
      </c>
      <c r="D252" s="510" t="s">
        <v>565</v>
      </c>
      <c r="E252" s="512" t="s">
        <v>490</v>
      </c>
      <c r="F252" s="500">
        <v>19.97</v>
      </c>
      <c r="G252" s="500">
        <v>22.5</v>
      </c>
      <c r="H252" s="502">
        <f>F252*G252*365</f>
        <v>164003.625</v>
      </c>
      <c r="I252" s="228">
        <v>41000.910000000003</v>
      </c>
      <c r="J252" s="43">
        <f>ROUND(G252*F252*365/4,0)</f>
        <v>41001</v>
      </c>
      <c r="K252" s="42">
        <f t="shared" si="3763"/>
        <v>41001</v>
      </c>
      <c r="L252" s="42">
        <f t="shared" si="3763"/>
        <v>41001</v>
      </c>
      <c r="M252" s="42">
        <f t="shared" si="3763"/>
        <v>41001</v>
      </c>
      <c r="N252" s="44">
        <f>ROUND(M252*(1+取值表!$D$12)*取值表!$H$12,0)</f>
        <v>44801</v>
      </c>
      <c r="O252" s="42">
        <f t="shared" si="3764"/>
        <v>44801</v>
      </c>
      <c r="P252" s="42">
        <f t="shared" si="3764"/>
        <v>44801</v>
      </c>
      <c r="Q252" s="42">
        <f t="shared" si="3764"/>
        <v>44801</v>
      </c>
      <c r="R252" s="44">
        <f>ROUND(Q252*(1+取值表!$D$12)*取值表!$H$12,0)</f>
        <v>48953</v>
      </c>
      <c r="S252" s="42">
        <f t="shared" ref="S252:U252" si="3796">R252</f>
        <v>48953</v>
      </c>
      <c r="T252" s="42">
        <f t="shared" si="3796"/>
        <v>48953</v>
      </c>
      <c r="U252" s="42">
        <f t="shared" si="3796"/>
        <v>48953</v>
      </c>
      <c r="V252" s="44">
        <f>ROUND(U252*(1+取值表!$D$12)*取值表!$H$12,0)</f>
        <v>53490</v>
      </c>
      <c r="W252" s="42">
        <f t="shared" ref="W252:Y252" si="3797">V252</f>
        <v>53490</v>
      </c>
      <c r="X252" s="42">
        <f t="shared" si="3797"/>
        <v>53490</v>
      </c>
      <c r="Y252" s="42">
        <f t="shared" si="3797"/>
        <v>53490</v>
      </c>
      <c r="Z252" s="44">
        <f>ROUND(Y252*(1+取值表!$D$12)*取值表!$H$12,0)</f>
        <v>58448</v>
      </c>
      <c r="AA252" s="42">
        <f t="shared" ref="AA252:AC252" si="3798">Z252</f>
        <v>58448</v>
      </c>
      <c r="AB252" s="42">
        <f t="shared" si="3798"/>
        <v>58448</v>
      </c>
      <c r="AC252" s="42">
        <f t="shared" si="3798"/>
        <v>58448</v>
      </c>
      <c r="AD252" s="44">
        <f>ROUND(AC252*(1+取值表!$D$12)*取值表!$H$12,0)</f>
        <v>63865</v>
      </c>
      <c r="AE252" s="42">
        <f t="shared" ref="AE252:AG252" si="3799">AD252</f>
        <v>63865</v>
      </c>
      <c r="AF252" s="42">
        <f t="shared" si="3799"/>
        <v>63865</v>
      </c>
      <c r="AG252" s="42">
        <f t="shared" si="3799"/>
        <v>63865</v>
      </c>
      <c r="AH252" s="44">
        <f>ROUND(AG252*(1+取值表!$D$12)*取值表!$H$12,0)</f>
        <v>69784</v>
      </c>
      <c r="AI252" s="42">
        <f t="shared" ref="AI252:AK252" si="3800">AH252</f>
        <v>69784</v>
      </c>
      <c r="AJ252" s="42">
        <f t="shared" si="3800"/>
        <v>69784</v>
      </c>
      <c r="AK252" s="42">
        <f t="shared" si="3800"/>
        <v>69784</v>
      </c>
      <c r="AL252" s="44">
        <f>ROUND(AK252*(1+取值表!$D$12)*取值表!$H$12,0)</f>
        <v>76252</v>
      </c>
      <c r="AM252" s="42">
        <f t="shared" ref="AM252:AO252" si="3801">AL252</f>
        <v>76252</v>
      </c>
      <c r="AN252" s="42">
        <f t="shared" si="3801"/>
        <v>76252</v>
      </c>
      <c r="AO252" s="42">
        <f t="shared" si="3801"/>
        <v>76252</v>
      </c>
      <c r="AP252" s="44">
        <f>ROUND(AO252*(1+取值表!$D$12)*取值表!$H$12,0)</f>
        <v>83319</v>
      </c>
      <c r="AQ252" s="42">
        <f t="shared" ref="AQ252:AS252" si="3802">AP252</f>
        <v>83319</v>
      </c>
      <c r="AR252" s="42">
        <f t="shared" si="3802"/>
        <v>83319</v>
      </c>
      <c r="AS252" s="42">
        <f t="shared" si="3802"/>
        <v>83319</v>
      </c>
      <c r="AT252" s="44">
        <f>ROUND(AS252*(1+取值表!$D$12)*取值表!$H$12,0)</f>
        <v>91041</v>
      </c>
      <c r="AU252" s="42">
        <f t="shared" ref="AU252:AW252" si="3803">AT252</f>
        <v>91041</v>
      </c>
      <c r="AV252" s="42">
        <f t="shared" si="3803"/>
        <v>91041</v>
      </c>
      <c r="AW252" s="42">
        <f t="shared" si="3803"/>
        <v>91041</v>
      </c>
      <c r="AX252" s="44">
        <f>ROUND(AW252*(1+取值表!$D$12)*取值表!$H$12,0)</f>
        <v>99479</v>
      </c>
      <c r="AY252" s="42">
        <f t="shared" ref="AY252:BA252" si="3804">AX252</f>
        <v>99479</v>
      </c>
      <c r="AZ252" s="42">
        <f t="shared" si="3804"/>
        <v>99479</v>
      </c>
      <c r="BA252" s="42">
        <f t="shared" si="3804"/>
        <v>99479</v>
      </c>
      <c r="BB252" s="44">
        <f>ROUND(BA252*(1+取值表!$D$12)*取值表!$H$12,0)</f>
        <v>108699</v>
      </c>
      <c r="BC252" s="42">
        <f t="shared" ref="BC252:BE252" si="3805">BB252</f>
        <v>108699</v>
      </c>
      <c r="BD252" s="42">
        <f t="shared" si="3805"/>
        <v>108699</v>
      </c>
      <c r="BE252" s="42">
        <f t="shared" si="3805"/>
        <v>108699</v>
      </c>
      <c r="BF252" s="44">
        <f>ROUND(BE252*(1+取值表!$D$12)*取值表!$H$12,0)</f>
        <v>118774</v>
      </c>
      <c r="BG252" s="42">
        <f t="shared" ref="BG252:BI252" si="3806">BF252</f>
        <v>118774</v>
      </c>
      <c r="BH252" s="42">
        <f t="shared" si="3806"/>
        <v>118774</v>
      </c>
      <c r="BI252" s="42">
        <f t="shared" si="3806"/>
        <v>118774</v>
      </c>
      <c r="BJ252" s="44">
        <f>ROUND(BI252*(1+取值表!$D$12)*取值表!$H$12,0)</f>
        <v>129782</v>
      </c>
      <c r="BK252" s="42">
        <f t="shared" ref="BK252:BM252" si="3807">BJ252</f>
        <v>129782</v>
      </c>
      <c r="BL252" s="42">
        <f t="shared" si="3807"/>
        <v>129782</v>
      </c>
      <c r="BM252" s="42">
        <f t="shared" si="3807"/>
        <v>129782</v>
      </c>
      <c r="BN252" s="44">
        <f>ROUND(BM252*(1+取值表!$D$12)*取值表!$H$12,0)</f>
        <v>141811</v>
      </c>
      <c r="BO252" s="42">
        <f t="shared" ref="BO252:BQ252" si="3808">BN252</f>
        <v>141811</v>
      </c>
      <c r="BP252" s="42">
        <f t="shared" si="3808"/>
        <v>141811</v>
      </c>
      <c r="BQ252" s="42">
        <f t="shared" si="3808"/>
        <v>141811</v>
      </c>
      <c r="BR252" s="44">
        <f>ROUND(BQ252*(1+取值表!$D$12)*取值表!$H$12,0)</f>
        <v>154954</v>
      </c>
      <c r="BS252" s="42">
        <f t="shared" ref="BS252:BU252" si="3809">BR252</f>
        <v>154954</v>
      </c>
      <c r="BT252" s="42">
        <f t="shared" si="3809"/>
        <v>154954</v>
      </c>
      <c r="BU252" s="42">
        <f t="shared" si="3809"/>
        <v>154954</v>
      </c>
      <c r="BV252" s="44">
        <f>ROUND(BU252*(1+取值表!$D$12)*取值表!$H$12,0)</f>
        <v>169316</v>
      </c>
      <c r="BW252" s="42">
        <f t="shared" ref="BW252:BY252" si="3810">BV252</f>
        <v>169316</v>
      </c>
      <c r="BX252" s="42">
        <f t="shared" si="3810"/>
        <v>169316</v>
      </c>
      <c r="BY252" s="42">
        <f t="shared" si="3810"/>
        <v>169316</v>
      </c>
      <c r="BZ252" s="44">
        <f>ROUND(BY252*(1+取值表!$D$12)*取值表!$H$12,0)</f>
        <v>185009</v>
      </c>
      <c r="CA252" s="42">
        <f t="shared" ref="CA252:CC252" si="3811">BZ252</f>
        <v>185009</v>
      </c>
      <c r="CB252" s="42">
        <f t="shared" si="3811"/>
        <v>185009</v>
      </c>
      <c r="CC252" s="42">
        <f t="shared" si="3811"/>
        <v>185009</v>
      </c>
      <c r="CD252" s="44">
        <f>ROUND(CC252*(1+取值表!$D$12)*取值表!$H$12,0)</f>
        <v>202156</v>
      </c>
      <c r="CE252" s="42">
        <f t="shared" ref="CE252:CG252" si="3812">CD252</f>
        <v>202156</v>
      </c>
      <c r="CF252" s="42">
        <f t="shared" si="3812"/>
        <v>202156</v>
      </c>
      <c r="CG252" s="42">
        <f t="shared" si="3812"/>
        <v>202156</v>
      </c>
      <c r="CH252" s="44">
        <f>ROUND(CG252*(1+取值表!$D$12)*取值表!$H$12,0)</f>
        <v>220892</v>
      </c>
      <c r="CI252" s="42">
        <f t="shared" ref="CI252:CK252" si="3813">CH252</f>
        <v>220892</v>
      </c>
      <c r="CJ252" s="42">
        <f t="shared" si="3813"/>
        <v>220892</v>
      </c>
      <c r="CK252" s="42">
        <f t="shared" si="3813"/>
        <v>220892</v>
      </c>
      <c r="CL252" s="44">
        <f>ROUND(CK252*(1+取值表!$D$12)*取值表!$H$12,0)</f>
        <v>241365</v>
      </c>
      <c r="CM252" s="42">
        <f t="shared" ref="CM252:CO252" si="3814">CL252</f>
        <v>241365</v>
      </c>
      <c r="CN252" s="42">
        <f t="shared" si="3814"/>
        <v>241365</v>
      </c>
      <c r="CO252" s="42">
        <f t="shared" si="3814"/>
        <v>241365</v>
      </c>
      <c r="CP252" s="44">
        <f>ROUND(CO252*(1+取值表!$D$12)*取值表!$H$12,0)</f>
        <v>263735</v>
      </c>
      <c r="CQ252" s="42">
        <f t="shared" si="3784"/>
        <v>263735</v>
      </c>
      <c r="CR252" s="42">
        <f t="shared" si="3785"/>
        <v>263735</v>
      </c>
      <c r="CS252" s="42">
        <f t="shared" si="3786"/>
        <v>263735</v>
      </c>
      <c r="CT252" s="44">
        <f>ROUND(CS252*(1+取值表!$D$12)*取值表!$H$12,0)</f>
        <v>288179</v>
      </c>
      <c r="CU252" s="42">
        <f t="shared" si="3787"/>
        <v>288179</v>
      </c>
      <c r="CV252" s="42">
        <f t="shared" si="3788"/>
        <v>288179</v>
      </c>
      <c r="CW252" s="42">
        <f t="shared" si="3789"/>
        <v>288179</v>
      </c>
      <c r="CX252" s="44">
        <f>ROUND(CW252*(1+取值表!$D$12)*取值表!$H$12,0)</f>
        <v>314888</v>
      </c>
      <c r="CY252" s="42">
        <f t="shared" si="3790"/>
        <v>314888</v>
      </c>
      <c r="CZ252" s="42">
        <f t="shared" si="3791"/>
        <v>314888</v>
      </c>
      <c r="DA252" s="42">
        <f t="shared" si="3792"/>
        <v>314888</v>
      </c>
      <c r="DB252" s="44">
        <f>ROUND(DA252*(1+取值表!$D$12)*取值表!$H$12,0)</f>
        <v>344073</v>
      </c>
      <c r="DC252" s="42">
        <f t="shared" si="3793"/>
        <v>344073</v>
      </c>
      <c r="DD252" s="42">
        <f t="shared" si="3794"/>
        <v>344073</v>
      </c>
      <c r="DE252" s="42">
        <f t="shared" si="3795"/>
        <v>344073</v>
      </c>
      <c r="DF252" s="45">
        <f t="shared" si="2934"/>
        <v>14456264</v>
      </c>
      <c r="DG252" s="236"/>
      <c r="DH252" s="236"/>
      <c r="DI252" s="236"/>
      <c r="DJ252" s="236"/>
      <c r="DK252" s="236"/>
      <c r="DL252" s="236"/>
      <c r="DM252" s="236"/>
      <c r="DN252" s="236"/>
      <c r="DO252" s="236"/>
      <c r="DP252" s="236"/>
      <c r="DQ252" s="236"/>
      <c r="DR252" s="236"/>
      <c r="DS252" s="236"/>
      <c r="DT252" s="236"/>
      <c r="DU252" s="236"/>
      <c r="DV252" s="236"/>
      <c r="DW252" s="236"/>
      <c r="DX252" s="236"/>
      <c r="DY252" s="236"/>
      <c r="DZ252" s="236"/>
      <c r="EA252" s="236"/>
      <c r="EB252" s="236"/>
      <c r="EC252" s="236"/>
      <c r="ED252" s="236"/>
      <c r="EE252" s="236"/>
      <c r="EF252" s="236"/>
      <c r="EG252" s="236"/>
      <c r="EH252" s="236"/>
      <c r="EI252" s="236"/>
      <c r="EJ252" s="236"/>
      <c r="EK252" s="236"/>
      <c r="EL252" s="236"/>
      <c r="EM252" s="236"/>
      <c r="EN252" s="236"/>
      <c r="EO252" s="236"/>
      <c r="EP252" s="236"/>
      <c r="EQ252" s="236"/>
      <c r="ER252" s="236"/>
      <c r="ES252" s="236"/>
      <c r="ET252" s="236"/>
      <c r="EU252" s="236"/>
      <c r="EV252" s="236"/>
      <c r="EW252" s="236"/>
      <c r="EX252" s="236"/>
      <c r="EY252" s="236"/>
      <c r="EZ252" s="236"/>
      <c r="FA252" s="236"/>
      <c r="FB252" s="236"/>
      <c r="FC252" s="236"/>
      <c r="FD252" s="236"/>
      <c r="FE252" s="236"/>
      <c r="FF252" s="236"/>
      <c r="FG252" s="236"/>
      <c r="FH252" s="236"/>
      <c r="FI252" s="236"/>
      <c r="FJ252" s="236"/>
      <c r="FK252" s="236"/>
      <c r="FL252" s="236"/>
      <c r="FM252" s="236"/>
      <c r="FN252" s="236"/>
      <c r="FO252" s="236"/>
      <c r="FP252" s="236"/>
      <c r="FQ252" s="236"/>
      <c r="FR252" s="236"/>
      <c r="FS252" s="236"/>
      <c r="FT252" s="236"/>
      <c r="FU252" s="236"/>
      <c r="FV252" s="236"/>
      <c r="FW252" s="236"/>
      <c r="FX252" s="236"/>
      <c r="FY252" s="236"/>
      <c r="FZ252" s="236"/>
      <c r="GA252" s="236"/>
      <c r="GB252" s="236"/>
      <c r="GC252" s="236"/>
      <c r="GD252" s="236"/>
      <c r="GE252" s="236"/>
      <c r="GF252" s="236"/>
      <c r="GG252" s="236"/>
      <c r="GH252" s="236"/>
      <c r="GI252" s="236"/>
      <c r="GJ252" s="236"/>
      <c r="GK252" s="236"/>
      <c r="GL252" s="236"/>
      <c r="GM252" s="236"/>
      <c r="GN252" s="236"/>
      <c r="GO252" s="236"/>
      <c r="GP252" s="236"/>
      <c r="GQ252" s="236"/>
      <c r="GR252" s="236"/>
      <c r="GS252" s="236"/>
      <c r="GT252" s="236"/>
      <c r="GU252" s="236"/>
      <c r="GV252" s="236"/>
      <c r="GW252" s="236"/>
      <c r="GX252" s="236"/>
      <c r="GY252" s="236"/>
      <c r="GZ252" s="236"/>
      <c r="HA252" s="236"/>
      <c r="HB252" s="236"/>
      <c r="HC252" s="236"/>
      <c r="HD252" s="236"/>
      <c r="HE252" s="236"/>
      <c r="HF252" s="236"/>
      <c r="HG252" s="236"/>
      <c r="HH252" s="236"/>
      <c r="HI252" s="236"/>
      <c r="HJ252" s="236"/>
      <c r="HK252" s="236"/>
      <c r="HL252" s="236"/>
      <c r="HM252" s="236"/>
      <c r="HN252" s="236"/>
      <c r="HO252" s="236"/>
      <c r="HP252" s="236"/>
      <c r="HQ252" s="48">
        <f>SUM(J252:HP252)</f>
        <v>28912528</v>
      </c>
      <c r="HR252" s="49"/>
      <c r="HS252" s="50"/>
      <c r="HT252" s="51">
        <v>293201.86800000002</v>
      </c>
    </row>
    <row r="253" spans="1:228" s="52" customFormat="1" ht="12">
      <c r="A253" s="505"/>
      <c r="B253" s="507"/>
      <c r="C253" s="509"/>
      <c r="D253" s="511"/>
      <c r="E253" s="513"/>
      <c r="F253" s="501"/>
      <c r="G253" s="501"/>
      <c r="H253" s="503"/>
      <c r="I253" s="248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  <c r="BT253" s="42"/>
      <c r="BU253" s="42"/>
      <c r="BV253" s="42"/>
      <c r="BW253" s="42"/>
      <c r="BX253" s="42"/>
      <c r="BY253" s="42"/>
      <c r="BZ253" s="42"/>
      <c r="CA253" s="42"/>
      <c r="CB253" s="42"/>
      <c r="CC253" s="42"/>
      <c r="CD253" s="42"/>
      <c r="CE253" s="42"/>
      <c r="CF253" s="42"/>
      <c r="CG253" s="42"/>
      <c r="CH253" s="42"/>
      <c r="CI253" s="42"/>
      <c r="CJ253" s="42"/>
      <c r="CK253" s="42"/>
      <c r="CL253" s="42"/>
      <c r="CM253" s="42"/>
      <c r="CN253" s="42"/>
      <c r="CO253" s="42"/>
      <c r="CP253" s="42"/>
      <c r="CQ253" s="42"/>
      <c r="CR253" s="42"/>
      <c r="CS253" s="42"/>
      <c r="CT253" s="42"/>
      <c r="CU253" s="42"/>
      <c r="CV253" s="42"/>
      <c r="CW253" s="42"/>
      <c r="CX253" s="42"/>
      <c r="CY253" s="42"/>
      <c r="CZ253" s="42"/>
      <c r="DA253" s="42"/>
      <c r="DB253" s="42"/>
      <c r="DC253" s="42"/>
      <c r="DD253" s="42"/>
      <c r="DE253" s="42"/>
      <c r="DF253" s="45">
        <f t="shared" si="2934"/>
        <v>0</v>
      </c>
      <c r="DG253" s="249"/>
      <c r="DH253" s="249"/>
      <c r="DI253" s="249"/>
      <c r="DJ253" s="249"/>
      <c r="DK253" s="249"/>
      <c r="DL253" s="249"/>
      <c r="DM253" s="249"/>
      <c r="DN253" s="249"/>
      <c r="DO253" s="249"/>
      <c r="DP253" s="249"/>
      <c r="DQ253" s="249"/>
      <c r="DR253" s="249"/>
      <c r="DS253" s="249"/>
      <c r="DT253" s="249"/>
      <c r="DU253" s="249"/>
      <c r="DV253" s="249"/>
      <c r="DW253" s="249"/>
      <c r="DX253" s="249"/>
      <c r="DY253" s="249"/>
      <c r="DZ253" s="249"/>
      <c r="EA253" s="249"/>
      <c r="EB253" s="249"/>
      <c r="EC253" s="249"/>
      <c r="ED253" s="249"/>
      <c r="EE253" s="249"/>
      <c r="EF253" s="249"/>
      <c r="EG253" s="249"/>
      <c r="EH253" s="249"/>
      <c r="EI253" s="249"/>
      <c r="EJ253" s="249"/>
      <c r="EK253" s="249"/>
      <c r="EL253" s="249"/>
      <c r="EM253" s="249"/>
      <c r="EN253" s="249"/>
      <c r="EO253" s="249"/>
      <c r="EP253" s="249"/>
      <c r="EQ253" s="249"/>
      <c r="ER253" s="249"/>
      <c r="ES253" s="249"/>
      <c r="ET253" s="249"/>
      <c r="EU253" s="249"/>
      <c r="EV253" s="249"/>
      <c r="EW253" s="249"/>
      <c r="EX253" s="249"/>
      <c r="EY253" s="249"/>
      <c r="EZ253" s="249"/>
      <c r="FA253" s="249"/>
      <c r="FB253" s="249"/>
      <c r="FC253" s="249"/>
      <c r="FD253" s="249"/>
      <c r="FE253" s="249"/>
      <c r="FF253" s="249"/>
      <c r="FG253" s="249"/>
      <c r="FH253" s="249"/>
      <c r="FI253" s="249"/>
      <c r="FJ253" s="249"/>
      <c r="FK253" s="249"/>
      <c r="FL253" s="249"/>
      <c r="FM253" s="249"/>
      <c r="FN253" s="249"/>
      <c r="FO253" s="249"/>
      <c r="FP253" s="249"/>
      <c r="FQ253" s="249"/>
      <c r="FR253" s="249"/>
      <c r="FS253" s="249"/>
      <c r="FT253" s="249"/>
      <c r="FU253" s="249"/>
      <c r="FV253" s="249"/>
      <c r="FW253" s="249"/>
      <c r="FX253" s="249"/>
      <c r="FY253" s="249"/>
      <c r="FZ253" s="249"/>
      <c r="GA253" s="249"/>
      <c r="GB253" s="249"/>
      <c r="GC253" s="249"/>
      <c r="GD253" s="249"/>
      <c r="GE253" s="249"/>
      <c r="GF253" s="249"/>
      <c r="GG253" s="249"/>
      <c r="GH253" s="249"/>
      <c r="GI253" s="249"/>
      <c r="GJ253" s="249"/>
      <c r="GK253" s="249"/>
      <c r="GL253" s="249"/>
      <c r="GM253" s="249"/>
      <c r="GN253" s="249"/>
      <c r="GO253" s="249"/>
      <c r="GP253" s="249"/>
      <c r="GQ253" s="249"/>
      <c r="GR253" s="249"/>
      <c r="GS253" s="249"/>
      <c r="GT253" s="249"/>
      <c r="GU253" s="249"/>
      <c r="GV253" s="249"/>
      <c r="GW253" s="249"/>
      <c r="GX253" s="249"/>
      <c r="GY253" s="249"/>
      <c r="GZ253" s="249"/>
      <c r="HA253" s="249"/>
      <c r="HB253" s="249"/>
      <c r="HC253" s="249"/>
      <c r="HD253" s="249"/>
      <c r="HE253" s="249"/>
      <c r="HF253" s="249"/>
      <c r="HG253" s="249"/>
      <c r="HH253" s="249"/>
      <c r="HI253" s="249"/>
      <c r="HJ253" s="249"/>
      <c r="HK253" s="249"/>
      <c r="HL253" s="249"/>
      <c r="HM253" s="249"/>
      <c r="HN253" s="249"/>
      <c r="HO253" s="249"/>
      <c r="HP253" s="249"/>
      <c r="HQ253" s="53">
        <f>SUM(J253:HP253)</f>
        <v>0</v>
      </c>
      <c r="HR253" s="49"/>
      <c r="HS253" s="50"/>
      <c r="HT253" s="51">
        <v>166493.864</v>
      </c>
    </row>
    <row r="254" spans="1:228" s="52" customFormat="1" ht="12">
      <c r="A254" s="504">
        <v>128</v>
      </c>
      <c r="B254" s="506" t="s">
        <v>566</v>
      </c>
      <c r="C254" s="508" t="s">
        <v>567</v>
      </c>
      <c r="D254" s="510" t="s">
        <v>645</v>
      </c>
      <c r="E254" s="512" t="s">
        <v>490</v>
      </c>
      <c r="F254" s="500">
        <v>17.559999999999999</v>
      </c>
      <c r="G254" s="500">
        <v>20</v>
      </c>
      <c r="H254" s="502">
        <f>F254*G254*365</f>
        <v>128188</v>
      </c>
      <c r="I254" s="228">
        <v>32047</v>
      </c>
      <c r="J254" s="43">
        <f>ROUND(G254*F254*365/4,0)</f>
        <v>32047</v>
      </c>
      <c r="K254" s="42">
        <f>J254</f>
        <v>32047</v>
      </c>
      <c r="L254" s="42">
        <f>K254</f>
        <v>32047</v>
      </c>
      <c r="M254" s="42">
        <f>L254</f>
        <v>32047</v>
      </c>
      <c r="N254" s="44">
        <f>ROUND(M254*(1+取值表!$D$12)*取值表!$H$12,0)</f>
        <v>35017</v>
      </c>
      <c r="O254" s="42">
        <f>N254</f>
        <v>35017</v>
      </c>
      <c r="P254" s="42">
        <f>O254</f>
        <v>35017</v>
      </c>
      <c r="Q254" s="42">
        <f>P254</f>
        <v>35017</v>
      </c>
      <c r="R254" s="44">
        <f>ROUND(Q254*(1+取值表!$D$12)*取值表!$H$12,0)</f>
        <v>38262</v>
      </c>
      <c r="S254" s="42">
        <f t="shared" ref="S254:U254" si="3815">R254</f>
        <v>38262</v>
      </c>
      <c r="T254" s="42">
        <f t="shared" si="3815"/>
        <v>38262</v>
      </c>
      <c r="U254" s="42">
        <f t="shared" si="3815"/>
        <v>38262</v>
      </c>
      <c r="V254" s="44">
        <f>ROUND(U254*(1+取值表!$D$12)*取值表!$H$12,0)</f>
        <v>41808</v>
      </c>
      <c r="W254" s="42">
        <f t="shared" ref="W254:Y254" si="3816">V254</f>
        <v>41808</v>
      </c>
      <c r="X254" s="42">
        <f t="shared" si="3816"/>
        <v>41808</v>
      </c>
      <c r="Y254" s="42">
        <f t="shared" si="3816"/>
        <v>41808</v>
      </c>
      <c r="Z254" s="44">
        <f>ROUND(Y254*(1+取值表!$D$12)*取值表!$H$12,0)</f>
        <v>45683</v>
      </c>
      <c r="AA254" s="42">
        <f t="shared" ref="AA254:AC254" si="3817">Z254</f>
        <v>45683</v>
      </c>
      <c r="AB254" s="42">
        <f t="shared" si="3817"/>
        <v>45683</v>
      </c>
      <c r="AC254" s="42">
        <f t="shared" si="3817"/>
        <v>45683</v>
      </c>
      <c r="AD254" s="44">
        <f>ROUND(AC254*(1+取值表!$D$12)*取值表!$H$12,0)</f>
        <v>49917</v>
      </c>
      <c r="AE254" s="42">
        <f t="shared" ref="AE254:AG254" si="3818">AD254</f>
        <v>49917</v>
      </c>
      <c r="AF254" s="42">
        <f t="shared" si="3818"/>
        <v>49917</v>
      </c>
      <c r="AG254" s="42">
        <f t="shared" si="3818"/>
        <v>49917</v>
      </c>
      <c r="AH254" s="44">
        <f>ROUND(AG254*(1+取值表!$D$12)*取值表!$H$12,0)</f>
        <v>54543</v>
      </c>
      <c r="AI254" s="42">
        <f t="shared" ref="AI254:AK254" si="3819">AH254</f>
        <v>54543</v>
      </c>
      <c r="AJ254" s="42">
        <f t="shared" si="3819"/>
        <v>54543</v>
      </c>
      <c r="AK254" s="42">
        <f t="shared" si="3819"/>
        <v>54543</v>
      </c>
      <c r="AL254" s="44">
        <f>ROUND(AK254*(1+取值表!$D$12)*取值表!$H$12,0)</f>
        <v>59598</v>
      </c>
      <c r="AM254" s="42">
        <f t="shared" ref="AM254:AO254" si="3820">AL254</f>
        <v>59598</v>
      </c>
      <c r="AN254" s="42">
        <f t="shared" si="3820"/>
        <v>59598</v>
      </c>
      <c r="AO254" s="42">
        <f t="shared" si="3820"/>
        <v>59598</v>
      </c>
      <c r="AP254" s="44">
        <f>ROUND(AO254*(1+取值表!$D$12)*取值表!$H$12,0)</f>
        <v>65122</v>
      </c>
      <c r="AQ254" s="42">
        <f t="shared" ref="AQ254:AS254" si="3821">AP254</f>
        <v>65122</v>
      </c>
      <c r="AR254" s="42">
        <f t="shared" si="3821"/>
        <v>65122</v>
      </c>
      <c r="AS254" s="42">
        <f t="shared" si="3821"/>
        <v>65122</v>
      </c>
      <c r="AT254" s="44">
        <f>ROUND(AS254*(1+取值表!$D$12)*取值表!$H$12,0)</f>
        <v>71158</v>
      </c>
      <c r="AU254" s="42">
        <f t="shared" ref="AU254:AW254" si="3822">AT254</f>
        <v>71158</v>
      </c>
      <c r="AV254" s="42">
        <f t="shared" si="3822"/>
        <v>71158</v>
      </c>
      <c r="AW254" s="42">
        <f t="shared" si="3822"/>
        <v>71158</v>
      </c>
      <c r="AX254" s="44">
        <f>ROUND(AW254*(1+取值表!$D$12)*取值表!$H$12,0)</f>
        <v>77753</v>
      </c>
      <c r="AY254" s="42">
        <f t="shared" ref="AY254:BA254" si="3823">AX254</f>
        <v>77753</v>
      </c>
      <c r="AZ254" s="42">
        <f t="shared" si="3823"/>
        <v>77753</v>
      </c>
      <c r="BA254" s="42">
        <f t="shared" si="3823"/>
        <v>77753</v>
      </c>
      <c r="BB254" s="44">
        <f>ROUND(BA254*(1+取值表!$D$12)*取值表!$H$12,0)</f>
        <v>84959</v>
      </c>
      <c r="BC254" s="42">
        <f t="shared" ref="BC254:BE254" si="3824">BB254</f>
        <v>84959</v>
      </c>
      <c r="BD254" s="42">
        <f t="shared" si="3824"/>
        <v>84959</v>
      </c>
      <c r="BE254" s="42">
        <f t="shared" si="3824"/>
        <v>84959</v>
      </c>
      <c r="BF254" s="44">
        <f>ROUND(BE254*(1+取值表!$D$12)*取值表!$H$12,0)</f>
        <v>92833</v>
      </c>
      <c r="BG254" s="42">
        <f t="shared" ref="BG254:BI254" si="3825">BF254</f>
        <v>92833</v>
      </c>
      <c r="BH254" s="42">
        <f t="shared" si="3825"/>
        <v>92833</v>
      </c>
      <c r="BI254" s="42">
        <f t="shared" si="3825"/>
        <v>92833</v>
      </c>
      <c r="BJ254" s="44">
        <f>ROUND(BI254*(1+取值表!$D$12)*取值表!$H$12,0)</f>
        <v>101437</v>
      </c>
      <c r="BK254" s="42">
        <f t="shared" ref="BK254:BM254" si="3826">BJ254</f>
        <v>101437</v>
      </c>
      <c r="BL254" s="42">
        <f t="shared" si="3826"/>
        <v>101437</v>
      </c>
      <c r="BM254" s="42">
        <f t="shared" si="3826"/>
        <v>101437</v>
      </c>
      <c r="BN254" s="44">
        <f>ROUND(BM254*(1+取值表!$D$12)*取值表!$H$12,0)</f>
        <v>110838</v>
      </c>
      <c r="BO254" s="42">
        <f t="shared" ref="BO254:BQ254" si="3827">BN254</f>
        <v>110838</v>
      </c>
      <c r="BP254" s="42">
        <f t="shared" si="3827"/>
        <v>110838</v>
      </c>
      <c r="BQ254" s="42">
        <f t="shared" si="3827"/>
        <v>110838</v>
      </c>
      <c r="BR254" s="44">
        <f>ROUND(BQ254*(1+取值表!$D$12)*取值表!$H$12,0)</f>
        <v>121111</v>
      </c>
      <c r="BS254" s="42">
        <f t="shared" ref="BS254:BU254" si="3828">BR254</f>
        <v>121111</v>
      </c>
      <c r="BT254" s="42">
        <f t="shared" si="3828"/>
        <v>121111</v>
      </c>
      <c r="BU254" s="42">
        <f t="shared" si="3828"/>
        <v>121111</v>
      </c>
      <c r="BV254" s="44">
        <f>ROUND(BU254*(1+取值表!$D$12)*取值表!$H$12,0)</f>
        <v>132336</v>
      </c>
      <c r="BW254" s="42">
        <f t="shared" ref="BW254:BY254" si="3829">BV254</f>
        <v>132336</v>
      </c>
      <c r="BX254" s="42">
        <f t="shared" si="3829"/>
        <v>132336</v>
      </c>
      <c r="BY254" s="42">
        <f t="shared" si="3829"/>
        <v>132336</v>
      </c>
      <c r="BZ254" s="44">
        <f>ROUND(BY254*(1+取值表!$D$12)*取值表!$H$12,0)</f>
        <v>144601</v>
      </c>
      <c r="CA254" s="42">
        <f t="shared" ref="CA254:CC254" si="3830">BZ254</f>
        <v>144601</v>
      </c>
      <c r="CB254" s="42">
        <f t="shared" si="3830"/>
        <v>144601</v>
      </c>
      <c r="CC254" s="42">
        <f t="shared" si="3830"/>
        <v>144601</v>
      </c>
      <c r="CD254" s="44">
        <f>ROUND(CC254*(1+取值表!$D$12)*取值表!$H$12,0)</f>
        <v>158003</v>
      </c>
      <c r="CE254" s="42">
        <f t="shared" ref="CE254:CG254" si="3831">CD254</f>
        <v>158003</v>
      </c>
      <c r="CF254" s="42">
        <f t="shared" si="3831"/>
        <v>158003</v>
      </c>
      <c r="CG254" s="42">
        <f t="shared" si="3831"/>
        <v>158003</v>
      </c>
      <c r="CH254" s="44">
        <f>ROUND(CG254*(1+取值表!$D$12)*取值表!$H$12,0)</f>
        <v>172647</v>
      </c>
      <c r="CI254" s="42">
        <f t="shared" ref="CI254:CK254" si="3832">CH254</f>
        <v>172647</v>
      </c>
      <c r="CJ254" s="42">
        <f t="shared" si="3832"/>
        <v>172647</v>
      </c>
      <c r="CK254" s="42">
        <f t="shared" si="3832"/>
        <v>172647</v>
      </c>
      <c r="CL254" s="44">
        <f>ROUND(CK254*(1+取值表!$D$12)*取值表!$H$12,0)</f>
        <v>188648</v>
      </c>
      <c r="CM254" s="42">
        <f t="shared" ref="CM254:CO254" si="3833">CL254</f>
        <v>188648</v>
      </c>
      <c r="CN254" s="42">
        <f t="shared" si="3833"/>
        <v>188648</v>
      </c>
      <c r="CO254" s="42">
        <f t="shared" si="3833"/>
        <v>188648</v>
      </c>
      <c r="CP254" s="44">
        <f>ROUND(CO254*(1+取值表!$D$12)*取值表!$H$12,0)</f>
        <v>206132</v>
      </c>
      <c r="CQ254" s="42">
        <f t="shared" ref="CQ254" si="3834">CP254</f>
        <v>206132</v>
      </c>
      <c r="CR254" s="42">
        <f t="shared" ref="CR254" si="3835">CQ254</f>
        <v>206132</v>
      </c>
      <c r="CS254" s="42">
        <f t="shared" ref="CS254" si="3836">CR254</f>
        <v>206132</v>
      </c>
      <c r="CT254" s="44">
        <f>ROUND(CS254*(1+取值表!$D$12)*取值表!$H$12,0)</f>
        <v>225237</v>
      </c>
      <c r="CU254" s="42">
        <f t="shared" ref="CU254" si="3837">CT254</f>
        <v>225237</v>
      </c>
      <c r="CV254" s="42">
        <f t="shared" ref="CV254" si="3838">CU254</f>
        <v>225237</v>
      </c>
      <c r="CW254" s="42">
        <f t="shared" ref="CW254" si="3839">CV254</f>
        <v>225237</v>
      </c>
      <c r="CX254" s="44">
        <f>ROUND(CW254*(1+取值表!$D$12)*取值表!$H$12,0)</f>
        <v>246113</v>
      </c>
      <c r="CY254" s="42">
        <f t="shared" ref="CY254" si="3840">CX254</f>
        <v>246113</v>
      </c>
      <c r="CZ254" s="42">
        <f t="shared" ref="CZ254" si="3841">CY254</f>
        <v>246113</v>
      </c>
      <c r="DA254" s="42">
        <f t="shared" ref="DA254" si="3842">CZ254</f>
        <v>246113</v>
      </c>
      <c r="DB254" s="44">
        <f>ROUND(DA254*(1+取值表!$D$12)*取值表!$H$12,0)</f>
        <v>268923</v>
      </c>
      <c r="DC254" s="42">
        <f t="shared" ref="DC254" si="3843">DB254</f>
        <v>268923</v>
      </c>
      <c r="DD254" s="42">
        <f t="shared" ref="DD254" si="3844">DC254</f>
        <v>268923</v>
      </c>
      <c r="DE254" s="42">
        <f t="shared" ref="DE254" si="3845">DD254</f>
        <v>268923</v>
      </c>
      <c r="DF254" s="45">
        <f t="shared" si="2934"/>
        <v>11298904</v>
      </c>
      <c r="DG254" s="229"/>
      <c r="DH254" s="229"/>
      <c r="DI254" s="229"/>
      <c r="DJ254" s="229"/>
      <c r="DK254" s="229"/>
      <c r="DL254" s="229"/>
      <c r="DM254" s="229"/>
      <c r="DN254" s="229"/>
      <c r="DO254" s="229"/>
      <c r="DP254" s="229"/>
      <c r="DQ254" s="229"/>
      <c r="DR254" s="229"/>
      <c r="DS254" s="229"/>
      <c r="DT254" s="229"/>
      <c r="DU254" s="229"/>
      <c r="DV254" s="229"/>
      <c r="DW254" s="229"/>
      <c r="DX254" s="229"/>
      <c r="DY254" s="229"/>
      <c r="DZ254" s="229"/>
      <c r="EA254" s="229"/>
      <c r="EB254" s="229"/>
      <c r="EC254" s="229"/>
      <c r="ED254" s="229"/>
      <c r="EE254" s="229"/>
      <c r="EF254" s="229"/>
      <c r="EG254" s="229"/>
      <c r="EH254" s="229"/>
      <c r="EI254" s="229"/>
      <c r="EJ254" s="229"/>
      <c r="EK254" s="229"/>
      <c r="EL254" s="229"/>
      <c r="EM254" s="229"/>
      <c r="EN254" s="229"/>
      <c r="EO254" s="229"/>
      <c r="EP254" s="229"/>
      <c r="EQ254" s="229"/>
      <c r="ER254" s="229"/>
      <c r="ES254" s="229"/>
      <c r="ET254" s="229"/>
      <c r="EU254" s="229"/>
      <c r="EV254" s="229"/>
      <c r="EW254" s="229"/>
      <c r="EX254" s="229"/>
      <c r="EY254" s="229"/>
      <c r="EZ254" s="229"/>
      <c r="FA254" s="229"/>
      <c r="FB254" s="229"/>
      <c r="FC254" s="229"/>
      <c r="FD254" s="229"/>
      <c r="FE254" s="229"/>
      <c r="FF254" s="229"/>
      <c r="FG254" s="229"/>
      <c r="FH254" s="229"/>
      <c r="FI254" s="229"/>
      <c r="FJ254" s="229"/>
      <c r="FK254" s="229"/>
      <c r="FL254" s="229"/>
      <c r="FM254" s="229"/>
      <c r="FN254" s="229"/>
      <c r="FO254" s="229"/>
      <c r="FP254" s="229"/>
      <c r="FQ254" s="229"/>
      <c r="FR254" s="229"/>
      <c r="FS254" s="229"/>
      <c r="FT254" s="229"/>
      <c r="FU254" s="229"/>
      <c r="FV254" s="229"/>
      <c r="FW254" s="229"/>
      <c r="FX254" s="229"/>
      <c r="FY254" s="229"/>
      <c r="FZ254" s="229"/>
      <c r="GA254" s="229"/>
      <c r="GB254" s="229"/>
      <c r="GC254" s="229"/>
      <c r="GD254" s="229"/>
      <c r="GE254" s="229"/>
      <c r="GF254" s="229"/>
      <c r="GG254" s="229"/>
      <c r="GH254" s="229"/>
      <c r="GI254" s="229"/>
      <c r="GJ254" s="229"/>
      <c r="GK254" s="229"/>
      <c r="GL254" s="229"/>
      <c r="GM254" s="229"/>
      <c r="GN254" s="229"/>
      <c r="GO254" s="229"/>
      <c r="GP254" s="229"/>
      <c r="GQ254" s="229"/>
      <c r="GR254" s="229"/>
      <c r="GS254" s="229"/>
      <c r="GT254" s="229"/>
      <c r="GU254" s="229"/>
      <c r="GV254" s="229"/>
      <c r="GW254" s="229"/>
      <c r="GX254" s="229"/>
      <c r="GY254" s="229"/>
      <c r="GZ254" s="229"/>
      <c r="HA254" s="229"/>
      <c r="HB254" s="229"/>
      <c r="HC254" s="229"/>
      <c r="HD254" s="229"/>
      <c r="HE254" s="229"/>
      <c r="HF254" s="229"/>
      <c r="HG254" s="229"/>
      <c r="HH254" s="229"/>
      <c r="HI254" s="229"/>
      <c r="HJ254" s="229"/>
      <c r="HK254" s="229"/>
      <c r="HL254" s="229"/>
      <c r="HM254" s="229"/>
      <c r="HN254" s="229"/>
      <c r="HO254" s="229"/>
      <c r="HP254" s="229"/>
      <c r="HQ254" s="48">
        <f>SUM(J254:HP254)</f>
        <v>22597808</v>
      </c>
      <c r="HR254" s="49"/>
      <c r="HS254" s="50"/>
      <c r="HT254" s="51">
        <v>419997.07500000001</v>
      </c>
    </row>
    <row r="255" spans="1:228" s="52" customFormat="1" ht="12">
      <c r="A255" s="505"/>
      <c r="B255" s="507"/>
      <c r="C255" s="509"/>
      <c r="D255" s="511"/>
      <c r="E255" s="513"/>
      <c r="F255" s="501"/>
      <c r="G255" s="501"/>
      <c r="H255" s="503"/>
      <c r="I255" s="233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5">
        <f t="shared" si="2934"/>
        <v>0</v>
      </c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7"/>
      <c r="DX255" s="47"/>
      <c r="DY255" s="47"/>
      <c r="DZ255" s="47"/>
      <c r="EA255" s="47"/>
      <c r="EB255" s="47"/>
      <c r="EC255" s="47"/>
      <c r="ED255" s="47"/>
      <c r="EE255" s="47"/>
      <c r="EF255" s="47"/>
      <c r="EG255" s="47"/>
      <c r="EH255" s="47"/>
      <c r="EI255" s="47"/>
      <c r="EJ255" s="47"/>
      <c r="EK255" s="47"/>
      <c r="EL255" s="47"/>
      <c r="EM255" s="47"/>
      <c r="EN255" s="47"/>
      <c r="EO255" s="47"/>
      <c r="EP255" s="47"/>
      <c r="EQ255" s="47"/>
      <c r="ER255" s="47"/>
      <c r="ES255" s="47"/>
      <c r="ET255" s="47"/>
      <c r="EU255" s="47"/>
      <c r="EV255" s="47"/>
      <c r="EW255" s="47"/>
      <c r="EX255" s="47"/>
      <c r="EY255" s="47"/>
      <c r="EZ255" s="47"/>
      <c r="FA255" s="47"/>
      <c r="FB255" s="47"/>
      <c r="FC255" s="47"/>
      <c r="FD255" s="47"/>
      <c r="FE255" s="47"/>
      <c r="FF255" s="47"/>
      <c r="FG255" s="47"/>
      <c r="FH255" s="47"/>
      <c r="FI255" s="47"/>
      <c r="FJ255" s="47"/>
      <c r="FK255" s="47"/>
      <c r="FL255" s="47"/>
      <c r="FM255" s="47"/>
      <c r="FN255" s="47"/>
      <c r="FO255" s="47"/>
      <c r="FP255" s="47"/>
      <c r="FQ255" s="47"/>
      <c r="FR255" s="47"/>
      <c r="FS255" s="47"/>
      <c r="FT255" s="47"/>
      <c r="FU255" s="47"/>
      <c r="FV255" s="47"/>
      <c r="FW255" s="47"/>
      <c r="FX255" s="47"/>
      <c r="FY255" s="47"/>
      <c r="FZ255" s="47"/>
      <c r="GA255" s="47"/>
      <c r="GB255" s="47"/>
      <c r="GC255" s="47"/>
      <c r="GD255" s="47"/>
      <c r="GE255" s="47"/>
      <c r="GF255" s="47"/>
      <c r="GG255" s="47"/>
      <c r="GH255" s="47"/>
      <c r="GI255" s="47"/>
      <c r="GJ255" s="47"/>
      <c r="GK255" s="47"/>
      <c r="GL255" s="47"/>
      <c r="GM255" s="47"/>
      <c r="GN255" s="47"/>
      <c r="GO255" s="47"/>
      <c r="GP255" s="47"/>
      <c r="GQ255" s="47"/>
      <c r="GR255" s="47"/>
      <c r="GS255" s="47"/>
      <c r="GT255" s="47"/>
      <c r="GU255" s="47"/>
      <c r="GV255" s="47"/>
      <c r="GW255" s="47"/>
      <c r="GX255" s="47"/>
      <c r="GY255" s="47"/>
      <c r="GZ255" s="47"/>
      <c r="HA255" s="47"/>
      <c r="HB255" s="47"/>
      <c r="HC255" s="47"/>
      <c r="HD255" s="47"/>
      <c r="HE255" s="47"/>
      <c r="HF255" s="47"/>
      <c r="HG255" s="47"/>
      <c r="HH255" s="47"/>
      <c r="HI255" s="47"/>
      <c r="HJ255" s="47"/>
      <c r="HK255" s="47"/>
      <c r="HL255" s="47"/>
      <c r="HM255" s="47"/>
      <c r="HN255" s="47"/>
      <c r="HO255" s="47"/>
      <c r="HP255" s="47"/>
      <c r="HQ255" s="53">
        <f>SUM(J255:HP255)</f>
        <v>0</v>
      </c>
      <c r="HR255" s="49"/>
      <c r="HS255" s="50"/>
      <c r="HT255" s="51">
        <v>343692</v>
      </c>
    </row>
    <row r="256" spans="1:228" s="52" customFormat="1" ht="15" customHeight="1">
      <c r="A256" s="115">
        <v>129</v>
      </c>
      <c r="B256" s="3" t="s">
        <v>1166</v>
      </c>
      <c r="C256" s="3" t="s">
        <v>1169</v>
      </c>
      <c r="D256" s="250" t="s">
        <v>341</v>
      </c>
      <c r="E256" s="251" t="s">
        <v>490</v>
      </c>
      <c r="F256" s="252">
        <f>H256/G256/365</f>
        <v>15.790005479452054</v>
      </c>
      <c r="G256" s="253">
        <v>30</v>
      </c>
      <c r="H256" s="241">
        <f>14408.38*12</f>
        <v>172900.56</v>
      </c>
      <c r="I256" s="219">
        <v>43225.13</v>
      </c>
      <c r="J256" s="42">
        <f>ROUND(14408.38*3,0)</f>
        <v>43225</v>
      </c>
      <c r="K256" s="42">
        <f t="shared" ref="K256:M257" si="3846">J256</f>
        <v>43225</v>
      </c>
      <c r="L256" s="43">
        <f t="shared" si="3846"/>
        <v>43225</v>
      </c>
      <c r="M256" s="42">
        <f t="shared" si="3846"/>
        <v>43225</v>
      </c>
      <c r="N256" s="44">
        <f>ROUND(M256*(1+取值表!$D$12)*取值表!$H$12,0)</f>
        <v>47231</v>
      </c>
      <c r="O256" s="42">
        <f t="shared" ref="O256:Q257" si="3847">N256</f>
        <v>47231</v>
      </c>
      <c r="P256" s="42">
        <f t="shared" si="3847"/>
        <v>47231</v>
      </c>
      <c r="Q256" s="42">
        <f t="shared" si="3847"/>
        <v>47231</v>
      </c>
      <c r="R256" s="44">
        <f>ROUND(Q256*(1+取值表!$D$12)*取值表!$H$12,0)</f>
        <v>51608</v>
      </c>
      <c r="S256" s="42">
        <f t="shared" ref="S256:U256" si="3848">R256</f>
        <v>51608</v>
      </c>
      <c r="T256" s="42">
        <f t="shared" si="3848"/>
        <v>51608</v>
      </c>
      <c r="U256" s="42">
        <f t="shared" si="3848"/>
        <v>51608</v>
      </c>
      <c r="V256" s="44">
        <f>ROUND(U256*(1+取值表!$D$12)*取值表!$H$12,0)</f>
        <v>56391</v>
      </c>
      <c r="W256" s="42">
        <f t="shared" ref="W256:Y256" si="3849">V256</f>
        <v>56391</v>
      </c>
      <c r="X256" s="42">
        <f t="shared" si="3849"/>
        <v>56391</v>
      </c>
      <c r="Y256" s="42">
        <f t="shared" si="3849"/>
        <v>56391</v>
      </c>
      <c r="Z256" s="44">
        <f>ROUND(Y256*(1+取值表!$D$12)*取值表!$H$12,0)</f>
        <v>61617</v>
      </c>
      <c r="AA256" s="42">
        <f t="shared" ref="AA256:AC256" si="3850">Z256</f>
        <v>61617</v>
      </c>
      <c r="AB256" s="42">
        <f t="shared" si="3850"/>
        <v>61617</v>
      </c>
      <c r="AC256" s="42">
        <f t="shared" si="3850"/>
        <v>61617</v>
      </c>
      <c r="AD256" s="44">
        <f>ROUND(AC256*(1+取值表!$D$12)*取值表!$H$12,0)</f>
        <v>67328</v>
      </c>
      <c r="AE256" s="42">
        <f t="shared" ref="AE256:AG256" si="3851">AD256</f>
        <v>67328</v>
      </c>
      <c r="AF256" s="42">
        <f t="shared" si="3851"/>
        <v>67328</v>
      </c>
      <c r="AG256" s="42">
        <f t="shared" si="3851"/>
        <v>67328</v>
      </c>
      <c r="AH256" s="44">
        <f>ROUND(AG256*(1+取值表!$D$12)*取值表!$H$12,0)</f>
        <v>73568</v>
      </c>
      <c r="AI256" s="42">
        <f t="shared" ref="AI256:AK256" si="3852">AH256</f>
        <v>73568</v>
      </c>
      <c r="AJ256" s="42">
        <f t="shared" si="3852"/>
        <v>73568</v>
      </c>
      <c r="AK256" s="42">
        <f t="shared" si="3852"/>
        <v>73568</v>
      </c>
      <c r="AL256" s="44">
        <f>ROUND(AK256*(1+取值表!$D$12)*取值表!$H$12,0)</f>
        <v>80386</v>
      </c>
      <c r="AM256" s="42">
        <f t="shared" ref="AM256:AO256" si="3853">AL256</f>
        <v>80386</v>
      </c>
      <c r="AN256" s="42">
        <f t="shared" si="3853"/>
        <v>80386</v>
      </c>
      <c r="AO256" s="42">
        <f t="shared" si="3853"/>
        <v>80386</v>
      </c>
      <c r="AP256" s="44">
        <f>ROUND(AO256*(1+取值表!$D$12)*取值表!$H$12,0)</f>
        <v>87836</v>
      </c>
      <c r="AQ256" s="42">
        <f t="shared" ref="AQ256:AS256" si="3854">AP256</f>
        <v>87836</v>
      </c>
      <c r="AR256" s="42">
        <f t="shared" si="3854"/>
        <v>87836</v>
      </c>
      <c r="AS256" s="42">
        <f t="shared" si="3854"/>
        <v>87836</v>
      </c>
      <c r="AT256" s="44">
        <f>ROUND(AS256*(1+取值表!$D$12)*取值表!$H$12,0)</f>
        <v>95977</v>
      </c>
      <c r="AU256" s="42">
        <f t="shared" ref="AU256:AW256" si="3855">AT256</f>
        <v>95977</v>
      </c>
      <c r="AV256" s="42">
        <f t="shared" si="3855"/>
        <v>95977</v>
      </c>
      <c r="AW256" s="42">
        <f t="shared" si="3855"/>
        <v>95977</v>
      </c>
      <c r="AX256" s="44">
        <f>ROUND(AW256*(1+取值表!$D$12)*取值表!$H$12,0)</f>
        <v>104872</v>
      </c>
      <c r="AY256" s="42">
        <f t="shared" ref="AY256:BA256" si="3856">AX256</f>
        <v>104872</v>
      </c>
      <c r="AZ256" s="42">
        <f t="shared" si="3856"/>
        <v>104872</v>
      </c>
      <c r="BA256" s="42">
        <f t="shared" si="3856"/>
        <v>104872</v>
      </c>
      <c r="BB256" s="44">
        <f>ROUND(BA256*(1+取值表!$D$12)*取值表!$H$12,0)</f>
        <v>114592</v>
      </c>
      <c r="BC256" s="42">
        <f t="shared" ref="BC256:BE256" si="3857">BB256</f>
        <v>114592</v>
      </c>
      <c r="BD256" s="42">
        <f t="shared" si="3857"/>
        <v>114592</v>
      </c>
      <c r="BE256" s="42">
        <f t="shared" si="3857"/>
        <v>114592</v>
      </c>
      <c r="BF256" s="44">
        <f>ROUND(BE256*(1+取值表!$D$12)*取值表!$H$12,0)</f>
        <v>125213</v>
      </c>
      <c r="BG256" s="42">
        <f t="shared" ref="BG256:BI256" si="3858">BF256</f>
        <v>125213</v>
      </c>
      <c r="BH256" s="42">
        <f t="shared" si="3858"/>
        <v>125213</v>
      </c>
      <c r="BI256" s="42">
        <f t="shared" si="3858"/>
        <v>125213</v>
      </c>
      <c r="BJ256" s="44">
        <f>ROUND(BI256*(1+取值表!$D$12)*取值表!$H$12,0)</f>
        <v>136818</v>
      </c>
      <c r="BK256" s="42">
        <f t="shared" ref="BK256:BM256" si="3859">BJ256</f>
        <v>136818</v>
      </c>
      <c r="BL256" s="42">
        <f t="shared" si="3859"/>
        <v>136818</v>
      </c>
      <c r="BM256" s="42">
        <f t="shared" si="3859"/>
        <v>136818</v>
      </c>
      <c r="BN256" s="44">
        <f>ROUND(BM256*(1+取值表!$D$12)*取值表!$H$12,0)</f>
        <v>149499</v>
      </c>
      <c r="BO256" s="42">
        <f t="shared" ref="BO256:BQ256" si="3860">BN256</f>
        <v>149499</v>
      </c>
      <c r="BP256" s="42">
        <f t="shared" si="3860"/>
        <v>149499</v>
      </c>
      <c r="BQ256" s="42">
        <f t="shared" si="3860"/>
        <v>149499</v>
      </c>
      <c r="BR256" s="44">
        <f>ROUND(BQ256*(1+取值表!$D$12)*取值表!$H$12,0)</f>
        <v>163355</v>
      </c>
      <c r="BS256" s="42">
        <f t="shared" ref="BS256:BU256" si="3861">BR256</f>
        <v>163355</v>
      </c>
      <c r="BT256" s="42">
        <f t="shared" si="3861"/>
        <v>163355</v>
      </c>
      <c r="BU256" s="42">
        <f t="shared" si="3861"/>
        <v>163355</v>
      </c>
      <c r="BV256" s="44">
        <f>ROUND(BU256*(1+取值表!$D$12)*取值表!$H$12,0)</f>
        <v>178495</v>
      </c>
      <c r="BW256" s="42">
        <f t="shared" ref="BW256:BY256" si="3862">BV256</f>
        <v>178495</v>
      </c>
      <c r="BX256" s="42">
        <f t="shared" si="3862"/>
        <v>178495</v>
      </c>
      <c r="BY256" s="42">
        <f t="shared" si="3862"/>
        <v>178495</v>
      </c>
      <c r="BZ256" s="44">
        <f>ROUND(BY256*(1+取值表!$D$12)*取值表!$H$12,0)</f>
        <v>195038</v>
      </c>
      <c r="CA256" s="42">
        <f t="shared" ref="CA256:CC256" si="3863">BZ256</f>
        <v>195038</v>
      </c>
      <c r="CB256" s="42">
        <f t="shared" si="3863"/>
        <v>195038</v>
      </c>
      <c r="CC256" s="42">
        <f t="shared" si="3863"/>
        <v>195038</v>
      </c>
      <c r="CD256" s="44">
        <f>ROUND(CC256*(1+取值表!$D$12)*取值表!$H$12,0)</f>
        <v>213115</v>
      </c>
      <c r="CE256" s="42">
        <f t="shared" ref="CE256:CG256" si="3864">CD256</f>
        <v>213115</v>
      </c>
      <c r="CF256" s="42">
        <f t="shared" si="3864"/>
        <v>213115</v>
      </c>
      <c r="CG256" s="42">
        <f t="shared" si="3864"/>
        <v>213115</v>
      </c>
      <c r="CH256" s="44">
        <f>ROUND(CG256*(1+取值表!$D$12)*取值表!$H$12,0)</f>
        <v>232867</v>
      </c>
      <c r="CI256" s="42">
        <f t="shared" ref="CI256:CK256" si="3865">CH256</f>
        <v>232867</v>
      </c>
      <c r="CJ256" s="42">
        <f t="shared" si="3865"/>
        <v>232867</v>
      </c>
      <c r="CK256" s="42">
        <f t="shared" si="3865"/>
        <v>232867</v>
      </c>
      <c r="CL256" s="44">
        <f>ROUND(CK256*(1+取值表!$D$12)*取值表!$H$12,0)</f>
        <v>254450</v>
      </c>
      <c r="CM256" s="42">
        <f t="shared" ref="CM256:CO256" si="3866">CL256</f>
        <v>254450</v>
      </c>
      <c r="CN256" s="42">
        <f t="shared" si="3866"/>
        <v>254450</v>
      </c>
      <c r="CO256" s="42">
        <f t="shared" si="3866"/>
        <v>254450</v>
      </c>
      <c r="CP256" s="44">
        <f>ROUND(CO256*(1+取值表!$D$12)*取值表!$H$12,0)</f>
        <v>278033</v>
      </c>
      <c r="CQ256" s="42">
        <f t="shared" ref="CQ256:CQ257" si="3867">CP256</f>
        <v>278033</v>
      </c>
      <c r="CR256" s="42">
        <f t="shared" ref="CR256:CR257" si="3868">CQ256</f>
        <v>278033</v>
      </c>
      <c r="CS256" s="42">
        <f t="shared" ref="CS256:CS257" si="3869">CR256</f>
        <v>278033</v>
      </c>
      <c r="CT256" s="44">
        <f>ROUND(CS256*(1+取值表!$D$12)*取值表!$H$12,0)</f>
        <v>303802</v>
      </c>
      <c r="CU256" s="42">
        <f t="shared" ref="CU256:CU257" si="3870">CT256</f>
        <v>303802</v>
      </c>
      <c r="CV256" s="42">
        <f t="shared" ref="CV256:CV257" si="3871">CU256</f>
        <v>303802</v>
      </c>
      <c r="CW256" s="42">
        <f t="shared" ref="CW256:CW257" si="3872">CV256</f>
        <v>303802</v>
      </c>
      <c r="CX256" s="44">
        <f>ROUND(CW256*(1+取值表!$D$12)*取值表!$H$12,0)</f>
        <v>331959</v>
      </c>
      <c r="CY256" s="42">
        <f t="shared" ref="CY256:CY257" si="3873">CX256</f>
        <v>331959</v>
      </c>
      <c r="CZ256" s="42">
        <f t="shared" ref="CZ256:CZ257" si="3874">CY256</f>
        <v>331959</v>
      </c>
      <c r="DA256" s="42">
        <f t="shared" ref="DA256:DA257" si="3875">CZ256</f>
        <v>331959</v>
      </c>
      <c r="DB256" s="44">
        <f>ROUND(DA256*(1+取值表!$D$12)*取值表!$H$12,0)</f>
        <v>362726</v>
      </c>
      <c r="DC256" s="42">
        <f t="shared" ref="DC256:DC257" si="3876">DB256</f>
        <v>362726</v>
      </c>
      <c r="DD256" s="42">
        <f t="shared" ref="DD256:DD257" si="3877">DC256</f>
        <v>362726</v>
      </c>
      <c r="DE256" s="42">
        <f t="shared" ref="DE256:DE257" si="3878">DD256</f>
        <v>362726</v>
      </c>
      <c r="DF256" s="45">
        <f t="shared" si="2934"/>
        <v>15240004</v>
      </c>
    </row>
    <row r="257" spans="1:111" s="40" customFormat="1" ht="12" customHeight="1">
      <c r="A257" s="516">
        <v>130</v>
      </c>
      <c r="B257" s="534" t="s">
        <v>247</v>
      </c>
      <c r="C257" s="530" t="s">
        <v>748</v>
      </c>
      <c r="D257" s="532" t="s">
        <v>508</v>
      </c>
      <c r="E257" s="514" t="s">
        <v>509</v>
      </c>
      <c r="F257" s="524">
        <v>71.430000000000007</v>
      </c>
      <c r="G257" s="524">
        <v>9.5</v>
      </c>
      <c r="H257" s="526">
        <f>F257*G257*365</f>
        <v>247683.52500000002</v>
      </c>
      <c r="I257" s="41">
        <v>58661.89</v>
      </c>
      <c r="J257" s="43">
        <f>ROUND(G257*F257*365/4,0)</f>
        <v>61921</v>
      </c>
      <c r="K257" s="44">
        <f t="shared" si="3846"/>
        <v>61921</v>
      </c>
      <c r="L257" s="44">
        <f t="shared" si="3846"/>
        <v>61921</v>
      </c>
      <c r="M257" s="44">
        <f t="shared" si="3846"/>
        <v>61921</v>
      </c>
      <c r="N257" s="44">
        <f>ROUND(M257*(1+取值表!$D$14)*取值表!$H$14,0)</f>
        <v>61182</v>
      </c>
      <c r="O257" s="44">
        <f t="shared" si="3847"/>
        <v>61182</v>
      </c>
      <c r="P257" s="44">
        <f t="shared" si="3847"/>
        <v>61182</v>
      </c>
      <c r="Q257" s="44">
        <f t="shared" si="3847"/>
        <v>61182</v>
      </c>
      <c r="R257" s="44">
        <f>ROUND(Q257*(1+取值表!$D$14)*取值表!$H$14,0)</f>
        <v>60452</v>
      </c>
      <c r="S257" s="44">
        <f t="shared" ref="S257:U257" si="3879">R257</f>
        <v>60452</v>
      </c>
      <c r="T257" s="44">
        <f t="shared" si="3879"/>
        <v>60452</v>
      </c>
      <c r="U257" s="44">
        <f t="shared" si="3879"/>
        <v>60452</v>
      </c>
      <c r="V257" s="44">
        <f>ROUND(U257*(1+取值表!$D$14)*取值表!$H$14,0)</f>
        <v>59731</v>
      </c>
      <c r="W257" s="44">
        <f t="shared" ref="W257:Y257" si="3880">V257</f>
        <v>59731</v>
      </c>
      <c r="X257" s="44">
        <f t="shared" si="3880"/>
        <v>59731</v>
      </c>
      <c r="Y257" s="44">
        <f t="shared" si="3880"/>
        <v>59731</v>
      </c>
      <c r="Z257" s="44">
        <f>ROUND(Y257*(1+取值表!$D$14)*取值表!$H$14,0)</f>
        <v>59018</v>
      </c>
      <c r="AA257" s="44">
        <f t="shared" ref="AA257:AC257" si="3881">Z257</f>
        <v>59018</v>
      </c>
      <c r="AB257" s="44">
        <f t="shared" si="3881"/>
        <v>59018</v>
      </c>
      <c r="AC257" s="44">
        <f t="shared" si="3881"/>
        <v>59018</v>
      </c>
      <c r="AD257" s="44">
        <f>ROUND(AC257*(1+取值表!$D$14)*取值表!$H$14,0)</f>
        <v>58314</v>
      </c>
      <c r="AE257" s="44">
        <f t="shared" ref="AE257:AG257" si="3882">AD257</f>
        <v>58314</v>
      </c>
      <c r="AF257" s="44">
        <f t="shared" si="3882"/>
        <v>58314</v>
      </c>
      <c r="AG257" s="44">
        <f t="shared" si="3882"/>
        <v>58314</v>
      </c>
      <c r="AH257" s="44">
        <f>ROUND(AG257*(1+取值表!$D$14)*取值表!$H$14,0)</f>
        <v>57618</v>
      </c>
      <c r="AI257" s="44">
        <f t="shared" ref="AI257:AK257" si="3883">AH257</f>
        <v>57618</v>
      </c>
      <c r="AJ257" s="44">
        <f t="shared" si="3883"/>
        <v>57618</v>
      </c>
      <c r="AK257" s="44">
        <f t="shared" si="3883"/>
        <v>57618</v>
      </c>
      <c r="AL257" s="44">
        <f>ROUND(AK257*(1+取值表!$D$14)*取值表!$H$14,0)</f>
        <v>56930</v>
      </c>
      <c r="AM257" s="44">
        <f t="shared" ref="AM257:AO257" si="3884">AL257</f>
        <v>56930</v>
      </c>
      <c r="AN257" s="44">
        <f t="shared" si="3884"/>
        <v>56930</v>
      </c>
      <c r="AO257" s="44">
        <f t="shared" si="3884"/>
        <v>56930</v>
      </c>
      <c r="AP257" s="44">
        <f>ROUND(AO257*(1+取值表!$D$14)*取值表!$H$14,0)</f>
        <v>56251</v>
      </c>
      <c r="AQ257" s="44">
        <f t="shared" ref="AQ257:AS257" si="3885">AP257</f>
        <v>56251</v>
      </c>
      <c r="AR257" s="44">
        <f t="shared" si="3885"/>
        <v>56251</v>
      </c>
      <c r="AS257" s="44">
        <f t="shared" si="3885"/>
        <v>56251</v>
      </c>
      <c r="AT257" s="44">
        <f>ROUND(AS257*(1+取值表!$D$14)*取值表!$H$14,0)</f>
        <v>55580</v>
      </c>
      <c r="AU257" s="44">
        <f t="shared" ref="AU257:AW257" si="3886">AT257</f>
        <v>55580</v>
      </c>
      <c r="AV257" s="44">
        <f t="shared" si="3886"/>
        <v>55580</v>
      </c>
      <c r="AW257" s="44">
        <f t="shared" si="3886"/>
        <v>55580</v>
      </c>
      <c r="AX257" s="44">
        <f>ROUND(AW257*(1+取值表!$D$14)*取值表!$H$14,0)</f>
        <v>54917</v>
      </c>
      <c r="AY257" s="44">
        <f t="shared" ref="AY257:BA257" si="3887">AX257</f>
        <v>54917</v>
      </c>
      <c r="AZ257" s="44">
        <f t="shared" si="3887"/>
        <v>54917</v>
      </c>
      <c r="BA257" s="44">
        <f t="shared" si="3887"/>
        <v>54917</v>
      </c>
      <c r="BB257" s="44">
        <f>ROUND(BA257*(1+取值表!$D$14)*取值表!$H$14,0)</f>
        <v>54262</v>
      </c>
      <c r="BC257" s="44">
        <f t="shared" ref="BC257:BE257" si="3888">BB257</f>
        <v>54262</v>
      </c>
      <c r="BD257" s="44">
        <f t="shared" si="3888"/>
        <v>54262</v>
      </c>
      <c r="BE257" s="44">
        <f t="shared" si="3888"/>
        <v>54262</v>
      </c>
      <c r="BF257" s="44">
        <f>ROUND(BE257*(1+取值表!$D$14)*取值表!$H$14,0)</f>
        <v>53614</v>
      </c>
      <c r="BG257" s="44">
        <f t="shared" ref="BG257:BI257" si="3889">BF257</f>
        <v>53614</v>
      </c>
      <c r="BH257" s="44">
        <f t="shared" si="3889"/>
        <v>53614</v>
      </c>
      <c r="BI257" s="44">
        <f t="shared" si="3889"/>
        <v>53614</v>
      </c>
      <c r="BJ257" s="44">
        <f>ROUND(BI257*(1+取值表!$D$14)*取值表!$H$14,0)</f>
        <v>52974</v>
      </c>
      <c r="BK257" s="44">
        <f t="shared" ref="BK257:BM257" si="3890">BJ257</f>
        <v>52974</v>
      </c>
      <c r="BL257" s="44">
        <f t="shared" si="3890"/>
        <v>52974</v>
      </c>
      <c r="BM257" s="44">
        <f t="shared" si="3890"/>
        <v>52974</v>
      </c>
      <c r="BN257" s="44">
        <f>ROUND(BM257*(1+取值表!$D$14)*取值表!$H$14,0)</f>
        <v>52342</v>
      </c>
      <c r="BO257" s="44">
        <f t="shared" ref="BO257:BQ257" si="3891">BN257</f>
        <v>52342</v>
      </c>
      <c r="BP257" s="44">
        <f t="shared" si="3891"/>
        <v>52342</v>
      </c>
      <c r="BQ257" s="44">
        <f t="shared" si="3891"/>
        <v>52342</v>
      </c>
      <c r="BR257" s="44">
        <f>ROUND(BQ257*(1+取值表!$D$14)*取值表!$H$14,0)</f>
        <v>51717</v>
      </c>
      <c r="BS257" s="44">
        <f t="shared" ref="BS257:BU257" si="3892">BR257</f>
        <v>51717</v>
      </c>
      <c r="BT257" s="44">
        <f t="shared" si="3892"/>
        <v>51717</v>
      </c>
      <c r="BU257" s="44">
        <f t="shared" si="3892"/>
        <v>51717</v>
      </c>
      <c r="BV257" s="44">
        <f>ROUND(BU257*(1+取值表!$D$14)*取值表!$H$14,0)</f>
        <v>51100</v>
      </c>
      <c r="BW257" s="44">
        <f t="shared" ref="BW257:BY257" si="3893">BV257</f>
        <v>51100</v>
      </c>
      <c r="BX257" s="44">
        <f t="shared" si="3893"/>
        <v>51100</v>
      </c>
      <c r="BY257" s="44">
        <f t="shared" si="3893"/>
        <v>51100</v>
      </c>
      <c r="BZ257" s="44">
        <f>ROUND(BY257*(1+取值表!$D$14)*取值表!$H$14,0)</f>
        <v>50490</v>
      </c>
      <c r="CA257" s="44">
        <f t="shared" ref="CA257:CC257" si="3894">BZ257</f>
        <v>50490</v>
      </c>
      <c r="CB257" s="44">
        <f t="shared" si="3894"/>
        <v>50490</v>
      </c>
      <c r="CC257" s="44">
        <f t="shared" si="3894"/>
        <v>50490</v>
      </c>
      <c r="CD257" s="44">
        <f>ROUND(CC257*(1+取值表!$D$14)*取值表!$H$14,0)</f>
        <v>49887</v>
      </c>
      <c r="CE257" s="44">
        <f t="shared" ref="CE257:CG257" si="3895">CD257</f>
        <v>49887</v>
      </c>
      <c r="CF257" s="44">
        <f t="shared" si="3895"/>
        <v>49887</v>
      </c>
      <c r="CG257" s="44">
        <f t="shared" si="3895"/>
        <v>49887</v>
      </c>
      <c r="CH257" s="44">
        <f>ROUND(CG257*(1+取值表!$D$14)*取值表!$H$14,0)</f>
        <v>49292</v>
      </c>
      <c r="CI257" s="44">
        <f t="shared" ref="CI257:CK257" si="3896">CH257</f>
        <v>49292</v>
      </c>
      <c r="CJ257" s="44">
        <f t="shared" si="3896"/>
        <v>49292</v>
      </c>
      <c r="CK257" s="44">
        <f t="shared" si="3896"/>
        <v>49292</v>
      </c>
      <c r="CL257" s="44">
        <f>ROUND(CK257*(1+取值表!$D$14)*取值表!$H$14,0)</f>
        <v>48704</v>
      </c>
      <c r="CM257" s="44">
        <f t="shared" ref="CM257:CN257" si="3897">CL257</f>
        <v>48704</v>
      </c>
      <c r="CN257" s="44">
        <f t="shared" si="3897"/>
        <v>48704</v>
      </c>
      <c r="CO257" s="44">
        <f>CN257</f>
        <v>48704</v>
      </c>
      <c r="CP257" s="44">
        <f>ROUND(CO257*(1+取值表!$D$14)*取值表!$H$14,0)</f>
        <v>48123</v>
      </c>
      <c r="CQ257" s="44">
        <f t="shared" si="3867"/>
        <v>48123</v>
      </c>
      <c r="CR257" s="44">
        <f t="shared" si="3868"/>
        <v>48123</v>
      </c>
      <c r="CS257" s="44">
        <f t="shared" si="3869"/>
        <v>48123</v>
      </c>
      <c r="CT257" s="44">
        <f>ROUND(CS257*(1+取值表!$D$14)*取值表!$H$14,0)</f>
        <v>47549</v>
      </c>
      <c r="CU257" s="44">
        <f t="shared" si="3870"/>
        <v>47549</v>
      </c>
      <c r="CV257" s="44">
        <f t="shared" si="3871"/>
        <v>47549</v>
      </c>
      <c r="CW257" s="44">
        <f t="shared" si="3872"/>
        <v>47549</v>
      </c>
      <c r="CX257" s="44">
        <f>ROUND(CW257*(1+取值表!$D$14)*取值表!$H$14,0)</f>
        <v>46982</v>
      </c>
      <c r="CY257" s="44">
        <f t="shared" si="3873"/>
        <v>46982</v>
      </c>
      <c r="CZ257" s="44">
        <f t="shared" si="3874"/>
        <v>46982</v>
      </c>
      <c r="DA257" s="44">
        <f t="shared" si="3875"/>
        <v>46982</v>
      </c>
      <c r="DB257" s="44">
        <f>ROUND(DA257*(1+取值表!$D$14)*取值表!$H$14,0)</f>
        <v>46421</v>
      </c>
      <c r="DC257" s="44">
        <f t="shared" si="3876"/>
        <v>46421</v>
      </c>
      <c r="DD257" s="44">
        <f t="shared" si="3877"/>
        <v>46421</v>
      </c>
      <c r="DE257" s="44">
        <f t="shared" si="3878"/>
        <v>46421</v>
      </c>
      <c r="DF257" s="45">
        <f t="shared" si="2934"/>
        <v>5381484</v>
      </c>
    </row>
    <row r="258" spans="1:111" s="40" customFormat="1" ht="12">
      <c r="A258" s="517"/>
      <c r="B258" s="535"/>
      <c r="C258" s="531"/>
      <c r="D258" s="533"/>
      <c r="E258" s="515"/>
      <c r="F258" s="525"/>
      <c r="G258" s="525"/>
      <c r="H258" s="527"/>
      <c r="I258" s="41"/>
      <c r="J258" s="42"/>
      <c r="K258" s="44"/>
      <c r="L258" s="44"/>
      <c r="M258" s="44"/>
      <c r="N258" s="44"/>
      <c r="O258" s="44"/>
      <c r="P258" s="44"/>
      <c r="Q258" s="44"/>
      <c r="R258" s="44"/>
      <c r="S258" s="44"/>
      <c r="T258" s="44"/>
      <c r="U258" s="44"/>
      <c r="V258" s="44"/>
      <c r="W258" s="44"/>
      <c r="X258" s="44"/>
      <c r="Y258" s="44"/>
      <c r="Z258" s="44"/>
      <c r="AA258" s="44"/>
      <c r="AB258" s="44"/>
      <c r="AC258" s="44"/>
      <c r="AD258" s="44"/>
      <c r="AE258" s="44"/>
      <c r="AF258" s="44"/>
      <c r="AG258" s="44"/>
      <c r="AH258" s="44"/>
      <c r="AI258" s="44"/>
      <c r="AJ258" s="44"/>
      <c r="AK258" s="44"/>
      <c r="AL258" s="44"/>
      <c r="AM258" s="44"/>
      <c r="AN258" s="44"/>
      <c r="AO258" s="44"/>
      <c r="AP258" s="44"/>
      <c r="AQ258" s="44"/>
      <c r="AR258" s="44"/>
      <c r="AS258" s="44"/>
      <c r="AT258" s="44"/>
      <c r="AU258" s="44"/>
      <c r="AV258" s="44"/>
      <c r="AW258" s="44"/>
      <c r="AX258" s="44"/>
      <c r="AY258" s="44"/>
      <c r="AZ258" s="44"/>
      <c r="BA258" s="44"/>
      <c r="BB258" s="44"/>
      <c r="BC258" s="44"/>
      <c r="BD258" s="44"/>
      <c r="BE258" s="44"/>
      <c r="BF258" s="44"/>
      <c r="BG258" s="44"/>
      <c r="BH258" s="44"/>
      <c r="BI258" s="44"/>
      <c r="BJ258" s="44"/>
      <c r="BK258" s="44"/>
      <c r="BL258" s="44"/>
      <c r="BM258" s="44"/>
      <c r="BN258" s="44"/>
      <c r="BO258" s="44"/>
      <c r="BP258" s="44"/>
      <c r="BQ258" s="44"/>
      <c r="BR258" s="44"/>
      <c r="BS258" s="44"/>
      <c r="BT258" s="44"/>
      <c r="BU258" s="44"/>
      <c r="BV258" s="44"/>
      <c r="BW258" s="44"/>
      <c r="BX258" s="44"/>
      <c r="BY258" s="44"/>
      <c r="BZ258" s="44"/>
      <c r="CA258" s="44"/>
      <c r="CB258" s="44"/>
      <c r="CC258" s="44"/>
      <c r="CD258" s="44"/>
      <c r="CE258" s="44"/>
      <c r="CF258" s="44"/>
      <c r="CG258" s="44"/>
      <c r="CH258" s="44"/>
      <c r="CI258" s="44"/>
      <c r="CJ258" s="44"/>
      <c r="CK258" s="44"/>
      <c r="CL258" s="44"/>
      <c r="CM258" s="44"/>
      <c r="CN258" s="44"/>
      <c r="CO258" s="44"/>
      <c r="CP258" s="44"/>
      <c r="CQ258" s="44"/>
      <c r="CR258" s="44"/>
      <c r="CS258" s="44"/>
      <c r="CT258" s="44"/>
      <c r="CU258" s="44"/>
      <c r="CV258" s="44"/>
      <c r="CW258" s="44"/>
      <c r="CX258" s="44"/>
      <c r="CY258" s="44"/>
      <c r="CZ258" s="44"/>
      <c r="DA258" s="44"/>
      <c r="DB258" s="44"/>
      <c r="DC258" s="44"/>
      <c r="DD258" s="44"/>
      <c r="DE258" s="44"/>
      <c r="DF258" s="45">
        <f t="shared" si="2934"/>
        <v>0</v>
      </c>
    </row>
    <row r="259" spans="1:111" s="40" customFormat="1" ht="12" customHeight="1">
      <c r="A259" s="516">
        <v>131</v>
      </c>
      <c r="B259" s="534" t="s">
        <v>248</v>
      </c>
      <c r="C259" s="530" t="s">
        <v>733</v>
      </c>
      <c r="D259" s="532" t="s">
        <v>510</v>
      </c>
      <c r="E259" s="514" t="s">
        <v>509</v>
      </c>
      <c r="F259" s="524">
        <v>84.27</v>
      </c>
      <c r="G259" s="524">
        <v>15</v>
      </c>
      <c r="H259" s="526">
        <f>F259*G259*365</f>
        <v>461378.25</v>
      </c>
      <c r="I259" s="41">
        <v>113422.15</v>
      </c>
      <c r="J259" s="42">
        <f>ROUND(G259*F259*365/4,0)</f>
        <v>115345</v>
      </c>
      <c r="K259" s="44">
        <f t="shared" ref="K259:P259" si="3898">J259</f>
        <v>115345</v>
      </c>
      <c r="L259" s="44">
        <f t="shared" si="3898"/>
        <v>115345</v>
      </c>
      <c r="M259" s="44">
        <f t="shared" si="3898"/>
        <v>115345</v>
      </c>
      <c r="N259" s="44">
        <f t="shared" si="3898"/>
        <v>115345</v>
      </c>
      <c r="O259" s="44">
        <f t="shared" si="3898"/>
        <v>115345</v>
      </c>
      <c r="P259" s="43">
        <f t="shared" si="3898"/>
        <v>115345</v>
      </c>
      <c r="Q259" s="44">
        <f>P259</f>
        <v>115345</v>
      </c>
      <c r="R259" s="44">
        <f>ROUND(Q259*(1+取值表!$D$14)*取值表!$H$14,0)</f>
        <v>113968</v>
      </c>
      <c r="S259" s="44">
        <f>R259</f>
        <v>113968</v>
      </c>
      <c r="T259" s="44">
        <f>S259</f>
        <v>113968</v>
      </c>
      <c r="U259" s="44">
        <f>T259</f>
        <v>113968</v>
      </c>
      <c r="V259" s="44">
        <f>ROUND(U259*(1+取值表!$D$14)*取值表!$H$14,0)</f>
        <v>112608</v>
      </c>
      <c r="W259" s="44">
        <f t="shared" ref="W259:Y259" si="3899">V259</f>
        <v>112608</v>
      </c>
      <c r="X259" s="44">
        <f t="shared" si="3899"/>
        <v>112608</v>
      </c>
      <c r="Y259" s="44">
        <f t="shared" si="3899"/>
        <v>112608</v>
      </c>
      <c r="Z259" s="44">
        <f>ROUND(Y259*(1+取值表!$D$14)*取值表!$H$14,0)</f>
        <v>111264</v>
      </c>
      <c r="AA259" s="44">
        <f t="shared" ref="AA259:AC259" si="3900">Z259</f>
        <v>111264</v>
      </c>
      <c r="AB259" s="44">
        <f t="shared" si="3900"/>
        <v>111264</v>
      </c>
      <c r="AC259" s="44">
        <f t="shared" si="3900"/>
        <v>111264</v>
      </c>
      <c r="AD259" s="44">
        <f>ROUND(AC259*(1+取值表!$D$14)*取值表!$H$14,0)</f>
        <v>109936</v>
      </c>
      <c r="AE259" s="44">
        <f t="shared" ref="AE259:AG259" si="3901">AD259</f>
        <v>109936</v>
      </c>
      <c r="AF259" s="44">
        <f t="shared" si="3901"/>
        <v>109936</v>
      </c>
      <c r="AG259" s="44">
        <f t="shared" si="3901"/>
        <v>109936</v>
      </c>
      <c r="AH259" s="44">
        <f>ROUND(AG259*(1+取值表!$D$14)*取值表!$H$14,0)</f>
        <v>108624</v>
      </c>
      <c r="AI259" s="44">
        <f t="shared" ref="AI259:AK259" si="3902">AH259</f>
        <v>108624</v>
      </c>
      <c r="AJ259" s="44">
        <f t="shared" si="3902"/>
        <v>108624</v>
      </c>
      <c r="AK259" s="44">
        <f t="shared" si="3902"/>
        <v>108624</v>
      </c>
      <c r="AL259" s="44">
        <f>ROUND(AK259*(1+取值表!$D$14)*取值表!$H$14,0)</f>
        <v>107328</v>
      </c>
      <c r="AM259" s="44">
        <f t="shared" ref="AM259:AO259" si="3903">AL259</f>
        <v>107328</v>
      </c>
      <c r="AN259" s="44">
        <f t="shared" si="3903"/>
        <v>107328</v>
      </c>
      <c r="AO259" s="44">
        <f t="shared" si="3903"/>
        <v>107328</v>
      </c>
      <c r="AP259" s="44">
        <f>ROUND(AO259*(1+取值表!$D$14)*取值表!$H$14,0)</f>
        <v>106047</v>
      </c>
      <c r="AQ259" s="44">
        <f t="shared" ref="AQ259:AS259" si="3904">AP259</f>
        <v>106047</v>
      </c>
      <c r="AR259" s="44">
        <f t="shared" si="3904"/>
        <v>106047</v>
      </c>
      <c r="AS259" s="44">
        <f t="shared" si="3904"/>
        <v>106047</v>
      </c>
      <c r="AT259" s="44">
        <f>ROUND(AS259*(1+取值表!$D$14)*取值表!$H$14,0)</f>
        <v>104781</v>
      </c>
      <c r="AU259" s="44">
        <f t="shared" ref="AU259:AW259" si="3905">AT259</f>
        <v>104781</v>
      </c>
      <c r="AV259" s="44">
        <f t="shared" si="3905"/>
        <v>104781</v>
      </c>
      <c r="AW259" s="44">
        <f t="shared" si="3905"/>
        <v>104781</v>
      </c>
      <c r="AX259" s="44">
        <f>ROUND(AW259*(1+取值表!$D$14)*取值表!$H$14,0)</f>
        <v>103531</v>
      </c>
      <c r="AY259" s="44">
        <f t="shared" ref="AY259:BA259" si="3906">AX259</f>
        <v>103531</v>
      </c>
      <c r="AZ259" s="44">
        <f t="shared" si="3906"/>
        <v>103531</v>
      </c>
      <c r="BA259" s="44">
        <f t="shared" si="3906"/>
        <v>103531</v>
      </c>
      <c r="BB259" s="44">
        <f>ROUND(BA259*(1+取值表!$D$14)*取值表!$H$14,0)</f>
        <v>102295</v>
      </c>
      <c r="BC259" s="44">
        <f t="shared" ref="BC259:BE259" si="3907">BB259</f>
        <v>102295</v>
      </c>
      <c r="BD259" s="44">
        <f t="shared" si="3907"/>
        <v>102295</v>
      </c>
      <c r="BE259" s="44">
        <f t="shared" si="3907"/>
        <v>102295</v>
      </c>
      <c r="BF259" s="44">
        <f>ROUND(BE259*(1+取值表!$D$14)*取值表!$H$14,0)</f>
        <v>101074</v>
      </c>
      <c r="BG259" s="44">
        <f t="shared" ref="BG259:BI259" si="3908">BF259</f>
        <v>101074</v>
      </c>
      <c r="BH259" s="44">
        <f t="shared" si="3908"/>
        <v>101074</v>
      </c>
      <c r="BI259" s="44">
        <f t="shared" si="3908"/>
        <v>101074</v>
      </c>
      <c r="BJ259" s="44">
        <f>ROUND(BI259*(1+取值表!$D$14)*取值表!$H$14,0)</f>
        <v>99868</v>
      </c>
      <c r="BK259" s="44">
        <f t="shared" ref="BK259:BM259" si="3909">BJ259</f>
        <v>99868</v>
      </c>
      <c r="BL259" s="44">
        <f t="shared" si="3909"/>
        <v>99868</v>
      </c>
      <c r="BM259" s="44">
        <f t="shared" si="3909"/>
        <v>99868</v>
      </c>
      <c r="BN259" s="44">
        <f>ROUND(BM259*(1+取值表!$D$14)*取值表!$H$14,0)</f>
        <v>98676</v>
      </c>
      <c r="BO259" s="44">
        <f t="shared" ref="BO259:BQ259" si="3910">BN259</f>
        <v>98676</v>
      </c>
      <c r="BP259" s="44">
        <f t="shared" si="3910"/>
        <v>98676</v>
      </c>
      <c r="BQ259" s="44">
        <f t="shared" si="3910"/>
        <v>98676</v>
      </c>
      <c r="BR259" s="44">
        <f>ROUND(BQ259*(1+取值表!$D$14)*取值表!$H$14,0)</f>
        <v>97498</v>
      </c>
      <c r="BS259" s="44">
        <f t="shared" ref="BS259:BU259" si="3911">BR259</f>
        <v>97498</v>
      </c>
      <c r="BT259" s="44">
        <f t="shared" si="3911"/>
        <v>97498</v>
      </c>
      <c r="BU259" s="44">
        <f t="shared" si="3911"/>
        <v>97498</v>
      </c>
      <c r="BV259" s="44">
        <f>ROUND(BU259*(1+取值表!$D$14)*取值表!$H$14,0)</f>
        <v>96334</v>
      </c>
      <c r="BW259" s="44">
        <f t="shared" ref="BW259:BY259" si="3912">BV259</f>
        <v>96334</v>
      </c>
      <c r="BX259" s="44">
        <f t="shared" si="3912"/>
        <v>96334</v>
      </c>
      <c r="BY259" s="44">
        <f t="shared" si="3912"/>
        <v>96334</v>
      </c>
      <c r="BZ259" s="44">
        <f>ROUND(BY259*(1+取值表!$D$14)*取值表!$H$14,0)</f>
        <v>95184</v>
      </c>
      <c r="CA259" s="44">
        <f t="shared" ref="CA259:CC259" si="3913">BZ259</f>
        <v>95184</v>
      </c>
      <c r="CB259" s="44">
        <f t="shared" si="3913"/>
        <v>95184</v>
      </c>
      <c r="CC259" s="44">
        <f t="shared" si="3913"/>
        <v>95184</v>
      </c>
      <c r="CD259" s="44">
        <f>ROUND(CC259*(1+取值表!$D$14)*取值表!$H$14,0)</f>
        <v>94048</v>
      </c>
      <c r="CE259" s="44">
        <f t="shared" ref="CE259:CG259" si="3914">CD259</f>
        <v>94048</v>
      </c>
      <c r="CF259" s="44">
        <f t="shared" si="3914"/>
        <v>94048</v>
      </c>
      <c r="CG259" s="44">
        <f t="shared" si="3914"/>
        <v>94048</v>
      </c>
      <c r="CH259" s="44">
        <f>ROUND(CG259*(1+取值表!$D$14)*取值表!$H$14,0)</f>
        <v>92926</v>
      </c>
      <c r="CI259" s="44">
        <f t="shared" ref="CI259:CK259" si="3915">CH259</f>
        <v>92926</v>
      </c>
      <c r="CJ259" s="44">
        <f t="shared" si="3915"/>
        <v>92926</v>
      </c>
      <c r="CK259" s="44">
        <f t="shared" si="3915"/>
        <v>92926</v>
      </c>
      <c r="CL259" s="44">
        <f>ROUND(CK259*(1+取值表!$D$14)*取值表!$H$14,0)</f>
        <v>91817</v>
      </c>
      <c r="CM259" s="44">
        <f t="shared" ref="CM259:CO259" si="3916">CL259</f>
        <v>91817</v>
      </c>
      <c r="CN259" s="44">
        <f t="shared" si="3916"/>
        <v>91817</v>
      </c>
      <c r="CO259" s="44">
        <f t="shared" si="3916"/>
        <v>91817</v>
      </c>
      <c r="CP259" s="44">
        <f>ROUND(CO259*(1+取值表!$D$14)*取值表!$H$14,0)</f>
        <v>90721</v>
      </c>
      <c r="CQ259" s="44">
        <f t="shared" ref="CQ259" si="3917">CP259</f>
        <v>90721</v>
      </c>
      <c r="CR259" s="44">
        <f t="shared" ref="CR259" si="3918">CQ259</f>
        <v>90721</v>
      </c>
      <c r="CS259" s="44">
        <f t="shared" ref="CS259" si="3919">CR259</f>
        <v>90721</v>
      </c>
      <c r="CT259" s="44">
        <f>ROUND(CS259*(1+取值表!$D$14)*取值表!$H$14,0)</f>
        <v>89638</v>
      </c>
      <c r="CU259" s="44">
        <f t="shared" ref="CU259" si="3920">CT259</f>
        <v>89638</v>
      </c>
      <c r="CV259" s="44">
        <f t="shared" ref="CV259" si="3921">CU259</f>
        <v>89638</v>
      </c>
      <c r="CW259" s="44">
        <f t="shared" ref="CW259" si="3922">CV259</f>
        <v>89638</v>
      </c>
      <c r="CX259" s="44">
        <f>ROUND(CW259*(1+取值表!$D$14)*取值表!$H$14,0)</f>
        <v>88568</v>
      </c>
      <c r="CY259" s="44">
        <f t="shared" ref="CY259" si="3923">CX259</f>
        <v>88568</v>
      </c>
      <c r="CZ259" s="44">
        <f t="shared" ref="CZ259" si="3924">CY259</f>
        <v>88568</v>
      </c>
      <c r="DA259" s="44">
        <f t="shared" ref="DA259" si="3925">CZ259</f>
        <v>88568</v>
      </c>
      <c r="DB259" s="44">
        <f>ROUND(DA259*(1+取值表!$D$14)*取值表!$H$14,0)</f>
        <v>87511</v>
      </c>
      <c r="DC259" s="44">
        <f t="shared" ref="DC259" si="3926">DB259</f>
        <v>87511</v>
      </c>
      <c r="DD259" s="44">
        <f t="shared" ref="DD259" si="3927">DC259</f>
        <v>87511</v>
      </c>
      <c r="DE259" s="44">
        <f t="shared" ref="DE259" si="3928">DD259</f>
        <v>87511</v>
      </c>
      <c r="DF259" s="45">
        <f t="shared" si="2934"/>
        <v>10139740</v>
      </c>
    </row>
    <row r="260" spans="1:111" s="40" customFormat="1" ht="12">
      <c r="A260" s="517"/>
      <c r="B260" s="535"/>
      <c r="C260" s="531"/>
      <c r="D260" s="533"/>
      <c r="E260" s="515"/>
      <c r="F260" s="525"/>
      <c r="G260" s="525"/>
      <c r="H260" s="527"/>
      <c r="I260" s="41"/>
      <c r="J260" s="42"/>
      <c r="K260" s="44"/>
      <c r="L260" s="44"/>
      <c r="M260" s="44"/>
      <c r="N260" s="44"/>
      <c r="O260" s="44"/>
      <c r="P260" s="44"/>
      <c r="Q260" s="44"/>
      <c r="R260" s="44"/>
      <c r="S260" s="44"/>
      <c r="T260" s="44"/>
      <c r="U260" s="44"/>
      <c r="V260" s="44"/>
      <c r="W260" s="44"/>
      <c r="X260" s="44"/>
      <c r="Y260" s="44"/>
      <c r="Z260" s="44"/>
      <c r="AA260" s="44"/>
      <c r="AB260" s="44"/>
      <c r="AC260" s="44"/>
      <c r="AD260" s="44"/>
      <c r="AE260" s="44"/>
      <c r="AF260" s="44"/>
      <c r="AG260" s="44"/>
      <c r="AH260" s="44"/>
      <c r="AI260" s="44"/>
      <c r="AJ260" s="44"/>
      <c r="AK260" s="44"/>
      <c r="AL260" s="44"/>
      <c r="AM260" s="44"/>
      <c r="AN260" s="44"/>
      <c r="AO260" s="44"/>
      <c r="AP260" s="44"/>
      <c r="AQ260" s="44"/>
      <c r="AR260" s="44"/>
      <c r="AS260" s="44"/>
      <c r="AT260" s="44"/>
      <c r="AU260" s="44"/>
      <c r="AV260" s="44"/>
      <c r="AW260" s="44"/>
      <c r="AX260" s="44"/>
      <c r="AY260" s="44"/>
      <c r="AZ260" s="44"/>
      <c r="BA260" s="44"/>
      <c r="BB260" s="44"/>
      <c r="BC260" s="44"/>
      <c r="BD260" s="44"/>
      <c r="BE260" s="44"/>
      <c r="BF260" s="44"/>
      <c r="BG260" s="44"/>
      <c r="BH260" s="44"/>
      <c r="BI260" s="44"/>
      <c r="BJ260" s="44"/>
      <c r="BK260" s="44"/>
      <c r="BL260" s="44"/>
      <c r="BM260" s="44"/>
      <c r="BN260" s="44"/>
      <c r="BO260" s="44"/>
      <c r="BP260" s="44"/>
      <c r="BQ260" s="44"/>
      <c r="BR260" s="44"/>
      <c r="BS260" s="44"/>
      <c r="BT260" s="44"/>
      <c r="BU260" s="44"/>
      <c r="BV260" s="44"/>
      <c r="BW260" s="44"/>
      <c r="BX260" s="44"/>
      <c r="BY260" s="44"/>
      <c r="BZ260" s="44"/>
      <c r="CA260" s="44"/>
      <c r="CB260" s="44"/>
      <c r="CC260" s="44"/>
      <c r="CD260" s="44"/>
      <c r="CE260" s="44"/>
      <c r="CF260" s="44"/>
      <c r="CG260" s="44"/>
      <c r="CH260" s="44"/>
      <c r="CI260" s="44"/>
      <c r="CJ260" s="44"/>
      <c r="CK260" s="44"/>
      <c r="CL260" s="44"/>
      <c r="CM260" s="44"/>
      <c r="CN260" s="44"/>
      <c r="CO260" s="44"/>
      <c r="CP260" s="44"/>
      <c r="CQ260" s="44"/>
      <c r="CR260" s="44"/>
      <c r="CS260" s="44"/>
      <c r="CT260" s="44"/>
      <c r="CU260" s="44"/>
      <c r="CV260" s="44"/>
      <c r="CW260" s="44"/>
      <c r="CX260" s="44"/>
      <c r="CY260" s="44"/>
      <c r="CZ260" s="44"/>
      <c r="DA260" s="44"/>
      <c r="DB260" s="44"/>
      <c r="DC260" s="44"/>
      <c r="DD260" s="44"/>
      <c r="DE260" s="44"/>
      <c r="DF260" s="45">
        <f t="shared" ref="DF260:DF323" si="3929">SUM(J260:DE260)</f>
        <v>0</v>
      </c>
    </row>
    <row r="261" spans="1:111" s="40" customFormat="1" ht="12" customHeight="1">
      <c r="A261" s="516">
        <v>132</v>
      </c>
      <c r="B261" s="534" t="s">
        <v>249</v>
      </c>
      <c r="C261" s="530" t="s">
        <v>250</v>
      </c>
      <c r="D261" s="532" t="s">
        <v>251</v>
      </c>
      <c r="E261" s="514" t="s">
        <v>509</v>
      </c>
      <c r="F261" s="524">
        <v>84.95</v>
      </c>
      <c r="G261" s="524">
        <v>15.5</v>
      </c>
      <c r="H261" s="526">
        <f>F261*G261*365</f>
        <v>480604.62500000006</v>
      </c>
      <c r="I261" s="41">
        <v>120151.16</v>
      </c>
      <c r="J261" s="42">
        <f>ROUND(G261*F261*365/4,0)</f>
        <v>120151</v>
      </c>
      <c r="K261" s="44">
        <f>J261</f>
        <v>120151</v>
      </c>
      <c r="L261" s="44">
        <f>K261</f>
        <v>120151</v>
      </c>
      <c r="M261" s="43">
        <f>L261</f>
        <v>120151</v>
      </c>
      <c r="N261" s="44">
        <f>ROUND(M261*(1+取值表!$D$14)*取值表!$H$14,0)</f>
        <v>118717</v>
      </c>
      <c r="O261" s="44">
        <f>N261</f>
        <v>118717</v>
      </c>
      <c r="P261" s="44">
        <f>O261</f>
        <v>118717</v>
      </c>
      <c r="Q261" s="44">
        <f>P261</f>
        <v>118717</v>
      </c>
      <c r="R261" s="44">
        <f>ROUND(Q261*(1+取值表!$D$14)*取值表!$H$14,0)</f>
        <v>117300</v>
      </c>
      <c r="S261" s="44">
        <f t="shared" ref="S261:U261" si="3930">R261</f>
        <v>117300</v>
      </c>
      <c r="T261" s="44">
        <f t="shared" si="3930"/>
        <v>117300</v>
      </c>
      <c r="U261" s="44">
        <f t="shared" si="3930"/>
        <v>117300</v>
      </c>
      <c r="V261" s="44">
        <f>ROUND(U261*(1+取值表!$D$14)*取值表!$H$14,0)</f>
        <v>115900</v>
      </c>
      <c r="W261" s="44">
        <f t="shared" ref="W261:Y261" si="3931">V261</f>
        <v>115900</v>
      </c>
      <c r="X261" s="44">
        <f t="shared" si="3931"/>
        <v>115900</v>
      </c>
      <c r="Y261" s="44">
        <f t="shared" si="3931"/>
        <v>115900</v>
      </c>
      <c r="Z261" s="44">
        <f>ROUND(Y261*(1+取值表!$D$14)*取值表!$H$14,0)</f>
        <v>114517</v>
      </c>
      <c r="AA261" s="44">
        <f t="shared" ref="AA261:AC261" si="3932">Z261</f>
        <v>114517</v>
      </c>
      <c r="AB261" s="44">
        <f t="shared" si="3932"/>
        <v>114517</v>
      </c>
      <c r="AC261" s="44">
        <f t="shared" si="3932"/>
        <v>114517</v>
      </c>
      <c r="AD261" s="44">
        <f>ROUND(AC261*(1+取值表!$D$14)*取值表!$H$14,0)</f>
        <v>113150</v>
      </c>
      <c r="AE261" s="44">
        <f t="shared" ref="AE261:AG261" si="3933">AD261</f>
        <v>113150</v>
      </c>
      <c r="AF261" s="44">
        <f t="shared" si="3933"/>
        <v>113150</v>
      </c>
      <c r="AG261" s="44">
        <f t="shared" si="3933"/>
        <v>113150</v>
      </c>
      <c r="AH261" s="44">
        <f>ROUND(AG261*(1+取值表!$D$14)*取值表!$H$14,0)</f>
        <v>111800</v>
      </c>
      <c r="AI261" s="44">
        <f t="shared" ref="AI261:AK261" si="3934">AH261</f>
        <v>111800</v>
      </c>
      <c r="AJ261" s="44">
        <f t="shared" si="3934"/>
        <v>111800</v>
      </c>
      <c r="AK261" s="44">
        <f t="shared" si="3934"/>
        <v>111800</v>
      </c>
      <c r="AL261" s="44">
        <f>ROUND(AK261*(1+取值表!$D$14)*取值表!$H$14,0)</f>
        <v>110466</v>
      </c>
      <c r="AM261" s="44">
        <f t="shared" ref="AM261:AO261" si="3935">AL261</f>
        <v>110466</v>
      </c>
      <c r="AN261" s="44">
        <f t="shared" si="3935"/>
        <v>110466</v>
      </c>
      <c r="AO261" s="44">
        <f t="shared" si="3935"/>
        <v>110466</v>
      </c>
      <c r="AP261" s="44">
        <f>ROUND(AO261*(1+取值表!$D$14)*取值表!$H$14,0)</f>
        <v>109148</v>
      </c>
      <c r="AQ261" s="44">
        <f t="shared" ref="AQ261:AS261" si="3936">AP261</f>
        <v>109148</v>
      </c>
      <c r="AR261" s="44">
        <f t="shared" si="3936"/>
        <v>109148</v>
      </c>
      <c r="AS261" s="44">
        <f t="shared" si="3936"/>
        <v>109148</v>
      </c>
      <c r="AT261" s="44">
        <f>ROUND(AS261*(1+取值表!$D$14)*取值表!$H$14,0)</f>
        <v>107845</v>
      </c>
      <c r="AU261" s="44">
        <f t="shared" ref="AU261:AW261" si="3937">AT261</f>
        <v>107845</v>
      </c>
      <c r="AV261" s="44">
        <f t="shared" si="3937"/>
        <v>107845</v>
      </c>
      <c r="AW261" s="44">
        <f t="shared" si="3937"/>
        <v>107845</v>
      </c>
      <c r="AX261" s="44">
        <f>ROUND(AW261*(1+取值表!$D$14)*取值表!$H$14,0)</f>
        <v>106558</v>
      </c>
      <c r="AY261" s="44">
        <f t="shared" ref="AY261:BA261" si="3938">AX261</f>
        <v>106558</v>
      </c>
      <c r="AZ261" s="44">
        <f t="shared" si="3938"/>
        <v>106558</v>
      </c>
      <c r="BA261" s="44">
        <f t="shared" si="3938"/>
        <v>106558</v>
      </c>
      <c r="BB261" s="44">
        <f>ROUND(BA261*(1+取值表!$D$14)*取值表!$H$14,0)</f>
        <v>105286</v>
      </c>
      <c r="BC261" s="44">
        <f t="shared" ref="BC261:BE261" si="3939">BB261</f>
        <v>105286</v>
      </c>
      <c r="BD261" s="44">
        <f t="shared" si="3939"/>
        <v>105286</v>
      </c>
      <c r="BE261" s="44">
        <f t="shared" si="3939"/>
        <v>105286</v>
      </c>
      <c r="BF261" s="44">
        <f>ROUND(BE261*(1+取值表!$D$14)*取值表!$H$14,0)</f>
        <v>104029</v>
      </c>
      <c r="BG261" s="44">
        <f t="shared" ref="BG261:BI261" si="3940">BF261</f>
        <v>104029</v>
      </c>
      <c r="BH261" s="44">
        <f t="shared" si="3940"/>
        <v>104029</v>
      </c>
      <c r="BI261" s="44">
        <f t="shared" si="3940"/>
        <v>104029</v>
      </c>
      <c r="BJ261" s="44">
        <f>ROUND(BI261*(1+取值表!$D$14)*取值表!$H$14,0)</f>
        <v>102787</v>
      </c>
      <c r="BK261" s="44">
        <f t="shared" ref="BK261:BM261" si="3941">BJ261</f>
        <v>102787</v>
      </c>
      <c r="BL261" s="44">
        <f t="shared" si="3941"/>
        <v>102787</v>
      </c>
      <c r="BM261" s="44">
        <f t="shared" si="3941"/>
        <v>102787</v>
      </c>
      <c r="BN261" s="44">
        <f>ROUND(BM261*(1+取值表!$D$14)*取值表!$H$14,0)</f>
        <v>101560</v>
      </c>
      <c r="BO261" s="44">
        <f t="shared" ref="BO261:BQ261" si="3942">BN261</f>
        <v>101560</v>
      </c>
      <c r="BP261" s="44">
        <f t="shared" si="3942"/>
        <v>101560</v>
      </c>
      <c r="BQ261" s="44">
        <f t="shared" si="3942"/>
        <v>101560</v>
      </c>
      <c r="BR261" s="44">
        <f>ROUND(BQ261*(1+取值表!$D$14)*取值表!$H$14,0)</f>
        <v>100348</v>
      </c>
      <c r="BS261" s="44">
        <f t="shared" ref="BS261:BU261" si="3943">BR261</f>
        <v>100348</v>
      </c>
      <c r="BT261" s="44">
        <f t="shared" si="3943"/>
        <v>100348</v>
      </c>
      <c r="BU261" s="44">
        <f t="shared" si="3943"/>
        <v>100348</v>
      </c>
      <c r="BV261" s="44">
        <f>ROUND(BU261*(1+取值表!$D$14)*取值表!$H$14,0)</f>
        <v>99150</v>
      </c>
      <c r="BW261" s="44">
        <f t="shared" ref="BW261:BY261" si="3944">BV261</f>
        <v>99150</v>
      </c>
      <c r="BX261" s="44">
        <f t="shared" si="3944"/>
        <v>99150</v>
      </c>
      <c r="BY261" s="44">
        <f t="shared" si="3944"/>
        <v>99150</v>
      </c>
      <c r="BZ261" s="44">
        <f>ROUND(BY261*(1+取值表!$D$14)*取值表!$H$14,0)</f>
        <v>97967</v>
      </c>
      <c r="CA261" s="44">
        <f t="shared" ref="CA261:CC261" si="3945">BZ261</f>
        <v>97967</v>
      </c>
      <c r="CB261" s="44">
        <f t="shared" si="3945"/>
        <v>97967</v>
      </c>
      <c r="CC261" s="44">
        <f t="shared" si="3945"/>
        <v>97967</v>
      </c>
      <c r="CD261" s="44">
        <f>ROUND(CC261*(1+取值表!$D$14)*取值表!$H$14,0)</f>
        <v>96798</v>
      </c>
      <c r="CE261" s="44">
        <f t="shared" ref="CE261:CG261" si="3946">CD261</f>
        <v>96798</v>
      </c>
      <c r="CF261" s="44">
        <f t="shared" si="3946"/>
        <v>96798</v>
      </c>
      <c r="CG261" s="44">
        <f t="shared" si="3946"/>
        <v>96798</v>
      </c>
      <c r="CH261" s="44">
        <f>ROUND(CG261*(1+取值表!$D$14)*取值表!$H$14,0)</f>
        <v>95643</v>
      </c>
      <c r="CI261" s="44">
        <f t="shared" ref="CI261:CK261" si="3947">CH261</f>
        <v>95643</v>
      </c>
      <c r="CJ261" s="44">
        <f t="shared" si="3947"/>
        <v>95643</v>
      </c>
      <c r="CK261" s="44">
        <f t="shared" si="3947"/>
        <v>95643</v>
      </c>
      <c r="CL261" s="44">
        <f>ROUND(CK261*(1+取值表!$D$14)*取值表!$H$14,0)</f>
        <v>94502</v>
      </c>
      <c r="CM261" s="44">
        <f t="shared" ref="CM261:CN261" si="3948">CL261</f>
        <v>94502</v>
      </c>
      <c r="CN261" s="44">
        <f t="shared" si="3948"/>
        <v>94502</v>
      </c>
      <c r="CO261" s="44">
        <f>CN261</f>
        <v>94502</v>
      </c>
      <c r="CP261" s="44">
        <f>ROUND(CO261*(1+取值表!$D$14)*取值表!$H$14,0)</f>
        <v>93374</v>
      </c>
      <c r="CQ261" s="44">
        <f t="shared" ref="CQ261" si="3949">CP261</f>
        <v>93374</v>
      </c>
      <c r="CR261" s="44">
        <f t="shared" ref="CR261:CS261" si="3950">CQ261</f>
        <v>93374</v>
      </c>
      <c r="CS261" s="44">
        <f t="shared" si="3950"/>
        <v>93374</v>
      </c>
      <c r="CT261" s="44">
        <f>ROUND(CS261*(1+取值表!$D$14)*取值表!$H$14,0)</f>
        <v>92260</v>
      </c>
      <c r="CU261" s="44">
        <f t="shared" ref="CU261" si="3951">CT261</f>
        <v>92260</v>
      </c>
      <c r="CV261" s="44">
        <f t="shared" ref="CV261:CW261" si="3952">CU261</f>
        <v>92260</v>
      </c>
      <c r="CW261" s="44">
        <f t="shared" si="3952"/>
        <v>92260</v>
      </c>
      <c r="CX261" s="44">
        <f>ROUND(CW261*(1+取值表!$D$14)*取值表!$H$14,0)</f>
        <v>91159</v>
      </c>
      <c r="CY261" s="44">
        <f t="shared" ref="CY261" si="3953">CX261</f>
        <v>91159</v>
      </c>
      <c r="CZ261" s="44">
        <f t="shared" ref="CZ261:DA261" si="3954">CY261</f>
        <v>91159</v>
      </c>
      <c r="DA261" s="44">
        <f t="shared" si="3954"/>
        <v>91159</v>
      </c>
      <c r="DB261" s="44">
        <f>ROUND(DA261*(1+取值表!$D$14)*取值表!$H$14,0)</f>
        <v>90071</v>
      </c>
      <c r="DC261" s="44">
        <f t="shared" ref="DC261" si="3955">DB261</f>
        <v>90071</v>
      </c>
      <c r="DD261" s="44">
        <f t="shared" ref="DD261" si="3956">DC261</f>
        <v>90071</v>
      </c>
      <c r="DE261" s="44">
        <f t="shared" ref="DE261" si="3957">DD261</f>
        <v>90071</v>
      </c>
      <c r="DF261" s="45">
        <f t="shared" si="3929"/>
        <v>10441944</v>
      </c>
    </row>
    <row r="262" spans="1:111" s="40" customFormat="1" ht="12">
      <c r="A262" s="517"/>
      <c r="B262" s="535"/>
      <c r="C262" s="531"/>
      <c r="D262" s="533"/>
      <c r="E262" s="515"/>
      <c r="F262" s="525"/>
      <c r="G262" s="525"/>
      <c r="H262" s="527"/>
      <c r="I262" s="41"/>
      <c r="J262" s="42"/>
      <c r="K262" s="44"/>
      <c r="L262" s="44"/>
      <c r="M262" s="44"/>
      <c r="N262" s="44"/>
      <c r="O262" s="44"/>
      <c r="P262" s="44"/>
      <c r="Q262" s="44"/>
      <c r="R262" s="44"/>
      <c r="S262" s="44"/>
      <c r="T262" s="44"/>
      <c r="U262" s="44"/>
      <c r="V262" s="44"/>
      <c r="W262" s="44"/>
      <c r="X262" s="44"/>
      <c r="Y262" s="44"/>
      <c r="Z262" s="44"/>
      <c r="AA262" s="44"/>
      <c r="AB262" s="44"/>
      <c r="AC262" s="44"/>
      <c r="AD262" s="44"/>
      <c r="AE262" s="44"/>
      <c r="AF262" s="44"/>
      <c r="AG262" s="44"/>
      <c r="AH262" s="44"/>
      <c r="AI262" s="44"/>
      <c r="AJ262" s="44"/>
      <c r="AK262" s="44"/>
      <c r="AL262" s="44"/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/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/>
      <c r="BK262" s="44"/>
      <c r="BL262" s="44"/>
      <c r="BM262" s="44"/>
      <c r="BN262" s="44"/>
      <c r="BO262" s="44"/>
      <c r="BP262" s="44"/>
      <c r="BQ262" s="44"/>
      <c r="BR262" s="44"/>
      <c r="BS262" s="44"/>
      <c r="BT262" s="44"/>
      <c r="BU262" s="44"/>
      <c r="BV262" s="44"/>
      <c r="BW262" s="44"/>
      <c r="BX262" s="44"/>
      <c r="BY262" s="44"/>
      <c r="BZ262" s="44"/>
      <c r="CA262" s="44"/>
      <c r="CB262" s="44"/>
      <c r="CC262" s="44"/>
      <c r="CD262" s="44"/>
      <c r="CE262" s="44"/>
      <c r="CF262" s="44"/>
      <c r="CG262" s="44"/>
      <c r="CH262" s="44"/>
      <c r="CI262" s="44"/>
      <c r="CJ262" s="44"/>
      <c r="CK262" s="44"/>
      <c r="CL262" s="44"/>
      <c r="CM262" s="44"/>
      <c r="CN262" s="44"/>
      <c r="CO262" s="44"/>
      <c r="CP262" s="44"/>
      <c r="CQ262" s="44"/>
      <c r="CR262" s="44"/>
      <c r="CS262" s="44"/>
      <c r="CT262" s="44"/>
      <c r="CU262" s="44"/>
      <c r="CV262" s="44"/>
      <c r="CW262" s="44"/>
      <c r="CX262" s="44"/>
      <c r="CY262" s="44"/>
      <c r="CZ262" s="44"/>
      <c r="DA262" s="44"/>
      <c r="DB262" s="44"/>
      <c r="DC262" s="44"/>
      <c r="DD262" s="44"/>
      <c r="DE262" s="44"/>
      <c r="DF262" s="45">
        <f t="shared" si="3929"/>
        <v>0</v>
      </c>
    </row>
    <row r="263" spans="1:111" s="40" customFormat="1" ht="12">
      <c r="A263" s="516">
        <v>133</v>
      </c>
      <c r="B263" s="518" t="s">
        <v>252</v>
      </c>
      <c r="C263" s="450" t="s">
        <v>104</v>
      </c>
      <c r="D263" s="451" t="s">
        <v>253</v>
      </c>
      <c r="E263" s="452" t="s">
        <v>509</v>
      </c>
      <c r="F263" s="446">
        <f>749.57+55.8</f>
        <v>805.37</v>
      </c>
      <c r="G263" s="446">
        <v>6.5</v>
      </c>
      <c r="H263" s="447">
        <f>F263*G263*365</f>
        <v>1910740.325</v>
      </c>
      <c r="I263" s="41">
        <v>440940.08</v>
      </c>
      <c r="J263" s="43">
        <f>ROUND(G263*F263*365/4,0)</f>
        <v>477685</v>
      </c>
      <c r="K263" s="44">
        <f>J263</f>
        <v>477685</v>
      </c>
      <c r="L263" s="44">
        <f>K263</f>
        <v>477685</v>
      </c>
      <c r="M263" s="44">
        <f>L263</f>
        <v>477685</v>
      </c>
      <c r="N263" s="44">
        <f>ROUND(M263*(1+取值表!$D$14)*取值表!$H$14,0)</f>
        <v>471984</v>
      </c>
      <c r="O263" s="44">
        <f>N263</f>
        <v>471984</v>
      </c>
      <c r="P263" s="44">
        <f>O263</f>
        <v>471984</v>
      </c>
      <c r="Q263" s="44">
        <f>P263</f>
        <v>471984</v>
      </c>
      <c r="R263" s="44">
        <f>ROUND(Q263*(1+取值表!$D$14)*取值表!$H$14,0)</f>
        <v>466351</v>
      </c>
      <c r="S263" s="44">
        <f t="shared" ref="S263:U263" si="3958">R263</f>
        <v>466351</v>
      </c>
      <c r="T263" s="44">
        <f t="shared" si="3958"/>
        <v>466351</v>
      </c>
      <c r="U263" s="44">
        <f t="shared" si="3958"/>
        <v>466351</v>
      </c>
      <c r="V263" s="44">
        <f>ROUND(U263*(1+取值表!$D$14)*取值表!$H$14,0)</f>
        <v>460785</v>
      </c>
      <c r="W263" s="44">
        <f t="shared" ref="W263:Y263" si="3959">V263</f>
        <v>460785</v>
      </c>
      <c r="X263" s="44">
        <f t="shared" si="3959"/>
        <v>460785</v>
      </c>
      <c r="Y263" s="44">
        <f t="shared" si="3959"/>
        <v>460785</v>
      </c>
      <c r="Z263" s="44">
        <f>ROUND(Y263*(1+取值表!$D$14)*取值表!$H$14,0)</f>
        <v>455286</v>
      </c>
      <c r="AA263" s="44">
        <f t="shared" ref="AA263:AC263" si="3960">Z263</f>
        <v>455286</v>
      </c>
      <c r="AB263" s="44">
        <f t="shared" si="3960"/>
        <v>455286</v>
      </c>
      <c r="AC263" s="44">
        <f t="shared" si="3960"/>
        <v>455286</v>
      </c>
      <c r="AD263" s="44">
        <f>ROUND(AC263*(1+取值表!$D$14)*取值表!$H$14,0)</f>
        <v>449853</v>
      </c>
      <c r="AE263" s="44">
        <f t="shared" ref="AE263:AG263" si="3961">AD263</f>
        <v>449853</v>
      </c>
      <c r="AF263" s="44">
        <f t="shared" si="3961"/>
        <v>449853</v>
      </c>
      <c r="AG263" s="44">
        <f t="shared" si="3961"/>
        <v>449853</v>
      </c>
      <c r="AH263" s="44">
        <f>ROUND(AG263*(1+取值表!$D$14)*取值表!$H$14,0)</f>
        <v>444484</v>
      </c>
      <c r="AI263" s="44">
        <f t="shared" ref="AI263:AK263" si="3962">AH263</f>
        <v>444484</v>
      </c>
      <c r="AJ263" s="44">
        <f t="shared" si="3962"/>
        <v>444484</v>
      </c>
      <c r="AK263" s="44">
        <f t="shared" si="3962"/>
        <v>444484</v>
      </c>
      <c r="AL263" s="44">
        <f>ROUND(AK263*(1+取值表!$D$14)*取值表!$H$14,0)</f>
        <v>439179</v>
      </c>
      <c r="AM263" s="44">
        <f t="shared" ref="AM263:AO263" si="3963">AL263</f>
        <v>439179</v>
      </c>
      <c r="AN263" s="44">
        <f t="shared" si="3963"/>
        <v>439179</v>
      </c>
      <c r="AO263" s="44">
        <f t="shared" si="3963"/>
        <v>439179</v>
      </c>
      <c r="AP263" s="44">
        <f>ROUND(AO263*(1+取值表!$D$14)*取值表!$H$14,0)</f>
        <v>433938</v>
      </c>
      <c r="AQ263" s="44">
        <f t="shared" ref="AQ263:AS263" si="3964">AP263</f>
        <v>433938</v>
      </c>
      <c r="AR263" s="44">
        <f t="shared" si="3964"/>
        <v>433938</v>
      </c>
      <c r="AS263" s="44">
        <f t="shared" si="3964"/>
        <v>433938</v>
      </c>
      <c r="AT263" s="44">
        <f>ROUND(AS263*(1+取值表!$D$14)*取值表!$H$14,0)</f>
        <v>428759</v>
      </c>
      <c r="AU263" s="44">
        <f t="shared" ref="AU263:AW263" si="3965">AT263</f>
        <v>428759</v>
      </c>
      <c r="AV263" s="44">
        <f t="shared" si="3965"/>
        <v>428759</v>
      </c>
      <c r="AW263" s="44">
        <f t="shared" si="3965"/>
        <v>428759</v>
      </c>
      <c r="AX263" s="44">
        <f>ROUND(AW263*(1+取值表!$D$14)*取值表!$H$14,0)</f>
        <v>423642</v>
      </c>
      <c r="AY263" s="44">
        <f t="shared" ref="AY263:BA263" si="3966">AX263</f>
        <v>423642</v>
      </c>
      <c r="AZ263" s="44">
        <f t="shared" si="3966"/>
        <v>423642</v>
      </c>
      <c r="BA263" s="44">
        <f t="shared" si="3966"/>
        <v>423642</v>
      </c>
      <c r="BB263" s="44">
        <f>ROUND(BA263*(1+取值表!$D$14)*取值表!$H$14,0)</f>
        <v>418586</v>
      </c>
      <c r="BC263" s="44">
        <f t="shared" ref="BC263:BE263" si="3967">BB263</f>
        <v>418586</v>
      </c>
      <c r="BD263" s="44">
        <f t="shared" si="3967"/>
        <v>418586</v>
      </c>
      <c r="BE263" s="44">
        <f t="shared" si="3967"/>
        <v>418586</v>
      </c>
      <c r="BF263" s="44">
        <f>ROUND(BE263*(1+取值表!$D$14)*取值表!$H$14,0)</f>
        <v>413591</v>
      </c>
      <c r="BG263" s="44">
        <f t="shared" ref="BG263:BI263" si="3968">BF263</f>
        <v>413591</v>
      </c>
      <c r="BH263" s="44">
        <f t="shared" si="3968"/>
        <v>413591</v>
      </c>
      <c r="BI263" s="44">
        <f t="shared" si="3968"/>
        <v>413591</v>
      </c>
      <c r="BJ263" s="44">
        <f>ROUND(BI263*(1+取值表!$D$14)*取值表!$H$14,0)</f>
        <v>408655</v>
      </c>
      <c r="BK263" s="44">
        <f t="shared" ref="BK263:BM263" si="3969">BJ263</f>
        <v>408655</v>
      </c>
      <c r="BL263" s="44">
        <f t="shared" si="3969"/>
        <v>408655</v>
      </c>
      <c r="BM263" s="44">
        <f t="shared" si="3969"/>
        <v>408655</v>
      </c>
      <c r="BN263" s="44">
        <f>ROUND(BM263*(1+取值表!$D$14)*取值表!$H$14,0)</f>
        <v>403778</v>
      </c>
      <c r="BO263" s="44">
        <f t="shared" ref="BO263:BQ263" si="3970">BN263</f>
        <v>403778</v>
      </c>
      <c r="BP263" s="44">
        <f t="shared" si="3970"/>
        <v>403778</v>
      </c>
      <c r="BQ263" s="44">
        <f t="shared" si="3970"/>
        <v>403778</v>
      </c>
      <c r="BR263" s="44">
        <f>ROUND(BQ263*(1+取值表!$D$14)*取值表!$H$14,0)</f>
        <v>398959</v>
      </c>
      <c r="BS263" s="44">
        <f t="shared" ref="BS263:BU263" si="3971">BR263</f>
        <v>398959</v>
      </c>
      <c r="BT263" s="44">
        <f t="shared" si="3971"/>
        <v>398959</v>
      </c>
      <c r="BU263" s="44">
        <f t="shared" si="3971"/>
        <v>398959</v>
      </c>
      <c r="BV263" s="44">
        <f>ROUND(BU263*(1+取值表!$D$14)*取值表!$H$14,0)</f>
        <v>394198</v>
      </c>
      <c r="BW263" s="44">
        <f t="shared" ref="BW263:BY263" si="3972">BV263</f>
        <v>394198</v>
      </c>
      <c r="BX263" s="44">
        <f t="shared" si="3972"/>
        <v>394198</v>
      </c>
      <c r="BY263" s="44">
        <f t="shared" si="3972"/>
        <v>394198</v>
      </c>
      <c r="BZ263" s="44">
        <f>ROUND(BY263*(1+取值表!$D$14)*取值表!$H$14,0)</f>
        <v>389494</v>
      </c>
      <c r="CA263" s="44">
        <f t="shared" ref="CA263:CC263" si="3973">BZ263</f>
        <v>389494</v>
      </c>
      <c r="CB263" s="44">
        <f t="shared" si="3973"/>
        <v>389494</v>
      </c>
      <c r="CC263" s="44">
        <f t="shared" si="3973"/>
        <v>389494</v>
      </c>
      <c r="CD263" s="44">
        <f>ROUND(CC263*(1+取值表!$D$14)*取值表!$H$14,0)</f>
        <v>384846</v>
      </c>
      <c r="CE263" s="44">
        <f t="shared" ref="CE263:CG263" si="3974">CD263</f>
        <v>384846</v>
      </c>
      <c r="CF263" s="44">
        <f t="shared" si="3974"/>
        <v>384846</v>
      </c>
      <c r="CG263" s="44">
        <f t="shared" si="3974"/>
        <v>384846</v>
      </c>
      <c r="CH263" s="44">
        <f>ROUND(CG263*(1+取值表!$D$14)*取值表!$H$14,0)</f>
        <v>380253</v>
      </c>
      <c r="CI263" s="44">
        <f t="shared" ref="CI263:CK263" si="3975">CH263</f>
        <v>380253</v>
      </c>
      <c r="CJ263" s="44">
        <f t="shared" si="3975"/>
        <v>380253</v>
      </c>
      <c r="CK263" s="44">
        <f t="shared" si="3975"/>
        <v>380253</v>
      </c>
      <c r="CL263" s="44">
        <f>ROUND(CK263*(1+取值表!$D$14)*取值表!$H$14,0)</f>
        <v>375715</v>
      </c>
      <c r="CM263" s="44">
        <f t="shared" ref="CM263:CO263" si="3976">CL263</f>
        <v>375715</v>
      </c>
      <c r="CN263" s="44">
        <f t="shared" si="3976"/>
        <v>375715</v>
      </c>
      <c r="CO263" s="44">
        <f t="shared" si="3976"/>
        <v>375715</v>
      </c>
      <c r="CP263" s="44">
        <f>ROUND(CO263*(1+取值表!$D$14)*取值表!$H$14,0)</f>
        <v>371231</v>
      </c>
      <c r="CQ263" s="44">
        <f t="shared" ref="CQ263" si="3977">CP263</f>
        <v>371231</v>
      </c>
      <c r="CR263" s="44">
        <f t="shared" ref="CR263" si="3978">CQ263</f>
        <v>371231</v>
      </c>
      <c r="CS263" s="44">
        <f t="shared" ref="CS263" si="3979">CR263</f>
        <v>371231</v>
      </c>
      <c r="CT263" s="44">
        <f>ROUND(CS263*(1+取值表!$D$14)*取值表!$H$14,0)</f>
        <v>366801</v>
      </c>
      <c r="CU263" s="44">
        <f t="shared" ref="CU263" si="3980">CT263</f>
        <v>366801</v>
      </c>
      <c r="CV263" s="44">
        <f t="shared" ref="CV263" si="3981">CU263</f>
        <v>366801</v>
      </c>
      <c r="CW263" s="44">
        <f t="shared" ref="CW263" si="3982">CV263</f>
        <v>366801</v>
      </c>
      <c r="CX263" s="44">
        <f>ROUND(CW263*(1+取值表!$D$14)*取值表!$H$14,0)</f>
        <v>362424</v>
      </c>
      <c r="CY263" s="44">
        <f t="shared" ref="CY263" si="3983">CX263</f>
        <v>362424</v>
      </c>
      <c r="CZ263" s="44">
        <f t="shared" ref="CZ263" si="3984">CY263</f>
        <v>362424</v>
      </c>
      <c r="DA263" s="44">
        <f t="shared" ref="DA263" si="3985">CZ263</f>
        <v>362424</v>
      </c>
      <c r="DB263" s="44">
        <f>ROUND(DA263*(1+取值表!$D$14)*取值表!$H$14,0)</f>
        <v>358099</v>
      </c>
      <c r="DC263" s="44">
        <f t="shared" ref="DC263" si="3986">DB263</f>
        <v>358099</v>
      </c>
      <c r="DD263" s="44">
        <f t="shared" ref="DD263" si="3987">DC263</f>
        <v>358099</v>
      </c>
      <c r="DE263" s="44">
        <f t="shared" ref="DE263" si="3988">DD263</f>
        <v>358099</v>
      </c>
      <c r="DF263" s="45">
        <f t="shared" si="3929"/>
        <v>41514304</v>
      </c>
    </row>
    <row r="264" spans="1:111" s="40" customFormat="1" ht="12">
      <c r="A264" s="517"/>
      <c r="B264" s="518"/>
      <c r="C264" s="450"/>
      <c r="D264" s="451"/>
      <c r="E264" s="452"/>
      <c r="F264" s="446"/>
      <c r="G264" s="446"/>
      <c r="H264" s="447"/>
      <c r="I264" s="41"/>
      <c r="J264" s="42"/>
      <c r="K264" s="44"/>
      <c r="L264" s="44"/>
      <c r="M264" s="44"/>
      <c r="N264" s="44"/>
      <c r="O264" s="44"/>
      <c r="P264" s="44"/>
      <c r="Q264" s="44"/>
      <c r="R264" s="44"/>
      <c r="S264" s="44"/>
      <c r="T264" s="44"/>
      <c r="U264" s="44"/>
      <c r="V264" s="44"/>
      <c r="W264" s="44"/>
      <c r="X264" s="44"/>
      <c r="Y264" s="44"/>
      <c r="Z264" s="44"/>
      <c r="AA264" s="44"/>
      <c r="AB264" s="44"/>
      <c r="AC264" s="44"/>
      <c r="AD264" s="44"/>
      <c r="AE264" s="44"/>
      <c r="AF264" s="44"/>
      <c r="AG264" s="44"/>
      <c r="AH264" s="44"/>
      <c r="AI264" s="44"/>
      <c r="AJ264" s="44"/>
      <c r="AK264" s="44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44"/>
      <c r="BR264" s="44"/>
      <c r="BS264" s="44"/>
      <c r="BT264" s="44"/>
      <c r="BU264" s="44"/>
      <c r="BV264" s="44"/>
      <c r="BW264" s="44"/>
      <c r="BX264" s="44"/>
      <c r="BY264" s="44"/>
      <c r="BZ264" s="44"/>
      <c r="CA264" s="44"/>
      <c r="CB264" s="44"/>
      <c r="CC264" s="44"/>
      <c r="CD264" s="44"/>
      <c r="CE264" s="44"/>
      <c r="CF264" s="44"/>
      <c r="CG264" s="44"/>
      <c r="CH264" s="44"/>
      <c r="CI264" s="44"/>
      <c r="CJ264" s="44"/>
      <c r="CK264" s="44"/>
      <c r="CL264" s="44"/>
      <c r="CM264" s="44"/>
      <c r="CN264" s="44"/>
      <c r="CO264" s="44"/>
      <c r="CP264" s="44"/>
      <c r="CQ264" s="44"/>
      <c r="CR264" s="44"/>
      <c r="CS264" s="44"/>
      <c r="CT264" s="44"/>
      <c r="CU264" s="44"/>
      <c r="CV264" s="44"/>
      <c r="CW264" s="44"/>
      <c r="CX264" s="44"/>
      <c r="CY264" s="44"/>
      <c r="CZ264" s="44"/>
      <c r="DA264" s="44"/>
      <c r="DB264" s="44"/>
      <c r="DC264" s="44"/>
      <c r="DD264" s="44"/>
      <c r="DE264" s="44"/>
      <c r="DF264" s="45">
        <f t="shared" si="3929"/>
        <v>0</v>
      </c>
    </row>
    <row r="265" spans="1:111" s="234" customFormat="1" ht="12">
      <c r="A265" s="516">
        <v>134</v>
      </c>
      <c r="B265" s="518" t="s">
        <v>254</v>
      </c>
      <c r="C265" s="450" t="s">
        <v>255</v>
      </c>
      <c r="D265" s="451" t="s">
        <v>256</v>
      </c>
      <c r="E265" s="452" t="s">
        <v>509</v>
      </c>
      <c r="F265" s="446">
        <v>235</v>
      </c>
      <c r="G265" s="446">
        <v>8</v>
      </c>
      <c r="H265" s="447">
        <f>F265*G265*365</f>
        <v>686200</v>
      </c>
      <c r="I265" s="41">
        <v>166617.94</v>
      </c>
      <c r="J265" s="42">
        <f>ROUND(G265*F265*365/4,0)</f>
        <v>171550</v>
      </c>
      <c r="K265" s="44">
        <f t="shared" ref="K265:T265" si="3989">J265</f>
        <v>171550</v>
      </c>
      <c r="L265" s="44">
        <f t="shared" si="3989"/>
        <v>171550</v>
      </c>
      <c r="M265" s="44">
        <f t="shared" si="3989"/>
        <v>171550</v>
      </c>
      <c r="N265" s="44">
        <f t="shared" si="3989"/>
        <v>171550</v>
      </c>
      <c r="O265" s="44">
        <f t="shared" si="3989"/>
        <v>171550</v>
      </c>
      <c r="P265" s="44">
        <f t="shared" si="3989"/>
        <v>171550</v>
      </c>
      <c r="Q265" s="44">
        <f t="shared" si="3989"/>
        <v>171550</v>
      </c>
      <c r="R265" s="44">
        <f t="shared" si="3989"/>
        <v>171550</v>
      </c>
      <c r="S265" s="44">
        <f t="shared" si="3989"/>
        <v>171550</v>
      </c>
      <c r="T265" s="43">
        <f t="shared" si="3989"/>
        <v>171550</v>
      </c>
      <c r="U265" s="44">
        <f>T265</f>
        <v>171550</v>
      </c>
      <c r="V265" s="44">
        <f>ROUND(U265*(1+取值表!$D$14)*取值表!$H$14,0)</f>
        <v>169503</v>
      </c>
      <c r="W265" s="44">
        <f>V265</f>
        <v>169503</v>
      </c>
      <c r="X265" s="44">
        <f>W265</f>
        <v>169503</v>
      </c>
      <c r="Y265" s="44">
        <f>X265</f>
        <v>169503</v>
      </c>
      <c r="Z265" s="44">
        <f>ROUND(Y265*(1+取值表!$D$14)*取值表!$H$14,0)</f>
        <v>167480</v>
      </c>
      <c r="AA265" s="44">
        <f t="shared" ref="AA265:AC265" si="3990">Z265</f>
        <v>167480</v>
      </c>
      <c r="AB265" s="44">
        <f t="shared" si="3990"/>
        <v>167480</v>
      </c>
      <c r="AC265" s="44">
        <f t="shared" si="3990"/>
        <v>167480</v>
      </c>
      <c r="AD265" s="44">
        <f>ROUND(AC265*(1+取值表!$D$14)*取值表!$H$14,0)</f>
        <v>165481</v>
      </c>
      <c r="AE265" s="44">
        <f t="shared" ref="AE265:AG265" si="3991">AD265</f>
        <v>165481</v>
      </c>
      <c r="AF265" s="44">
        <f t="shared" si="3991"/>
        <v>165481</v>
      </c>
      <c r="AG265" s="44">
        <f t="shared" si="3991"/>
        <v>165481</v>
      </c>
      <c r="AH265" s="44">
        <f>ROUND(AG265*(1+取值表!$D$14)*取值表!$H$14,0)</f>
        <v>163506</v>
      </c>
      <c r="AI265" s="44">
        <f t="shared" ref="AI265:AK265" si="3992">AH265</f>
        <v>163506</v>
      </c>
      <c r="AJ265" s="44">
        <f t="shared" si="3992"/>
        <v>163506</v>
      </c>
      <c r="AK265" s="44">
        <f t="shared" si="3992"/>
        <v>163506</v>
      </c>
      <c r="AL265" s="44">
        <f>ROUND(AK265*(1+取值表!$D$14)*取值表!$H$14,0)</f>
        <v>161555</v>
      </c>
      <c r="AM265" s="44">
        <f t="shared" ref="AM265:AO265" si="3993">AL265</f>
        <v>161555</v>
      </c>
      <c r="AN265" s="44">
        <f t="shared" si="3993"/>
        <v>161555</v>
      </c>
      <c r="AO265" s="44">
        <f t="shared" si="3993"/>
        <v>161555</v>
      </c>
      <c r="AP265" s="44">
        <f>ROUND(AO265*(1+取值表!$D$14)*取值表!$H$14,0)</f>
        <v>159627</v>
      </c>
      <c r="AQ265" s="44">
        <f t="shared" ref="AQ265:AS265" si="3994">AP265</f>
        <v>159627</v>
      </c>
      <c r="AR265" s="44">
        <f t="shared" si="3994"/>
        <v>159627</v>
      </c>
      <c r="AS265" s="44">
        <f t="shared" si="3994"/>
        <v>159627</v>
      </c>
      <c r="AT265" s="44">
        <f>ROUND(AS265*(1+取值表!$D$14)*取值表!$H$14,0)</f>
        <v>157722</v>
      </c>
      <c r="AU265" s="44">
        <f t="shared" ref="AU265:AW265" si="3995">AT265</f>
        <v>157722</v>
      </c>
      <c r="AV265" s="44">
        <f t="shared" si="3995"/>
        <v>157722</v>
      </c>
      <c r="AW265" s="44">
        <f t="shared" si="3995"/>
        <v>157722</v>
      </c>
      <c r="AX265" s="44">
        <f>ROUND(AW265*(1+取值表!$D$14)*取值表!$H$14,0)</f>
        <v>155840</v>
      </c>
      <c r="AY265" s="44">
        <f t="shared" ref="AY265:BA265" si="3996">AX265</f>
        <v>155840</v>
      </c>
      <c r="AZ265" s="44">
        <f t="shared" si="3996"/>
        <v>155840</v>
      </c>
      <c r="BA265" s="44">
        <f t="shared" si="3996"/>
        <v>155840</v>
      </c>
      <c r="BB265" s="44">
        <f>ROUND(BA265*(1+取值表!$D$14)*取值表!$H$14,0)</f>
        <v>153980</v>
      </c>
      <c r="BC265" s="44">
        <f t="shared" ref="BC265:BE265" si="3997">BB265</f>
        <v>153980</v>
      </c>
      <c r="BD265" s="44">
        <f t="shared" si="3997"/>
        <v>153980</v>
      </c>
      <c r="BE265" s="44">
        <f t="shared" si="3997"/>
        <v>153980</v>
      </c>
      <c r="BF265" s="44">
        <f>ROUND(BE265*(1+取值表!$D$14)*取值表!$H$14,0)</f>
        <v>152142</v>
      </c>
      <c r="BG265" s="44">
        <f t="shared" ref="BG265:BI265" si="3998">BF265</f>
        <v>152142</v>
      </c>
      <c r="BH265" s="44">
        <f t="shared" si="3998"/>
        <v>152142</v>
      </c>
      <c r="BI265" s="44">
        <f t="shared" si="3998"/>
        <v>152142</v>
      </c>
      <c r="BJ265" s="44">
        <f>ROUND(BI265*(1+取值表!$D$14)*取值表!$H$14,0)</f>
        <v>150326</v>
      </c>
      <c r="BK265" s="44">
        <f t="shared" ref="BK265:BM265" si="3999">BJ265</f>
        <v>150326</v>
      </c>
      <c r="BL265" s="44">
        <f t="shared" si="3999"/>
        <v>150326</v>
      </c>
      <c r="BM265" s="44">
        <f t="shared" si="3999"/>
        <v>150326</v>
      </c>
      <c r="BN265" s="44">
        <f>ROUND(BM265*(1+取值表!$D$14)*取值表!$H$14,0)</f>
        <v>148532</v>
      </c>
      <c r="BO265" s="44">
        <f t="shared" ref="BO265:BQ265" si="4000">BN265</f>
        <v>148532</v>
      </c>
      <c r="BP265" s="44">
        <f t="shared" si="4000"/>
        <v>148532</v>
      </c>
      <c r="BQ265" s="44">
        <f t="shared" si="4000"/>
        <v>148532</v>
      </c>
      <c r="BR265" s="44">
        <f>ROUND(BQ265*(1+取值表!$D$14)*取值表!$H$14,0)</f>
        <v>146759</v>
      </c>
      <c r="BS265" s="44">
        <f t="shared" ref="BS265:BU265" si="4001">BR265</f>
        <v>146759</v>
      </c>
      <c r="BT265" s="44">
        <f t="shared" si="4001"/>
        <v>146759</v>
      </c>
      <c r="BU265" s="44">
        <f t="shared" si="4001"/>
        <v>146759</v>
      </c>
      <c r="BV265" s="44">
        <f>ROUND(BU265*(1+取值表!$D$14)*取值表!$H$14,0)</f>
        <v>145008</v>
      </c>
      <c r="BW265" s="44">
        <f t="shared" ref="BW265:BY265" si="4002">BV265</f>
        <v>145008</v>
      </c>
      <c r="BX265" s="44">
        <f t="shared" si="4002"/>
        <v>145008</v>
      </c>
      <c r="BY265" s="44">
        <f t="shared" si="4002"/>
        <v>145008</v>
      </c>
      <c r="BZ265" s="44">
        <f>ROUND(BY265*(1+取值表!$D$14)*取值表!$H$14,0)</f>
        <v>143277</v>
      </c>
      <c r="CA265" s="44">
        <f t="shared" ref="CA265:CC265" si="4003">BZ265</f>
        <v>143277</v>
      </c>
      <c r="CB265" s="44">
        <f t="shared" si="4003"/>
        <v>143277</v>
      </c>
      <c r="CC265" s="44">
        <f t="shared" si="4003"/>
        <v>143277</v>
      </c>
      <c r="CD265" s="44">
        <f>ROUND(CC265*(1+取值表!$D$14)*取值表!$H$14,0)</f>
        <v>141567</v>
      </c>
      <c r="CE265" s="44">
        <f t="shared" ref="CE265:CG265" si="4004">CD265</f>
        <v>141567</v>
      </c>
      <c r="CF265" s="44">
        <f t="shared" si="4004"/>
        <v>141567</v>
      </c>
      <c r="CG265" s="44">
        <f t="shared" si="4004"/>
        <v>141567</v>
      </c>
      <c r="CH265" s="44">
        <f>ROUND(CG265*(1+取值表!$D$14)*取值表!$H$14,0)</f>
        <v>139878</v>
      </c>
      <c r="CI265" s="44">
        <f t="shared" ref="CI265:CK265" si="4005">CH265</f>
        <v>139878</v>
      </c>
      <c r="CJ265" s="44">
        <f t="shared" si="4005"/>
        <v>139878</v>
      </c>
      <c r="CK265" s="44">
        <f t="shared" si="4005"/>
        <v>139878</v>
      </c>
      <c r="CL265" s="44">
        <f>ROUND(CK265*(1+取值表!$D$14)*取值表!$H$14,0)</f>
        <v>138209</v>
      </c>
      <c r="CM265" s="44">
        <f t="shared" ref="CM265:CO265" si="4006">CL265</f>
        <v>138209</v>
      </c>
      <c r="CN265" s="44">
        <f t="shared" si="4006"/>
        <v>138209</v>
      </c>
      <c r="CO265" s="44">
        <f t="shared" si="4006"/>
        <v>138209</v>
      </c>
      <c r="CP265" s="44">
        <f>ROUND(CO265*(1+取值表!$D$14)*取值表!$H$14,0)</f>
        <v>136560</v>
      </c>
      <c r="CQ265" s="44">
        <f t="shared" ref="CQ265" si="4007">CP265</f>
        <v>136560</v>
      </c>
      <c r="CR265" s="44">
        <f t="shared" ref="CR265" si="4008">CQ265</f>
        <v>136560</v>
      </c>
      <c r="CS265" s="44">
        <f t="shared" ref="CS265" si="4009">CR265</f>
        <v>136560</v>
      </c>
      <c r="CT265" s="44">
        <f>ROUND(CS265*(1+取值表!$D$14)*取值表!$H$14,0)</f>
        <v>134930</v>
      </c>
      <c r="CU265" s="44">
        <f t="shared" ref="CU265" si="4010">CT265</f>
        <v>134930</v>
      </c>
      <c r="CV265" s="44">
        <f t="shared" ref="CV265" si="4011">CU265</f>
        <v>134930</v>
      </c>
      <c r="CW265" s="44">
        <f t="shared" ref="CW265" si="4012">CV265</f>
        <v>134930</v>
      </c>
      <c r="CX265" s="44">
        <f>ROUND(CW265*(1+取值表!$D$14)*取值表!$H$14,0)</f>
        <v>133320</v>
      </c>
      <c r="CY265" s="44">
        <f t="shared" ref="CY265" si="4013">CX265</f>
        <v>133320</v>
      </c>
      <c r="CZ265" s="44">
        <f t="shared" ref="CZ265" si="4014">CY265</f>
        <v>133320</v>
      </c>
      <c r="DA265" s="44">
        <f t="shared" ref="DA265" si="4015">CZ265</f>
        <v>133320</v>
      </c>
      <c r="DB265" s="44">
        <f>ROUND(DA265*(1+取值表!$D$14)*取值表!$H$14,0)</f>
        <v>131729</v>
      </c>
      <c r="DC265" s="44">
        <f t="shared" ref="DC265" si="4016">DB265</f>
        <v>131729</v>
      </c>
      <c r="DD265" s="44">
        <f t="shared" ref="DD265" si="4017">DC265</f>
        <v>131729</v>
      </c>
      <c r="DE265" s="44">
        <f t="shared" ref="DE265" si="4018">DD265</f>
        <v>131729</v>
      </c>
      <c r="DF265" s="45">
        <f t="shared" si="3929"/>
        <v>15246324</v>
      </c>
      <c r="DG265" s="40"/>
    </row>
    <row r="266" spans="1:111" s="234" customFormat="1" ht="12">
      <c r="A266" s="517"/>
      <c r="B266" s="518"/>
      <c r="C266" s="450"/>
      <c r="D266" s="451"/>
      <c r="E266" s="452"/>
      <c r="F266" s="446"/>
      <c r="G266" s="446"/>
      <c r="H266" s="447"/>
      <c r="I266" s="41"/>
      <c r="J266" s="42"/>
      <c r="K266" s="44"/>
      <c r="L266" s="44"/>
      <c r="M266" s="44"/>
      <c r="N266" s="44"/>
      <c r="O266" s="44"/>
      <c r="P266" s="44"/>
      <c r="Q266" s="44"/>
      <c r="R266" s="44"/>
      <c r="S266" s="44"/>
      <c r="T266" s="44"/>
      <c r="U266" s="44"/>
      <c r="V266" s="44"/>
      <c r="W266" s="44"/>
      <c r="X266" s="44"/>
      <c r="Y266" s="44"/>
      <c r="Z266" s="44"/>
      <c r="AA266" s="44"/>
      <c r="AB266" s="44"/>
      <c r="AC266" s="44"/>
      <c r="AD266" s="44"/>
      <c r="AE266" s="44"/>
      <c r="AF266" s="44"/>
      <c r="AG266" s="44"/>
      <c r="AH266" s="44"/>
      <c r="AI266" s="44"/>
      <c r="AJ266" s="44"/>
      <c r="AK266" s="44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44"/>
      <c r="BY266" s="44"/>
      <c r="BZ266" s="44"/>
      <c r="CA266" s="44"/>
      <c r="CB266" s="44"/>
      <c r="CC266" s="44"/>
      <c r="CD266" s="44"/>
      <c r="CE266" s="44"/>
      <c r="CF266" s="44"/>
      <c r="CG266" s="44"/>
      <c r="CH266" s="44"/>
      <c r="CI266" s="44"/>
      <c r="CJ266" s="44"/>
      <c r="CK266" s="44"/>
      <c r="CL266" s="44"/>
      <c r="CM266" s="44"/>
      <c r="CN266" s="44"/>
      <c r="CO266" s="44"/>
      <c r="CP266" s="44"/>
      <c r="CQ266" s="44"/>
      <c r="CR266" s="44"/>
      <c r="CS266" s="44"/>
      <c r="CT266" s="44"/>
      <c r="CU266" s="44"/>
      <c r="CV266" s="44"/>
      <c r="CW266" s="44"/>
      <c r="CX266" s="44"/>
      <c r="CY266" s="44"/>
      <c r="CZ266" s="44"/>
      <c r="DA266" s="44"/>
      <c r="DB266" s="44"/>
      <c r="DC266" s="44"/>
      <c r="DD266" s="44"/>
      <c r="DE266" s="44"/>
      <c r="DF266" s="45">
        <f t="shared" si="3929"/>
        <v>0</v>
      </c>
      <c r="DG266" s="40"/>
    </row>
    <row r="267" spans="1:111" s="234" customFormat="1" ht="12">
      <c r="A267" s="516">
        <v>135</v>
      </c>
      <c r="B267" s="518" t="s">
        <v>257</v>
      </c>
      <c r="C267" s="450" t="s">
        <v>258</v>
      </c>
      <c r="D267" s="451" t="s">
        <v>259</v>
      </c>
      <c r="E267" s="452" t="s">
        <v>509</v>
      </c>
      <c r="F267" s="451">
        <v>91</v>
      </c>
      <c r="G267" s="446">
        <f>AVERAGE(7.5,8)</f>
        <v>7.75</v>
      </c>
      <c r="H267" s="447">
        <f>F267*G267*365</f>
        <v>257416.25</v>
      </c>
      <c r="I267" s="41">
        <v>64354.06</v>
      </c>
      <c r="J267" s="42">
        <f>ROUND(7.5*F267*365/4,0)</f>
        <v>62278</v>
      </c>
      <c r="K267" s="44">
        <f>J267</f>
        <v>62278</v>
      </c>
      <c r="L267" s="44">
        <f>K267</f>
        <v>62278</v>
      </c>
      <c r="M267" s="42">
        <f>ROUND(8*F267*365/4,0)</f>
        <v>66430</v>
      </c>
      <c r="N267" s="44">
        <f>M267</f>
        <v>66430</v>
      </c>
      <c r="O267" s="44">
        <f>N267</f>
        <v>66430</v>
      </c>
      <c r="P267" s="43">
        <f>O267</f>
        <v>66430</v>
      </c>
      <c r="Q267" s="44">
        <f>P267</f>
        <v>66430</v>
      </c>
      <c r="R267" s="44">
        <f>ROUND(Q267*(1+取值表!$D$14)*取值表!$H$14,0)</f>
        <v>65637</v>
      </c>
      <c r="S267" s="44">
        <f>R267</f>
        <v>65637</v>
      </c>
      <c r="T267" s="44">
        <f>S267</f>
        <v>65637</v>
      </c>
      <c r="U267" s="44">
        <f>T267</f>
        <v>65637</v>
      </c>
      <c r="V267" s="44">
        <f>ROUND(U267*(1+取值表!$D$14)*取值表!$H$14,0)</f>
        <v>64854</v>
      </c>
      <c r="W267" s="44">
        <f>V267</f>
        <v>64854</v>
      </c>
      <c r="X267" s="44">
        <f>W267</f>
        <v>64854</v>
      </c>
      <c r="Y267" s="44">
        <f>X267</f>
        <v>64854</v>
      </c>
      <c r="Z267" s="44">
        <f>ROUND(Y267*(1+取值表!$D$14)*取值表!$H$14,0)</f>
        <v>64080</v>
      </c>
      <c r="AA267" s="44">
        <f t="shared" ref="AA267:AC267" si="4019">Z267</f>
        <v>64080</v>
      </c>
      <c r="AB267" s="44">
        <f t="shared" si="4019"/>
        <v>64080</v>
      </c>
      <c r="AC267" s="44">
        <f t="shared" si="4019"/>
        <v>64080</v>
      </c>
      <c r="AD267" s="44">
        <f>ROUND(AC267*(1+取值表!$D$14)*取值表!$H$14,0)</f>
        <v>63315</v>
      </c>
      <c r="AE267" s="44">
        <f t="shared" ref="AE267:AG267" si="4020">AD267</f>
        <v>63315</v>
      </c>
      <c r="AF267" s="44">
        <f t="shared" si="4020"/>
        <v>63315</v>
      </c>
      <c r="AG267" s="44">
        <f t="shared" si="4020"/>
        <v>63315</v>
      </c>
      <c r="AH267" s="44">
        <f>ROUND(AG267*(1+取值表!$D$14)*取值表!$H$14,0)</f>
        <v>62559</v>
      </c>
      <c r="AI267" s="44">
        <f t="shared" ref="AI267:AK267" si="4021">AH267</f>
        <v>62559</v>
      </c>
      <c r="AJ267" s="44">
        <f t="shared" si="4021"/>
        <v>62559</v>
      </c>
      <c r="AK267" s="44">
        <f t="shared" si="4021"/>
        <v>62559</v>
      </c>
      <c r="AL267" s="44">
        <f>ROUND(AK267*(1+取值表!$D$14)*取值表!$H$14,0)</f>
        <v>61812</v>
      </c>
      <c r="AM267" s="44">
        <f t="shared" ref="AM267:AO267" si="4022">AL267</f>
        <v>61812</v>
      </c>
      <c r="AN267" s="44">
        <f t="shared" si="4022"/>
        <v>61812</v>
      </c>
      <c r="AO267" s="44">
        <f t="shared" si="4022"/>
        <v>61812</v>
      </c>
      <c r="AP267" s="44">
        <f>ROUND(AO267*(1+取值表!$D$14)*取值表!$H$14,0)</f>
        <v>61074</v>
      </c>
      <c r="AQ267" s="44">
        <f t="shared" ref="AQ267:AS267" si="4023">AP267</f>
        <v>61074</v>
      </c>
      <c r="AR267" s="44">
        <f t="shared" si="4023"/>
        <v>61074</v>
      </c>
      <c r="AS267" s="44">
        <f t="shared" si="4023"/>
        <v>61074</v>
      </c>
      <c r="AT267" s="44">
        <f>ROUND(AS267*(1+取值表!$D$14)*取值表!$H$14,0)</f>
        <v>60345</v>
      </c>
      <c r="AU267" s="44">
        <f t="shared" ref="AU267:AW267" si="4024">AT267</f>
        <v>60345</v>
      </c>
      <c r="AV267" s="44">
        <f t="shared" si="4024"/>
        <v>60345</v>
      </c>
      <c r="AW267" s="44">
        <f t="shared" si="4024"/>
        <v>60345</v>
      </c>
      <c r="AX267" s="44">
        <f>ROUND(AW267*(1+取值表!$D$14)*取值表!$H$14,0)</f>
        <v>59625</v>
      </c>
      <c r="AY267" s="44">
        <f t="shared" ref="AY267:BA267" si="4025">AX267</f>
        <v>59625</v>
      </c>
      <c r="AZ267" s="44">
        <f t="shared" si="4025"/>
        <v>59625</v>
      </c>
      <c r="BA267" s="44">
        <f t="shared" si="4025"/>
        <v>59625</v>
      </c>
      <c r="BB267" s="44">
        <f>ROUND(BA267*(1+取值表!$D$14)*取值表!$H$14,0)</f>
        <v>58913</v>
      </c>
      <c r="BC267" s="44">
        <f t="shared" ref="BC267:BE267" si="4026">BB267</f>
        <v>58913</v>
      </c>
      <c r="BD267" s="44">
        <f t="shared" si="4026"/>
        <v>58913</v>
      </c>
      <c r="BE267" s="44">
        <f t="shared" si="4026"/>
        <v>58913</v>
      </c>
      <c r="BF267" s="44">
        <f>ROUND(BE267*(1+取值表!$D$14)*取值表!$H$14,0)</f>
        <v>58210</v>
      </c>
      <c r="BG267" s="44">
        <f t="shared" ref="BG267:BI267" si="4027">BF267</f>
        <v>58210</v>
      </c>
      <c r="BH267" s="44">
        <f t="shared" si="4027"/>
        <v>58210</v>
      </c>
      <c r="BI267" s="44">
        <f t="shared" si="4027"/>
        <v>58210</v>
      </c>
      <c r="BJ267" s="44">
        <f>ROUND(BI267*(1+取值表!$D$14)*取值表!$H$14,0)</f>
        <v>57515</v>
      </c>
      <c r="BK267" s="44">
        <f t="shared" ref="BK267:BM267" si="4028">BJ267</f>
        <v>57515</v>
      </c>
      <c r="BL267" s="44">
        <f t="shared" si="4028"/>
        <v>57515</v>
      </c>
      <c r="BM267" s="44">
        <f t="shared" si="4028"/>
        <v>57515</v>
      </c>
      <c r="BN267" s="44">
        <f>ROUND(BM267*(1+取值表!$D$14)*取值表!$H$14,0)</f>
        <v>56829</v>
      </c>
      <c r="BO267" s="44">
        <f t="shared" ref="BO267:BQ267" si="4029">BN267</f>
        <v>56829</v>
      </c>
      <c r="BP267" s="44">
        <f t="shared" si="4029"/>
        <v>56829</v>
      </c>
      <c r="BQ267" s="44">
        <f t="shared" si="4029"/>
        <v>56829</v>
      </c>
      <c r="BR267" s="44">
        <f>ROUND(BQ267*(1+取值表!$D$14)*取值表!$H$14,0)</f>
        <v>56151</v>
      </c>
      <c r="BS267" s="44">
        <f t="shared" ref="BS267:BU267" si="4030">BR267</f>
        <v>56151</v>
      </c>
      <c r="BT267" s="44">
        <f t="shared" si="4030"/>
        <v>56151</v>
      </c>
      <c r="BU267" s="44">
        <f t="shared" si="4030"/>
        <v>56151</v>
      </c>
      <c r="BV267" s="44">
        <f>ROUND(BU267*(1+取值表!$D$14)*取值表!$H$14,0)</f>
        <v>55481</v>
      </c>
      <c r="BW267" s="44">
        <f t="shared" ref="BW267:BY267" si="4031">BV267</f>
        <v>55481</v>
      </c>
      <c r="BX267" s="44">
        <f t="shared" si="4031"/>
        <v>55481</v>
      </c>
      <c r="BY267" s="44">
        <f t="shared" si="4031"/>
        <v>55481</v>
      </c>
      <c r="BZ267" s="44">
        <f>ROUND(BY267*(1+取值表!$D$14)*取值表!$H$14,0)</f>
        <v>54819</v>
      </c>
      <c r="CA267" s="44">
        <f t="shared" ref="CA267:CC267" si="4032">BZ267</f>
        <v>54819</v>
      </c>
      <c r="CB267" s="44">
        <f t="shared" si="4032"/>
        <v>54819</v>
      </c>
      <c r="CC267" s="44">
        <f t="shared" si="4032"/>
        <v>54819</v>
      </c>
      <c r="CD267" s="44">
        <f>ROUND(CC267*(1+取值表!$D$14)*取值表!$H$14,0)</f>
        <v>54165</v>
      </c>
      <c r="CE267" s="44">
        <f t="shared" ref="CE267:CG267" si="4033">CD267</f>
        <v>54165</v>
      </c>
      <c r="CF267" s="44">
        <f t="shared" si="4033"/>
        <v>54165</v>
      </c>
      <c r="CG267" s="44">
        <f t="shared" si="4033"/>
        <v>54165</v>
      </c>
      <c r="CH267" s="44">
        <f>ROUND(CG267*(1+取值表!$D$14)*取值表!$H$14,0)</f>
        <v>53519</v>
      </c>
      <c r="CI267" s="44">
        <f t="shared" ref="CI267:CK267" si="4034">CH267</f>
        <v>53519</v>
      </c>
      <c r="CJ267" s="44">
        <f t="shared" si="4034"/>
        <v>53519</v>
      </c>
      <c r="CK267" s="44">
        <f t="shared" si="4034"/>
        <v>53519</v>
      </c>
      <c r="CL267" s="44">
        <f>ROUND(CK267*(1+取值表!$D$14)*取值表!$H$14,0)</f>
        <v>52880</v>
      </c>
      <c r="CM267" s="44">
        <f t="shared" ref="CM267:CO267" si="4035">CL267</f>
        <v>52880</v>
      </c>
      <c r="CN267" s="44">
        <f t="shared" si="4035"/>
        <v>52880</v>
      </c>
      <c r="CO267" s="44">
        <f t="shared" si="4035"/>
        <v>52880</v>
      </c>
      <c r="CP267" s="44">
        <f>ROUND(CO267*(1+取值表!$D$14)*取值表!$H$14,0)</f>
        <v>52249</v>
      </c>
      <c r="CQ267" s="44">
        <f t="shared" ref="CQ267" si="4036">CP267</f>
        <v>52249</v>
      </c>
      <c r="CR267" s="44">
        <f t="shared" ref="CR267" si="4037">CQ267</f>
        <v>52249</v>
      </c>
      <c r="CS267" s="44">
        <f t="shared" ref="CS267" si="4038">CR267</f>
        <v>52249</v>
      </c>
      <c r="CT267" s="44">
        <f>ROUND(CS267*(1+取值表!$D$14)*取值表!$H$14,0)</f>
        <v>51625</v>
      </c>
      <c r="CU267" s="44">
        <f t="shared" ref="CU267" si="4039">CT267</f>
        <v>51625</v>
      </c>
      <c r="CV267" s="44">
        <f t="shared" ref="CV267" si="4040">CU267</f>
        <v>51625</v>
      </c>
      <c r="CW267" s="44">
        <f t="shared" ref="CW267" si="4041">CV267</f>
        <v>51625</v>
      </c>
      <c r="CX267" s="44">
        <f>ROUND(CW267*(1+取值表!$D$14)*取值表!$H$14,0)</f>
        <v>51009</v>
      </c>
      <c r="CY267" s="44">
        <f t="shared" ref="CY267" si="4042">CX267</f>
        <v>51009</v>
      </c>
      <c r="CZ267" s="44">
        <f t="shared" ref="CZ267" si="4043">CY267</f>
        <v>51009</v>
      </c>
      <c r="DA267" s="44">
        <f t="shared" ref="DA267" si="4044">CZ267</f>
        <v>51009</v>
      </c>
      <c r="DB267" s="44">
        <f>ROUND(DA267*(1+取值表!$D$14)*取值表!$H$14,0)</f>
        <v>50400</v>
      </c>
      <c r="DC267" s="44">
        <f t="shared" ref="DC267" si="4045">DB267</f>
        <v>50400</v>
      </c>
      <c r="DD267" s="44">
        <f t="shared" ref="DD267" si="4046">DC267</f>
        <v>50400</v>
      </c>
      <c r="DE267" s="44">
        <f t="shared" ref="DE267" si="4047">DD267</f>
        <v>50400</v>
      </c>
      <c r="DF267" s="45">
        <f t="shared" si="3929"/>
        <v>5827248</v>
      </c>
      <c r="DG267" s="40"/>
    </row>
    <row r="268" spans="1:111" s="234" customFormat="1" ht="12">
      <c r="A268" s="517"/>
      <c r="B268" s="518"/>
      <c r="C268" s="450"/>
      <c r="D268" s="451"/>
      <c r="E268" s="452"/>
      <c r="F268" s="451"/>
      <c r="G268" s="446"/>
      <c r="H268" s="447"/>
      <c r="I268" s="41"/>
      <c r="J268" s="42"/>
      <c r="K268" s="44"/>
      <c r="L268" s="44"/>
      <c r="M268" s="44"/>
      <c r="N268" s="44"/>
      <c r="O268" s="44"/>
      <c r="P268" s="44"/>
      <c r="Q268" s="44"/>
      <c r="R268" s="44"/>
      <c r="S268" s="44"/>
      <c r="T268" s="44"/>
      <c r="U268" s="44"/>
      <c r="V268" s="44"/>
      <c r="W268" s="44"/>
      <c r="X268" s="44"/>
      <c r="Y268" s="44"/>
      <c r="Z268" s="44"/>
      <c r="AA268" s="44"/>
      <c r="AB268" s="44"/>
      <c r="AC268" s="44"/>
      <c r="AD268" s="44"/>
      <c r="AE268" s="44"/>
      <c r="AF268" s="44"/>
      <c r="AG268" s="44"/>
      <c r="AH268" s="44"/>
      <c r="AI268" s="44"/>
      <c r="AJ268" s="44"/>
      <c r="AK268" s="44"/>
      <c r="AL268" s="44"/>
      <c r="AM268" s="44"/>
      <c r="AN268" s="44"/>
      <c r="AO268" s="44"/>
      <c r="AP268" s="44"/>
      <c r="AQ268" s="44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  <c r="CB268" s="44"/>
      <c r="CC268" s="44"/>
      <c r="CD268" s="44"/>
      <c r="CE268" s="44"/>
      <c r="CF268" s="44"/>
      <c r="CG268" s="44"/>
      <c r="CH268" s="44"/>
      <c r="CI268" s="44"/>
      <c r="CJ268" s="44"/>
      <c r="CK268" s="44"/>
      <c r="CL268" s="44"/>
      <c r="CM268" s="44"/>
      <c r="CN268" s="44"/>
      <c r="CO268" s="44"/>
      <c r="CP268" s="44"/>
      <c r="CQ268" s="44"/>
      <c r="CR268" s="44"/>
      <c r="CS268" s="44"/>
      <c r="CT268" s="44"/>
      <c r="CU268" s="44"/>
      <c r="CV268" s="44"/>
      <c r="CW268" s="44"/>
      <c r="CX268" s="44"/>
      <c r="CY268" s="44"/>
      <c r="CZ268" s="44"/>
      <c r="DA268" s="44"/>
      <c r="DB268" s="44"/>
      <c r="DC268" s="44"/>
      <c r="DD268" s="44"/>
      <c r="DE268" s="44"/>
      <c r="DF268" s="45">
        <f t="shared" si="3929"/>
        <v>0</v>
      </c>
      <c r="DG268" s="40"/>
    </row>
    <row r="269" spans="1:111" s="234" customFormat="1" ht="16.5" customHeight="1">
      <c r="A269" s="516">
        <v>136</v>
      </c>
      <c r="B269" s="518" t="s">
        <v>260</v>
      </c>
      <c r="C269" s="450" t="s">
        <v>261</v>
      </c>
      <c r="D269" s="451" t="s">
        <v>262</v>
      </c>
      <c r="E269" s="452" t="s">
        <v>509</v>
      </c>
      <c r="F269" s="451">
        <v>141</v>
      </c>
      <c r="G269" s="446">
        <v>8.5</v>
      </c>
      <c r="H269" s="447">
        <f>F269*G269*365</f>
        <v>437452.5</v>
      </c>
      <c r="I269" s="41">
        <v>102930</v>
      </c>
      <c r="J269" s="42">
        <f>ROUND(G269*F269*365/4,0)</f>
        <v>109363</v>
      </c>
      <c r="K269" s="44">
        <f>J269</f>
        <v>109363</v>
      </c>
      <c r="L269" s="44">
        <f>K269</f>
        <v>109363</v>
      </c>
      <c r="M269" s="44">
        <f t="shared" ref="M269:T269" si="4048">L269</f>
        <v>109363</v>
      </c>
      <c r="N269" s="44">
        <f t="shared" si="4048"/>
        <v>109363</v>
      </c>
      <c r="O269" s="44">
        <f t="shared" si="4048"/>
        <v>109363</v>
      </c>
      <c r="P269" s="44">
        <f t="shared" si="4048"/>
        <v>109363</v>
      </c>
      <c r="Q269" s="44">
        <f t="shared" si="4048"/>
        <v>109363</v>
      </c>
      <c r="R269" s="44">
        <f t="shared" si="4048"/>
        <v>109363</v>
      </c>
      <c r="S269" s="44">
        <f t="shared" si="4048"/>
        <v>109363</v>
      </c>
      <c r="T269" s="43">
        <f t="shared" si="4048"/>
        <v>109363</v>
      </c>
      <c r="U269" s="44">
        <f>T269</f>
        <v>109363</v>
      </c>
      <c r="V269" s="44">
        <f>ROUND(U269*(1+取值表!$D$14)*取值表!$H$14,0)</f>
        <v>108058</v>
      </c>
      <c r="W269" s="44">
        <f>V269</f>
        <v>108058</v>
      </c>
      <c r="X269" s="44">
        <f>W269</f>
        <v>108058</v>
      </c>
      <c r="Y269" s="44">
        <f>X269</f>
        <v>108058</v>
      </c>
      <c r="Z269" s="44">
        <f>ROUND(Y269*(1+取值表!$D$14)*取值表!$H$14,0)</f>
        <v>106768</v>
      </c>
      <c r="AA269" s="44">
        <f t="shared" ref="AA269:AC269" si="4049">Z269</f>
        <v>106768</v>
      </c>
      <c r="AB269" s="44">
        <f t="shared" si="4049"/>
        <v>106768</v>
      </c>
      <c r="AC269" s="44">
        <f t="shared" si="4049"/>
        <v>106768</v>
      </c>
      <c r="AD269" s="44">
        <f>ROUND(AC269*(1+取值表!$D$14)*取值表!$H$14,0)</f>
        <v>105494</v>
      </c>
      <c r="AE269" s="44">
        <f t="shared" ref="AE269:AG269" si="4050">AD269</f>
        <v>105494</v>
      </c>
      <c r="AF269" s="44">
        <f t="shared" si="4050"/>
        <v>105494</v>
      </c>
      <c r="AG269" s="44">
        <f t="shared" si="4050"/>
        <v>105494</v>
      </c>
      <c r="AH269" s="44">
        <f>ROUND(AG269*(1+取值表!$D$14)*取值表!$H$14,0)</f>
        <v>104235</v>
      </c>
      <c r="AI269" s="44">
        <f t="shared" ref="AI269:AK269" si="4051">AH269</f>
        <v>104235</v>
      </c>
      <c r="AJ269" s="44">
        <f t="shared" si="4051"/>
        <v>104235</v>
      </c>
      <c r="AK269" s="44">
        <f t="shared" si="4051"/>
        <v>104235</v>
      </c>
      <c r="AL269" s="44">
        <f>ROUND(AK269*(1+取值表!$D$14)*取值表!$H$14,0)</f>
        <v>102991</v>
      </c>
      <c r="AM269" s="44">
        <f t="shared" ref="AM269:AO269" si="4052">AL269</f>
        <v>102991</v>
      </c>
      <c r="AN269" s="44">
        <f t="shared" si="4052"/>
        <v>102991</v>
      </c>
      <c r="AO269" s="44">
        <f t="shared" si="4052"/>
        <v>102991</v>
      </c>
      <c r="AP269" s="44">
        <f>ROUND(AO269*(1+取值表!$D$14)*取值表!$H$14,0)</f>
        <v>101762</v>
      </c>
      <c r="AQ269" s="44">
        <f t="shared" ref="AQ269:AS269" si="4053">AP269</f>
        <v>101762</v>
      </c>
      <c r="AR269" s="44">
        <f t="shared" si="4053"/>
        <v>101762</v>
      </c>
      <c r="AS269" s="44">
        <f t="shared" si="4053"/>
        <v>101762</v>
      </c>
      <c r="AT269" s="44">
        <f>ROUND(AS269*(1+取值表!$D$14)*取值表!$H$14,0)</f>
        <v>100548</v>
      </c>
      <c r="AU269" s="44">
        <f t="shared" ref="AU269:AW269" si="4054">AT269</f>
        <v>100548</v>
      </c>
      <c r="AV269" s="44">
        <f t="shared" si="4054"/>
        <v>100548</v>
      </c>
      <c r="AW269" s="44">
        <f t="shared" si="4054"/>
        <v>100548</v>
      </c>
      <c r="AX269" s="44">
        <f>ROUND(AW269*(1+取值表!$D$14)*取值表!$H$14,0)</f>
        <v>99348</v>
      </c>
      <c r="AY269" s="44">
        <f t="shared" ref="AY269:BA269" si="4055">AX269</f>
        <v>99348</v>
      </c>
      <c r="AZ269" s="44">
        <f t="shared" si="4055"/>
        <v>99348</v>
      </c>
      <c r="BA269" s="44">
        <f t="shared" si="4055"/>
        <v>99348</v>
      </c>
      <c r="BB269" s="44">
        <f>ROUND(BA269*(1+取值表!$D$14)*取值表!$H$14,0)</f>
        <v>98162</v>
      </c>
      <c r="BC269" s="44">
        <f t="shared" ref="BC269:BE269" si="4056">BB269</f>
        <v>98162</v>
      </c>
      <c r="BD269" s="44">
        <f t="shared" si="4056"/>
        <v>98162</v>
      </c>
      <c r="BE269" s="44">
        <f t="shared" si="4056"/>
        <v>98162</v>
      </c>
      <c r="BF269" s="44">
        <f>ROUND(BE269*(1+取值表!$D$14)*取值表!$H$14,0)</f>
        <v>96991</v>
      </c>
      <c r="BG269" s="44">
        <f t="shared" ref="BG269:BI269" si="4057">BF269</f>
        <v>96991</v>
      </c>
      <c r="BH269" s="44">
        <f t="shared" si="4057"/>
        <v>96991</v>
      </c>
      <c r="BI269" s="44">
        <f t="shared" si="4057"/>
        <v>96991</v>
      </c>
      <c r="BJ269" s="44">
        <f>ROUND(BI269*(1+取值表!$D$14)*取值表!$H$14,0)</f>
        <v>95833</v>
      </c>
      <c r="BK269" s="44">
        <f t="shared" ref="BK269:BM269" si="4058">BJ269</f>
        <v>95833</v>
      </c>
      <c r="BL269" s="44">
        <f t="shared" si="4058"/>
        <v>95833</v>
      </c>
      <c r="BM269" s="44">
        <f t="shared" si="4058"/>
        <v>95833</v>
      </c>
      <c r="BN269" s="44">
        <f>ROUND(BM269*(1+取值表!$D$14)*取值表!$H$14,0)</f>
        <v>94689</v>
      </c>
      <c r="BO269" s="44">
        <f t="shared" ref="BO269:BQ269" si="4059">BN269</f>
        <v>94689</v>
      </c>
      <c r="BP269" s="44">
        <f t="shared" si="4059"/>
        <v>94689</v>
      </c>
      <c r="BQ269" s="44">
        <f t="shared" si="4059"/>
        <v>94689</v>
      </c>
      <c r="BR269" s="44">
        <f>ROUND(BQ269*(1+取值表!$D$14)*取值表!$H$14,0)</f>
        <v>93559</v>
      </c>
      <c r="BS269" s="44">
        <f t="shared" ref="BS269:BU269" si="4060">BR269</f>
        <v>93559</v>
      </c>
      <c r="BT269" s="44">
        <f t="shared" si="4060"/>
        <v>93559</v>
      </c>
      <c r="BU269" s="44">
        <f t="shared" si="4060"/>
        <v>93559</v>
      </c>
      <c r="BV269" s="44">
        <f>ROUND(BU269*(1+取值表!$D$14)*取值表!$H$14,0)</f>
        <v>92442</v>
      </c>
      <c r="BW269" s="44">
        <f t="shared" ref="BW269:BY269" si="4061">BV269</f>
        <v>92442</v>
      </c>
      <c r="BX269" s="44">
        <f t="shared" si="4061"/>
        <v>92442</v>
      </c>
      <c r="BY269" s="44">
        <f t="shared" si="4061"/>
        <v>92442</v>
      </c>
      <c r="BZ269" s="44">
        <f>ROUND(BY269*(1+取值表!$D$14)*取值表!$H$14,0)</f>
        <v>91339</v>
      </c>
      <c r="CA269" s="44">
        <f t="shared" ref="CA269:CC269" si="4062">BZ269</f>
        <v>91339</v>
      </c>
      <c r="CB269" s="44">
        <f t="shared" si="4062"/>
        <v>91339</v>
      </c>
      <c r="CC269" s="44">
        <f t="shared" si="4062"/>
        <v>91339</v>
      </c>
      <c r="CD269" s="44">
        <f>ROUND(CC269*(1+取值表!$D$14)*取值表!$H$14,0)</f>
        <v>90249</v>
      </c>
      <c r="CE269" s="44">
        <f t="shared" ref="CE269:CG269" si="4063">CD269</f>
        <v>90249</v>
      </c>
      <c r="CF269" s="44">
        <f t="shared" si="4063"/>
        <v>90249</v>
      </c>
      <c r="CG269" s="44">
        <f t="shared" si="4063"/>
        <v>90249</v>
      </c>
      <c r="CH269" s="44">
        <f>ROUND(CG269*(1+取值表!$D$14)*取值表!$H$14,0)</f>
        <v>89172</v>
      </c>
      <c r="CI269" s="44">
        <f t="shared" ref="CI269:CK269" si="4064">CH269</f>
        <v>89172</v>
      </c>
      <c r="CJ269" s="44">
        <f t="shared" si="4064"/>
        <v>89172</v>
      </c>
      <c r="CK269" s="44">
        <f t="shared" si="4064"/>
        <v>89172</v>
      </c>
      <c r="CL269" s="44">
        <f>ROUND(CK269*(1+取值表!$D$14)*取值表!$H$14,0)</f>
        <v>88108</v>
      </c>
      <c r="CM269" s="44">
        <f t="shared" ref="CM269:CO269" si="4065">CL269</f>
        <v>88108</v>
      </c>
      <c r="CN269" s="44">
        <f t="shared" si="4065"/>
        <v>88108</v>
      </c>
      <c r="CO269" s="44">
        <f t="shared" si="4065"/>
        <v>88108</v>
      </c>
      <c r="CP269" s="44">
        <f>ROUND(CO269*(1+取值表!$D$14)*取值表!$H$14,0)</f>
        <v>87057</v>
      </c>
      <c r="CQ269" s="44">
        <f t="shared" ref="CQ269" si="4066">CP269</f>
        <v>87057</v>
      </c>
      <c r="CR269" s="44">
        <f t="shared" ref="CR269" si="4067">CQ269</f>
        <v>87057</v>
      </c>
      <c r="CS269" s="44">
        <f t="shared" ref="CS269" si="4068">CR269</f>
        <v>87057</v>
      </c>
      <c r="CT269" s="44">
        <f>ROUND(CS269*(1+取值表!$D$14)*取值表!$H$14,0)</f>
        <v>86018</v>
      </c>
      <c r="CU269" s="44">
        <f t="shared" ref="CU269" si="4069">CT269</f>
        <v>86018</v>
      </c>
      <c r="CV269" s="44">
        <f t="shared" ref="CV269" si="4070">CU269</f>
        <v>86018</v>
      </c>
      <c r="CW269" s="44">
        <f t="shared" ref="CW269" si="4071">CV269</f>
        <v>86018</v>
      </c>
      <c r="CX269" s="44">
        <f>ROUND(CW269*(1+取值表!$D$14)*取值表!$H$14,0)</f>
        <v>84991</v>
      </c>
      <c r="CY269" s="44">
        <f t="shared" ref="CY269" si="4072">CX269</f>
        <v>84991</v>
      </c>
      <c r="CZ269" s="44">
        <f t="shared" ref="CZ269" si="4073">CY269</f>
        <v>84991</v>
      </c>
      <c r="DA269" s="44">
        <f t="shared" ref="DA269" si="4074">CZ269</f>
        <v>84991</v>
      </c>
      <c r="DB269" s="44">
        <f>ROUND(DA269*(1+取值表!$D$14)*取值表!$H$14,0)</f>
        <v>83977</v>
      </c>
      <c r="DC269" s="44">
        <f t="shared" ref="DC269" si="4075">DB269</f>
        <v>83977</v>
      </c>
      <c r="DD269" s="44">
        <f t="shared" ref="DD269" si="4076">DC269</f>
        <v>83977</v>
      </c>
      <c r="DE269" s="44">
        <f t="shared" ref="DE269" si="4077">DD269</f>
        <v>83977</v>
      </c>
      <c r="DF269" s="45">
        <f t="shared" si="3929"/>
        <v>9719520</v>
      </c>
      <c r="DG269" s="40"/>
    </row>
    <row r="270" spans="1:111" s="234" customFormat="1" ht="12">
      <c r="A270" s="517"/>
      <c r="B270" s="518"/>
      <c r="C270" s="450"/>
      <c r="D270" s="451"/>
      <c r="E270" s="452"/>
      <c r="F270" s="451"/>
      <c r="G270" s="446"/>
      <c r="H270" s="447"/>
      <c r="I270" s="41"/>
      <c r="J270" s="42"/>
      <c r="K270" s="44"/>
      <c r="L270" s="44"/>
      <c r="M270" s="44"/>
      <c r="N270" s="44"/>
      <c r="O270" s="44"/>
      <c r="P270" s="44"/>
      <c r="Q270" s="44"/>
      <c r="R270" s="44"/>
      <c r="S270" s="44"/>
      <c r="T270" s="44"/>
      <c r="U270" s="44"/>
      <c r="V270" s="44"/>
      <c r="W270" s="44"/>
      <c r="X270" s="44"/>
      <c r="Y270" s="44"/>
      <c r="Z270" s="44"/>
      <c r="AA270" s="44"/>
      <c r="AB270" s="44"/>
      <c r="AC270" s="44"/>
      <c r="AD270" s="44"/>
      <c r="AE270" s="44"/>
      <c r="AF270" s="44"/>
      <c r="AG270" s="44"/>
      <c r="AH270" s="44"/>
      <c r="AI270" s="44"/>
      <c r="AJ270" s="44"/>
      <c r="AK270" s="44"/>
      <c r="AL270" s="44"/>
      <c r="AM270" s="44"/>
      <c r="AN270" s="44"/>
      <c r="AO270" s="44"/>
      <c r="AP270" s="44"/>
      <c r="AQ270" s="44"/>
      <c r="AR270" s="44"/>
      <c r="AS270" s="44"/>
      <c r="AT270" s="44"/>
      <c r="AU270" s="44"/>
      <c r="AV270" s="44"/>
      <c r="AW270" s="44"/>
      <c r="AX270" s="44"/>
      <c r="AY270" s="44"/>
      <c r="AZ270" s="44"/>
      <c r="BA270" s="44"/>
      <c r="BB270" s="44"/>
      <c r="BC270" s="44"/>
      <c r="BD270" s="44"/>
      <c r="BE270" s="44"/>
      <c r="BF270" s="44"/>
      <c r="BG270" s="44"/>
      <c r="BH270" s="44"/>
      <c r="BI270" s="44"/>
      <c r="BJ270" s="44"/>
      <c r="BK270" s="44"/>
      <c r="BL270" s="44"/>
      <c r="BM270" s="44"/>
      <c r="BN270" s="44"/>
      <c r="BO270" s="44"/>
      <c r="BP270" s="44"/>
      <c r="BQ270" s="44"/>
      <c r="BR270" s="44"/>
      <c r="BS270" s="44"/>
      <c r="BT270" s="44"/>
      <c r="BU270" s="44"/>
      <c r="BV270" s="44"/>
      <c r="BW270" s="44"/>
      <c r="BX270" s="44"/>
      <c r="BY270" s="44"/>
      <c r="BZ270" s="44"/>
      <c r="CA270" s="44"/>
      <c r="CB270" s="44"/>
      <c r="CC270" s="44"/>
      <c r="CD270" s="44"/>
      <c r="CE270" s="44"/>
      <c r="CF270" s="44"/>
      <c r="CG270" s="44"/>
      <c r="CH270" s="44"/>
      <c r="CI270" s="44"/>
      <c r="CJ270" s="44"/>
      <c r="CK270" s="44"/>
      <c r="CL270" s="44"/>
      <c r="CM270" s="44"/>
      <c r="CN270" s="44"/>
      <c r="CO270" s="44"/>
      <c r="CP270" s="44"/>
      <c r="CQ270" s="44"/>
      <c r="CR270" s="44"/>
      <c r="CS270" s="44"/>
      <c r="CT270" s="44"/>
      <c r="CU270" s="44"/>
      <c r="CV270" s="44"/>
      <c r="CW270" s="44"/>
      <c r="CX270" s="44"/>
      <c r="CY270" s="44"/>
      <c r="CZ270" s="44"/>
      <c r="DA270" s="44"/>
      <c r="DB270" s="44"/>
      <c r="DC270" s="44"/>
      <c r="DD270" s="44"/>
      <c r="DE270" s="44"/>
      <c r="DF270" s="45">
        <f t="shared" si="3929"/>
        <v>0</v>
      </c>
      <c r="DG270" s="40"/>
    </row>
    <row r="271" spans="1:111" s="40" customFormat="1" ht="12">
      <c r="A271" s="516">
        <v>137</v>
      </c>
      <c r="B271" s="518" t="s">
        <v>263</v>
      </c>
      <c r="C271" s="450" t="s">
        <v>264</v>
      </c>
      <c r="D271" s="451" t="s">
        <v>511</v>
      </c>
      <c r="E271" s="452" t="s">
        <v>509</v>
      </c>
      <c r="F271" s="446">
        <v>368.56</v>
      </c>
      <c r="G271" s="446">
        <f>AVERAGE(5.8,6.3,6.8)</f>
        <v>6.3</v>
      </c>
      <c r="H271" s="447">
        <f>F271*G271*365</f>
        <v>847503.72</v>
      </c>
      <c r="I271" s="41">
        <v>211875.93</v>
      </c>
      <c r="J271" s="42">
        <f>ROUND(G271*F271*365/4,0)</f>
        <v>211876</v>
      </c>
      <c r="K271" s="44">
        <f>J271</f>
        <v>211876</v>
      </c>
      <c r="L271" s="44">
        <f>K271</f>
        <v>211876</v>
      </c>
      <c r="M271" s="44">
        <f>ROUND(6.8*F271*365/4,0)</f>
        <v>228691</v>
      </c>
      <c r="N271" s="44">
        <f>M271</f>
        <v>228691</v>
      </c>
      <c r="O271" s="44">
        <f>N271</f>
        <v>228691</v>
      </c>
      <c r="P271" s="43">
        <f>O271</f>
        <v>228691</v>
      </c>
      <c r="Q271" s="44">
        <f>P271</f>
        <v>228691</v>
      </c>
      <c r="R271" s="44">
        <f>ROUND(Q271*(1+取值表!$D$14)*取值表!$H$14,0)</f>
        <v>225962</v>
      </c>
      <c r="S271" s="44">
        <f>R271</f>
        <v>225962</v>
      </c>
      <c r="T271" s="44">
        <f>S271</f>
        <v>225962</v>
      </c>
      <c r="U271" s="44">
        <f>T271</f>
        <v>225962</v>
      </c>
      <c r="V271" s="44">
        <f>ROUND(U271*(1+取值表!$D$14)*取值表!$H$14,0)</f>
        <v>223265</v>
      </c>
      <c r="W271" s="44">
        <f t="shared" ref="W271:Y271" si="4078">V271</f>
        <v>223265</v>
      </c>
      <c r="X271" s="44">
        <f t="shared" si="4078"/>
        <v>223265</v>
      </c>
      <c r="Y271" s="44">
        <f t="shared" si="4078"/>
        <v>223265</v>
      </c>
      <c r="Z271" s="44">
        <f>ROUND(Y271*(1+取值表!$D$14)*取值表!$H$14,0)</f>
        <v>220601</v>
      </c>
      <c r="AA271" s="44">
        <f t="shared" ref="AA271:AC271" si="4079">Z271</f>
        <v>220601</v>
      </c>
      <c r="AB271" s="44">
        <f t="shared" si="4079"/>
        <v>220601</v>
      </c>
      <c r="AC271" s="44">
        <f t="shared" si="4079"/>
        <v>220601</v>
      </c>
      <c r="AD271" s="44">
        <f>ROUND(AC271*(1+取值表!$D$14)*取值表!$H$14,0)</f>
        <v>217968</v>
      </c>
      <c r="AE271" s="44">
        <f t="shared" ref="AE271:AG271" si="4080">AD271</f>
        <v>217968</v>
      </c>
      <c r="AF271" s="44">
        <f t="shared" si="4080"/>
        <v>217968</v>
      </c>
      <c r="AG271" s="44">
        <f t="shared" si="4080"/>
        <v>217968</v>
      </c>
      <c r="AH271" s="44">
        <f>ROUND(AG271*(1+取值表!$D$14)*取值表!$H$14,0)</f>
        <v>215367</v>
      </c>
      <c r="AI271" s="44">
        <f t="shared" ref="AI271:AK271" si="4081">AH271</f>
        <v>215367</v>
      </c>
      <c r="AJ271" s="44">
        <f t="shared" si="4081"/>
        <v>215367</v>
      </c>
      <c r="AK271" s="44">
        <f t="shared" si="4081"/>
        <v>215367</v>
      </c>
      <c r="AL271" s="44">
        <f>ROUND(AK271*(1+取值表!$D$14)*取值表!$H$14,0)</f>
        <v>212797</v>
      </c>
      <c r="AM271" s="44">
        <f t="shared" ref="AM271:AO271" si="4082">AL271</f>
        <v>212797</v>
      </c>
      <c r="AN271" s="44">
        <f t="shared" si="4082"/>
        <v>212797</v>
      </c>
      <c r="AO271" s="44">
        <f t="shared" si="4082"/>
        <v>212797</v>
      </c>
      <c r="AP271" s="44">
        <f>ROUND(AO271*(1+取值表!$D$14)*取值表!$H$14,0)</f>
        <v>210257</v>
      </c>
      <c r="AQ271" s="44">
        <f t="shared" ref="AQ271:AS271" si="4083">AP271</f>
        <v>210257</v>
      </c>
      <c r="AR271" s="44">
        <f t="shared" si="4083"/>
        <v>210257</v>
      </c>
      <c r="AS271" s="44">
        <f t="shared" si="4083"/>
        <v>210257</v>
      </c>
      <c r="AT271" s="44">
        <f>ROUND(AS271*(1+取值表!$D$14)*取值表!$H$14,0)</f>
        <v>207748</v>
      </c>
      <c r="AU271" s="44">
        <f t="shared" ref="AU271:AW271" si="4084">AT271</f>
        <v>207748</v>
      </c>
      <c r="AV271" s="44">
        <f t="shared" si="4084"/>
        <v>207748</v>
      </c>
      <c r="AW271" s="44">
        <f t="shared" si="4084"/>
        <v>207748</v>
      </c>
      <c r="AX271" s="44">
        <f>ROUND(AW271*(1+取值表!$D$14)*取值表!$H$14,0)</f>
        <v>205269</v>
      </c>
      <c r="AY271" s="44">
        <f t="shared" ref="AY271:BA271" si="4085">AX271</f>
        <v>205269</v>
      </c>
      <c r="AZ271" s="44">
        <f t="shared" si="4085"/>
        <v>205269</v>
      </c>
      <c r="BA271" s="44">
        <f t="shared" si="4085"/>
        <v>205269</v>
      </c>
      <c r="BB271" s="44">
        <f>ROUND(BA271*(1+取值表!$D$14)*取值表!$H$14,0)</f>
        <v>202819</v>
      </c>
      <c r="BC271" s="44">
        <f t="shared" ref="BC271:BE271" si="4086">BB271</f>
        <v>202819</v>
      </c>
      <c r="BD271" s="44">
        <f t="shared" si="4086"/>
        <v>202819</v>
      </c>
      <c r="BE271" s="44">
        <f t="shared" si="4086"/>
        <v>202819</v>
      </c>
      <c r="BF271" s="44">
        <f>ROUND(BE271*(1+取值表!$D$14)*取值表!$H$14,0)</f>
        <v>200399</v>
      </c>
      <c r="BG271" s="44">
        <f t="shared" ref="BG271:BI271" si="4087">BF271</f>
        <v>200399</v>
      </c>
      <c r="BH271" s="44">
        <f t="shared" si="4087"/>
        <v>200399</v>
      </c>
      <c r="BI271" s="44">
        <f t="shared" si="4087"/>
        <v>200399</v>
      </c>
      <c r="BJ271" s="44">
        <f>ROUND(BI271*(1+取值表!$D$14)*取值表!$H$14,0)</f>
        <v>198007</v>
      </c>
      <c r="BK271" s="44">
        <f t="shared" ref="BK271:BM271" si="4088">BJ271</f>
        <v>198007</v>
      </c>
      <c r="BL271" s="44">
        <f t="shared" si="4088"/>
        <v>198007</v>
      </c>
      <c r="BM271" s="44">
        <f t="shared" si="4088"/>
        <v>198007</v>
      </c>
      <c r="BN271" s="44">
        <f>ROUND(BM271*(1+取值表!$D$14)*取值表!$H$14,0)</f>
        <v>195644</v>
      </c>
      <c r="BO271" s="44">
        <f t="shared" ref="BO271:BQ271" si="4089">BN271</f>
        <v>195644</v>
      </c>
      <c r="BP271" s="44">
        <f t="shared" si="4089"/>
        <v>195644</v>
      </c>
      <c r="BQ271" s="44">
        <f t="shared" si="4089"/>
        <v>195644</v>
      </c>
      <c r="BR271" s="44">
        <f>ROUND(BQ271*(1+取值表!$D$14)*取值表!$H$14,0)</f>
        <v>193309</v>
      </c>
      <c r="BS271" s="44">
        <f t="shared" ref="BS271:BU271" si="4090">BR271</f>
        <v>193309</v>
      </c>
      <c r="BT271" s="44">
        <f t="shared" si="4090"/>
        <v>193309</v>
      </c>
      <c r="BU271" s="44">
        <f t="shared" si="4090"/>
        <v>193309</v>
      </c>
      <c r="BV271" s="44">
        <f>ROUND(BU271*(1+取值表!$D$14)*取值表!$H$14,0)</f>
        <v>191002</v>
      </c>
      <c r="BW271" s="44">
        <f t="shared" ref="BW271:BY271" si="4091">BV271</f>
        <v>191002</v>
      </c>
      <c r="BX271" s="44">
        <f t="shared" si="4091"/>
        <v>191002</v>
      </c>
      <c r="BY271" s="44">
        <f t="shared" si="4091"/>
        <v>191002</v>
      </c>
      <c r="BZ271" s="44">
        <f>ROUND(BY271*(1+取值表!$D$14)*取值表!$H$14,0)</f>
        <v>188723</v>
      </c>
      <c r="CA271" s="44">
        <f t="shared" ref="CA271:CC271" si="4092">BZ271</f>
        <v>188723</v>
      </c>
      <c r="CB271" s="44">
        <f t="shared" si="4092"/>
        <v>188723</v>
      </c>
      <c r="CC271" s="44">
        <f t="shared" si="4092"/>
        <v>188723</v>
      </c>
      <c r="CD271" s="44">
        <f>ROUND(CC271*(1+取值表!$D$14)*取值表!$H$14,0)</f>
        <v>186471</v>
      </c>
      <c r="CE271" s="44">
        <f t="shared" ref="CE271:CG271" si="4093">CD271</f>
        <v>186471</v>
      </c>
      <c r="CF271" s="44">
        <f t="shared" si="4093"/>
        <v>186471</v>
      </c>
      <c r="CG271" s="44">
        <f t="shared" si="4093"/>
        <v>186471</v>
      </c>
      <c r="CH271" s="44">
        <f>ROUND(CG271*(1+取值表!$D$14)*取值表!$H$14,0)</f>
        <v>184246</v>
      </c>
      <c r="CI271" s="44">
        <f t="shared" ref="CI271:CK271" si="4094">CH271</f>
        <v>184246</v>
      </c>
      <c r="CJ271" s="44">
        <f t="shared" si="4094"/>
        <v>184246</v>
      </c>
      <c r="CK271" s="44">
        <f t="shared" si="4094"/>
        <v>184246</v>
      </c>
      <c r="CL271" s="44">
        <f>ROUND(CK271*(1+取值表!$D$14)*取值表!$H$14,0)</f>
        <v>182047</v>
      </c>
      <c r="CM271" s="44">
        <f t="shared" ref="CM271:CO271" si="4095">CL271</f>
        <v>182047</v>
      </c>
      <c r="CN271" s="44">
        <f t="shared" si="4095"/>
        <v>182047</v>
      </c>
      <c r="CO271" s="44">
        <f t="shared" si="4095"/>
        <v>182047</v>
      </c>
      <c r="CP271" s="44">
        <f>ROUND(CO271*(1+取值表!$D$14)*取值表!$H$14,0)</f>
        <v>179874</v>
      </c>
      <c r="CQ271" s="44">
        <f t="shared" ref="CQ271" si="4096">CP271</f>
        <v>179874</v>
      </c>
      <c r="CR271" s="44">
        <f t="shared" ref="CR271" si="4097">CQ271</f>
        <v>179874</v>
      </c>
      <c r="CS271" s="44">
        <f t="shared" ref="CS271" si="4098">CR271</f>
        <v>179874</v>
      </c>
      <c r="CT271" s="44">
        <f>ROUND(CS271*(1+取值表!$D$14)*取值表!$H$14,0)</f>
        <v>177727</v>
      </c>
      <c r="CU271" s="44">
        <f t="shared" ref="CU271" si="4099">CT271</f>
        <v>177727</v>
      </c>
      <c r="CV271" s="44">
        <f t="shared" ref="CV271" si="4100">CU271</f>
        <v>177727</v>
      </c>
      <c r="CW271" s="44">
        <f t="shared" ref="CW271" si="4101">CV271</f>
        <v>177727</v>
      </c>
      <c r="CX271" s="44">
        <f>ROUND(CW271*(1+取值表!$D$14)*取值表!$H$14,0)</f>
        <v>175606</v>
      </c>
      <c r="CY271" s="44">
        <f t="shared" ref="CY271" si="4102">CX271</f>
        <v>175606</v>
      </c>
      <c r="CZ271" s="44">
        <f t="shared" ref="CZ271" si="4103">CY271</f>
        <v>175606</v>
      </c>
      <c r="DA271" s="44">
        <f t="shared" ref="DA271" si="4104">CZ271</f>
        <v>175606</v>
      </c>
      <c r="DB271" s="44">
        <f>ROUND(DA271*(1+取值表!$D$14)*取值表!$H$14,0)</f>
        <v>173510</v>
      </c>
      <c r="DC271" s="44">
        <f t="shared" ref="DC271" si="4105">DB271</f>
        <v>173510</v>
      </c>
      <c r="DD271" s="44">
        <f t="shared" ref="DD271" si="4106">DC271</f>
        <v>173510</v>
      </c>
      <c r="DE271" s="44">
        <f t="shared" ref="DE271" si="4107">DD271</f>
        <v>173510</v>
      </c>
      <c r="DF271" s="45">
        <f t="shared" si="3929"/>
        <v>20053555</v>
      </c>
    </row>
    <row r="272" spans="1:111" s="40" customFormat="1" ht="12">
      <c r="A272" s="517"/>
      <c r="B272" s="518"/>
      <c r="C272" s="450"/>
      <c r="D272" s="451"/>
      <c r="E272" s="452"/>
      <c r="F272" s="446"/>
      <c r="G272" s="446"/>
      <c r="H272" s="447"/>
      <c r="I272" s="41"/>
      <c r="J272" s="42"/>
      <c r="K272" s="44"/>
      <c r="L272" s="44"/>
      <c r="M272" s="44"/>
      <c r="N272" s="44"/>
      <c r="O272" s="44"/>
      <c r="P272" s="44"/>
      <c r="Q272" s="44"/>
      <c r="R272" s="44"/>
      <c r="S272" s="44"/>
      <c r="T272" s="44"/>
      <c r="U272" s="44"/>
      <c r="V272" s="44"/>
      <c r="W272" s="44"/>
      <c r="X272" s="44"/>
      <c r="Y272" s="44"/>
      <c r="Z272" s="44"/>
      <c r="AA272" s="44"/>
      <c r="AB272" s="44"/>
      <c r="AC272" s="44"/>
      <c r="AD272" s="44"/>
      <c r="AE272" s="44"/>
      <c r="AF272" s="44"/>
      <c r="AG272" s="44"/>
      <c r="AH272" s="44"/>
      <c r="AI272" s="44"/>
      <c r="AJ272" s="44"/>
      <c r="AK272" s="44"/>
      <c r="AL272" s="44"/>
      <c r="AM272" s="44"/>
      <c r="AN272" s="44"/>
      <c r="AO272" s="44"/>
      <c r="AP272" s="44"/>
      <c r="AQ272" s="44"/>
      <c r="AR272" s="44"/>
      <c r="AS272" s="44"/>
      <c r="AT272" s="44"/>
      <c r="AU272" s="44"/>
      <c r="AV272" s="44"/>
      <c r="AW272" s="44"/>
      <c r="AX272" s="44"/>
      <c r="AY272" s="44"/>
      <c r="AZ272" s="44"/>
      <c r="BA272" s="44"/>
      <c r="BB272" s="44"/>
      <c r="BC272" s="44"/>
      <c r="BD272" s="44"/>
      <c r="BE272" s="44"/>
      <c r="BF272" s="44"/>
      <c r="BG272" s="44"/>
      <c r="BH272" s="44"/>
      <c r="BI272" s="44"/>
      <c r="BJ272" s="44"/>
      <c r="BK272" s="44"/>
      <c r="BL272" s="44"/>
      <c r="BM272" s="44"/>
      <c r="BN272" s="44"/>
      <c r="BO272" s="44"/>
      <c r="BP272" s="44"/>
      <c r="BQ272" s="44"/>
      <c r="BR272" s="44"/>
      <c r="BS272" s="44"/>
      <c r="BT272" s="44"/>
      <c r="BU272" s="44"/>
      <c r="BV272" s="44"/>
      <c r="BW272" s="44"/>
      <c r="BX272" s="44"/>
      <c r="BY272" s="44"/>
      <c r="BZ272" s="44"/>
      <c r="CA272" s="44"/>
      <c r="CB272" s="44"/>
      <c r="CC272" s="44"/>
      <c r="CD272" s="44"/>
      <c r="CE272" s="44"/>
      <c r="CF272" s="44"/>
      <c r="CG272" s="44"/>
      <c r="CH272" s="44"/>
      <c r="CI272" s="44"/>
      <c r="CJ272" s="44"/>
      <c r="CK272" s="44"/>
      <c r="CL272" s="44"/>
      <c r="CM272" s="44"/>
      <c r="CN272" s="44"/>
      <c r="CO272" s="44"/>
      <c r="CP272" s="44"/>
      <c r="CQ272" s="44"/>
      <c r="CR272" s="44"/>
      <c r="CS272" s="44"/>
      <c r="CT272" s="44"/>
      <c r="CU272" s="44"/>
      <c r="CV272" s="44"/>
      <c r="CW272" s="44"/>
      <c r="CX272" s="44"/>
      <c r="CY272" s="44"/>
      <c r="CZ272" s="44"/>
      <c r="DA272" s="44"/>
      <c r="DB272" s="44"/>
      <c r="DC272" s="44"/>
      <c r="DD272" s="44"/>
      <c r="DE272" s="44"/>
      <c r="DF272" s="45">
        <f t="shared" si="3929"/>
        <v>0</v>
      </c>
    </row>
    <row r="273" spans="1:110" s="40" customFormat="1" ht="12">
      <c r="A273" s="516">
        <v>138</v>
      </c>
      <c r="B273" s="518" t="s">
        <v>266</v>
      </c>
      <c r="C273" s="450" t="s">
        <v>267</v>
      </c>
      <c r="D273" s="451" t="s">
        <v>512</v>
      </c>
      <c r="E273" s="452" t="s">
        <v>509</v>
      </c>
      <c r="F273" s="446">
        <v>25.65</v>
      </c>
      <c r="G273" s="446">
        <v>20</v>
      </c>
      <c r="H273" s="447">
        <f>F273*G273*365</f>
        <v>187245</v>
      </c>
      <c r="I273" s="41">
        <v>46811.25</v>
      </c>
      <c r="J273" s="42">
        <f>ROUND(G273*F273*365/4,0)</f>
        <v>46811</v>
      </c>
      <c r="K273" s="44">
        <f>J273</f>
        <v>46811</v>
      </c>
      <c r="L273" s="44">
        <f>K273</f>
        <v>46811</v>
      </c>
      <c r="M273" s="43">
        <f>L273</f>
        <v>46811</v>
      </c>
      <c r="N273" s="44">
        <f>ROUND(M273*(1+取值表!$D$14)*取值表!$H$14,0)</f>
        <v>46252</v>
      </c>
      <c r="O273" s="44">
        <f>N273</f>
        <v>46252</v>
      </c>
      <c r="P273" s="44">
        <f>O273</f>
        <v>46252</v>
      </c>
      <c r="Q273" s="44">
        <f>P273</f>
        <v>46252</v>
      </c>
      <c r="R273" s="44">
        <f>ROUND(Q273*(1+取值表!$D$14)*取值表!$H$14,0)</f>
        <v>45700</v>
      </c>
      <c r="S273" s="44">
        <f>R273</f>
        <v>45700</v>
      </c>
      <c r="T273" s="44">
        <f>S273</f>
        <v>45700</v>
      </c>
      <c r="U273" s="44">
        <f>T273</f>
        <v>45700</v>
      </c>
      <c r="V273" s="44">
        <f>ROUND(U273*(1+取值表!$D$14)*取值表!$H$14,0)</f>
        <v>45155</v>
      </c>
      <c r="W273" s="44">
        <f t="shared" ref="W273:Y273" si="4108">V273</f>
        <v>45155</v>
      </c>
      <c r="X273" s="44">
        <f t="shared" si="4108"/>
        <v>45155</v>
      </c>
      <c r="Y273" s="44">
        <f t="shared" si="4108"/>
        <v>45155</v>
      </c>
      <c r="Z273" s="44">
        <f>ROUND(Y273*(1+取值表!$D$14)*取值表!$H$14,0)</f>
        <v>44616</v>
      </c>
      <c r="AA273" s="44">
        <f t="shared" ref="AA273:AC273" si="4109">Z273</f>
        <v>44616</v>
      </c>
      <c r="AB273" s="44">
        <f t="shared" si="4109"/>
        <v>44616</v>
      </c>
      <c r="AC273" s="44">
        <f t="shared" si="4109"/>
        <v>44616</v>
      </c>
      <c r="AD273" s="44">
        <f>ROUND(AC273*(1+取值表!$D$14)*取值表!$H$14,0)</f>
        <v>44084</v>
      </c>
      <c r="AE273" s="44">
        <f t="shared" ref="AE273:AG273" si="4110">AD273</f>
        <v>44084</v>
      </c>
      <c r="AF273" s="44">
        <f t="shared" si="4110"/>
        <v>44084</v>
      </c>
      <c r="AG273" s="44">
        <f t="shared" si="4110"/>
        <v>44084</v>
      </c>
      <c r="AH273" s="44">
        <f>ROUND(AG273*(1+取值表!$D$14)*取值表!$H$14,0)</f>
        <v>43558</v>
      </c>
      <c r="AI273" s="44">
        <f t="shared" ref="AI273:AK273" si="4111">AH273</f>
        <v>43558</v>
      </c>
      <c r="AJ273" s="44">
        <f t="shared" si="4111"/>
        <v>43558</v>
      </c>
      <c r="AK273" s="44">
        <f t="shared" si="4111"/>
        <v>43558</v>
      </c>
      <c r="AL273" s="44">
        <f>ROUND(AK273*(1+取值表!$D$14)*取值表!$H$14,0)</f>
        <v>43038</v>
      </c>
      <c r="AM273" s="44">
        <f t="shared" ref="AM273:AO273" si="4112">AL273</f>
        <v>43038</v>
      </c>
      <c r="AN273" s="44">
        <f t="shared" si="4112"/>
        <v>43038</v>
      </c>
      <c r="AO273" s="44">
        <f t="shared" si="4112"/>
        <v>43038</v>
      </c>
      <c r="AP273" s="44">
        <f>ROUND(AO273*(1+取值表!$D$14)*取值表!$H$14,0)</f>
        <v>42524</v>
      </c>
      <c r="AQ273" s="44">
        <f t="shared" ref="AQ273:AS273" si="4113">AP273</f>
        <v>42524</v>
      </c>
      <c r="AR273" s="44">
        <f t="shared" si="4113"/>
        <v>42524</v>
      </c>
      <c r="AS273" s="44">
        <f t="shared" si="4113"/>
        <v>42524</v>
      </c>
      <c r="AT273" s="44">
        <f>ROUND(AS273*(1+取值表!$D$14)*取值表!$H$14,0)</f>
        <v>42017</v>
      </c>
      <c r="AU273" s="44">
        <f t="shared" ref="AU273:AW273" si="4114">AT273</f>
        <v>42017</v>
      </c>
      <c r="AV273" s="44">
        <f t="shared" si="4114"/>
        <v>42017</v>
      </c>
      <c r="AW273" s="44">
        <f t="shared" si="4114"/>
        <v>42017</v>
      </c>
      <c r="AX273" s="44">
        <f>ROUND(AW273*(1+取值表!$D$14)*取值表!$H$14,0)</f>
        <v>41516</v>
      </c>
      <c r="AY273" s="44">
        <f t="shared" ref="AY273:BA273" si="4115">AX273</f>
        <v>41516</v>
      </c>
      <c r="AZ273" s="44">
        <f t="shared" si="4115"/>
        <v>41516</v>
      </c>
      <c r="BA273" s="44">
        <f t="shared" si="4115"/>
        <v>41516</v>
      </c>
      <c r="BB273" s="44">
        <f>ROUND(BA273*(1+取值表!$D$14)*取值表!$H$14,0)</f>
        <v>41021</v>
      </c>
      <c r="BC273" s="44">
        <f t="shared" ref="BC273:BE273" si="4116">BB273</f>
        <v>41021</v>
      </c>
      <c r="BD273" s="44">
        <f t="shared" si="4116"/>
        <v>41021</v>
      </c>
      <c r="BE273" s="44">
        <f t="shared" si="4116"/>
        <v>41021</v>
      </c>
      <c r="BF273" s="44">
        <f>ROUND(BE273*(1+取值表!$D$14)*取值表!$H$14,0)</f>
        <v>40531</v>
      </c>
      <c r="BG273" s="44">
        <f t="shared" ref="BG273:BI273" si="4117">BF273</f>
        <v>40531</v>
      </c>
      <c r="BH273" s="44">
        <f t="shared" si="4117"/>
        <v>40531</v>
      </c>
      <c r="BI273" s="44">
        <f t="shared" si="4117"/>
        <v>40531</v>
      </c>
      <c r="BJ273" s="44">
        <f>ROUND(BI273*(1+取值表!$D$14)*取值表!$H$14,0)</f>
        <v>40047</v>
      </c>
      <c r="BK273" s="44">
        <f t="shared" ref="BK273:BM273" si="4118">BJ273</f>
        <v>40047</v>
      </c>
      <c r="BL273" s="44">
        <f t="shared" si="4118"/>
        <v>40047</v>
      </c>
      <c r="BM273" s="44">
        <f t="shared" si="4118"/>
        <v>40047</v>
      </c>
      <c r="BN273" s="44">
        <f>ROUND(BM273*(1+取值表!$D$14)*取值表!$H$14,0)</f>
        <v>39569</v>
      </c>
      <c r="BO273" s="44">
        <f t="shared" ref="BO273:BQ273" si="4119">BN273</f>
        <v>39569</v>
      </c>
      <c r="BP273" s="44">
        <f t="shared" si="4119"/>
        <v>39569</v>
      </c>
      <c r="BQ273" s="44">
        <f t="shared" si="4119"/>
        <v>39569</v>
      </c>
      <c r="BR273" s="44">
        <f>ROUND(BQ273*(1+取值表!$D$14)*取值表!$H$14,0)</f>
        <v>39097</v>
      </c>
      <c r="BS273" s="44">
        <f t="shared" ref="BS273:BU273" si="4120">BR273</f>
        <v>39097</v>
      </c>
      <c r="BT273" s="44">
        <f t="shared" si="4120"/>
        <v>39097</v>
      </c>
      <c r="BU273" s="44">
        <f t="shared" si="4120"/>
        <v>39097</v>
      </c>
      <c r="BV273" s="44">
        <f>ROUND(BU273*(1+取值表!$D$14)*取值表!$H$14,0)</f>
        <v>38630</v>
      </c>
      <c r="BW273" s="44">
        <f t="shared" ref="BW273:BY273" si="4121">BV273</f>
        <v>38630</v>
      </c>
      <c r="BX273" s="44">
        <f t="shared" si="4121"/>
        <v>38630</v>
      </c>
      <c r="BY273" s="44">
        <f t="shared" si="4121"/>
        <v>38630</v>
      </c>
      <c r="BZ273" s="44">
        <f>ROUND(BY273*(1+取值表!$D$14)*取值表!$H$14,0)</f>
        <v>38169</v>
      </c>
      <c r="CA273" s="44">
        <f t="shared" ref="CA273:CC273" si="4122">BZ273</f>
        <v>38169</v>
      </c>
      <c r="CB273" s="44">
        <f t="shared" si="4122"/>
        <v>38169</v>
      </c>
      <c r="CC273" s="44">
        <f t="shared" si="4122"/>
        <v>38169</v>
      </c>
      <c r="CD273" s="44">
        <f>ROUND(CC273*(1+取值表!$D$14)*取值表!$H$14,0)</f>
        <v>37713</v>
      </c>
      <c r="CE273" s="44">
        <f t="shared" ref="CE273:CG273" si="4123">CD273</f>
        <v>37713</v>
      </c>
      <c r="CF273" s="44">
        <f t="shared" si="4123"/>
        <v>37713</v>
      </c>
      <c r="CG273" s="44">
        <f t="shared" si="4123"/>
        <v>37713</v>
      </c>
      <c r="CH273" s="44">
        <f>ROUND(CG273*(1+取值表!$D$14)*取值表!$H$14,0)</f>
        <v>37263</v>
      </c>
      <c r="CI273" s="44">
        <f t="shared" ref="CI273:CK273" si="4124">CH273</f>
        <v>37263</v>
      </c>
      <c r="CJ273" s="44">
        <f t="shared" si="4124"/>
        <v>37263</v>
      </c>
      <c r="CK273" s="44">
        <f t="shared" si="4124"/>
        <v>37263</v>
      </c>
      <c r="CL273" s="44">
        <f>ROUND(CK273*(1+取值表!$D$14)*取值表!$H$14,0)</f>
        <v>36818</v>
      </c>
      <c r="CM273" s="44">
        <f t="shared" ref="CM273:CO273" si="4125">CL273</f>
        <v>36818</v>
      </c>
      <c r="CN273" s="44">
        <f t="shared" si="4125"/>
        <v>36818</v>
      </c>
      <c r="CO273" s="44">
        <f t="shared" si="4125"/>
        <v>36818</v>
      </c>
      <c r="CP273" s="44">
        <f>ROUND(CO273*(1+取值表!$D$14)*取值表!$H$14,0)</f>
        <v>36379</v>
      </c>
      <c r="CQ273" s="44">
        <f t="shared" ref="CQ273" si="4126">CP273</f>
        <v>36379</v>
      </c>
      <c r="CR273" s="44">
        <f t="shared" ref="CR273" si="4127">CQ273</f>
        <v>36379</v>
      </c>
      <c r="CS273" s="44">
        <f t="shared" ref="CS273" si="4128">CR273</f>
        <v>36379</v>
      </c>
      <c r="CT273" s="44">
        <f>ROUND(CS273*(1+取值表!$D$14)*取值表!$H$14,0)</f>
        <v>35945</v>
      </c>
      <c r="CU273" s="44">
        <f t="shared" ref="CU273" si="4129">CT273</f>
        <v>35945</v>
      </c>
      <c r="CV273" s="44">
        <f t="shared" ref="CV273" si="4130">CU273</f>
        <v>35945</v>
      </c>
      <c r="CW273" s="44">
        <f t="shared" ref="CW273" si="4131">CV273</f>
        <v>35945</v>
      </c>
      <c r="CX273" s="44">
        <f>ROUND(CW273*(1+取值表!$D$14)*取值表!$H$14,0)</f>
        <v>35516</v>
      </c>
      <c r="CY273" s="44">
        <f t="shared" ref="CY273" si="4132">CX273</f>
        <v>35516</v>
      </c>
      <c r="CZ273" s="44">
        <f t="shared" ref="CZ273" si="4133">CY273</f>
        <v>35516</v>
      </c>
      <c r="DA273" s="44">
        <f t="shared" ref="DA273" si="4134">CZ273</f>
        <v>35516</v>
      </c>
      <c r="DB273" s="44">
        <f>ROUND(DA273*(1+取值表!$D$14)*取值表!$H$14,0)</f>
        <v>35092</v>
      </c>
      <c r="DC273" s="44">
        <f t="shared" ref="DC273" si="4135">DB273</f>
        <v>35092</v>
      </c>
      <c r="DD273" s="44">
        <f t="shared" ref="DD273" si="4136">DC273</f>
        <v>35092</v>
      </c>
      <c r="DE273" s="44">
        <f t="shared" ref="DE273" si="4137">DD273</f>
        <v>35092</v>
      </c>
      <c r="DF273" s="45">
        <f t="shared" si="3929"/>
        <v>4068244</v>
      </c>
    </row>
    <row r="274" spans="1:110" s="40" customFormat="1" ht="12">
      <c r="A274" s="517"/>
      <c r="B274" s="518"/>
      <c r="C274" s="450"/>
      <c r="D274" s="451"/>
      <c r="E274" s="452"/>
      <c r="F274" s="446"/>
      <c r="G274" s="446"/>
      <c r="H274" s="447"/>
      <c r="I274" s="41"/>
      <c r="J274" s="42"/>
      <c r="K274" s="44"/>
      <c r="L274" s="44"/>
      <c r="M274" s="44"/>
      <c r="N274" s="44"/>
      <c r="O274" s="44"/>
      <c r="P274" s="44"/>
      <c r="Q274" s="44"/>
      <c r="R274" s="44"/>
      <c r="S274" s="44"/>
      <c r="T274" s="44"/>
      <c r="U274" s="44"/>
      <c r="V274" s="44"/>
      <c r="W274" s="44"/>
      <c r="X274" s="44"/>
      <c r="Y274" s="44"/>
      <c r="Z274" s="44"/>
      <c r="AA274" s="44"/>
      <c r="AB274" s="44"/>
      <c r="AC274" s="44"/>
      <c r="AD274" s="44"/>
      <c r="AE274" s="44"/>
      <c r="AF274" s="44"/>
      <c r="AG274" s="44"/>
      <c r="AH274" s="44"/>
      <c r="AI274" s="44"/>
      <c r="AJ274" s="44"/>
      <c r="AK274" s="44"/>
      <c r="AL274" s="44"/>
      <c r="AM274" s="44"/>
      <c r="AN274" s="44"/>
      <c r="AO274" s="44"/>
      <c r="AP274" s="44"/>
      <c r="AQ274" s="44"/>
      <c r="AR274" s="44"/>
      <c r="AS274" s="44"/>
      <c r="AT274" s="44"/>
      <c r="AU274" s="44"/>
      <c r="AV274" s="44"/>
      <c r="AW274" s="44"/>
      <c r="AX274" s="44"/>
      <c r="AY274" s="44"/>
      <c r="AZ274" s="44"/>
      <c r="BA274" s="44"/>
      <c r="BB274" s="44"/>
      <c r="BC274" s="44"/>
      <c r="BD274" s="44"/>
      <c r="BE274" s="44"/>
      <c r="BF274" s="44"/>
      <c r="BG274" s="44"/>
      <c r="BH274" s="44"/>
      <c r="BI274" s="44"/>
      <c r="BJ274" s="44"/>
      <c r="BK274" s="44"/>
      <c r="BL274" s="44"/>
      <c r="BM274" s="44"/>
      <c r="BN274" s="44"/>
      <c r="BO274" s="44"/>
      <c r="BP274" s="44"/>
      <c r="BQ274" s="44"/>
      <c r="BR274" s="44"/>
      <c r="BS274" s="44"/>
      <c r="BT274" s="44"/>
      <c r="BU274" s="44"/>
      <c r="BV274" s="44"/>
      <c r="BW274" s="44"/>
      <c r="BX274" s="44"/>
      <c r="BY274" s="44"/>
      <c r="BZ274" s="44"/>
      <c r="CA274" s="44"/>
      <c r="CB274" s="44"/>
      <c r="CC274" s="44"/>
      <c r="CD274" s="44"/>
      <c r="CE274" s="44"/>
      <c r="CF274" s="44"/>
      <c r="CG274" s="44"/>
      <c r="CH274" s="44"/>
      <c r="CI274" s="44"/>
      <c r="CJ274" s="44"/>
      <c r="CK274" s="44"/>
      <c r="CL274" s="44"/>
      <c r="CM274" s="44"/>
      <c r="CN274" s="44"/>
      <c r="CO274" s="44"/>
      <c r="CP274" s="44"/>
      <c r="CQ274" s="44"/>
      <c r="CR274" s="44"/>
      <c r="CS274" s="44"/>
      <c r="CT274" s="44"/>
      <c r="CU274" s="44"/>
      <c r="CV274" s="44"/>
      <c r="CW274" s="44"/>
      <c r="CX274" s="44"/>
      <c r="CY274" s="44"/>
      <c r="CZ274" s="44"/>
      <c r="DA274" s="44"/>
      <c r="DB274" s="44"/>
      <c r="DC274" s="44"/>
      <c r="DD274" s="44"/>
      <c r="DE274" s="44"/>
      <c r="DF274" s="45">
        <f t="shared" si="3929"/>
        <v>0</v>
      </c>
    </row>
    <row r="275" spans="1:110" s="40" customFormat="1" ht="12" customHeight="1">
      <c r="A275" s="516">
        <v>139</v>
      </c>
      <c r="B275" s="518" t="s">
        <v>268</v>
      </c>
      <c r="C275" s="450" t="s">
        <v>749</v>
      </c>
      <c r="D275" s="451" t="s">
        <v>513</v>
      </c>
      <c r="E275" s="452" t="s">
        <v>509</v>
      </c>
      <c r="F275" s="446">
        <v>18.760000000000002</v>
      </c>
      <c r="G275" s="446">
        <v>19</v>
      </c>
      <c r="H275" s="447">
        <f>F275*G275*365</f>
        <v>130100.60000000002</v>
      </c>
      <c r="I275" s="41">
        <v>32525.15</v>
      </c>
      <c r="J275" s="42">
        <f>ROUND(G275*F275*365/4,0)</f>
        <v>32525</v>
      </c>
      <c r="K275" s="43">
        <f>J275</f>
        <v>32525</v>
      </c>
      <c r="L275" s="44">
        <f>K275</f>
        <v>32525</v>
      </c>
      <c r="M275" s="44">
        <f>L275</f>
        <v>32525</v>
      </c>
      <c r="N275" s="44">
        <f>ROUND(M275*(1+取值表!$D$14)*取值表!$H$14,0)</f>
        <v>32137</v>
      </c>
      <c r="O275" s="44">
        <f>N275</f>
        <v>32137</v>
      </c>
      <c r="P275" s="44">
        <f>O275</f>
        <v>32137</v>
      </c>
      <c r="Q275" s="44">
        <f>P275</f>
        <v>32137</v>
      </c>
      <c r="R275" s="44">
        <f>ROUND(Q275*(1+取值表!$D$14)*取值表!$H$14,0)</f>
        <v>31753</v>
      </c>
      <c r="S275" s="44">
        <f>R275</f>
        <v>31753</v>
      </c>
      <c r="T275" s="44">
        <f>S275</f>
        <v>31753</v>
      </c>
      <c r="U275" s="44">
        <f>T275</f>
        <v>31753</v>
      </c>
      <c r="V275" s="44">
        <f>ROUND(U275*(1+取值表!$D$14)*取值表!$H$14,0)</f>
        <v>31374</v>
      </c>
      <c r="W275" s="44">
        <f t="shared" ref="W275:Y275" si="4138">V275</f>
        <v>31374</v>
      </c>
      <c r="X275" s="44">
        <f t="shared" si="4138"/>
        <v>31374</v>
      </c>
      <c r="Y275" s="44">
        <f t="shared" si="4138"/>
        <v>31374</v>
      </c>
      <c r="Z275" s="44">
        <f>ROUND(Y275*(1+取值表!$D$14)*取值表!$H$14,0)</f>
        <v>31000</v>
      </c>
      <c r="AA275" s="44">
        <f t="shared" ref="AA275:AC275" si="4139">Z275</f>
        <v>31000</v>
      </c>
      <c r="AB275" s="44">
        <f t="shared" si="4139"/>
        <v>31000</v>
      </c>
      <c r="AC275" s="44">
        <f t="shared" si="4139"/>
        <v>31000</v>
      </c>
      <c r="AD275" s="44">
        <f>ROUND(AC275*(1+取值表!$D$14)*取值表!$H$14,0)</f>
        <v>30630</v>
      </c>
      <c r="AE275" s="44">
        <f t="shared" ref="AE275:AG275" si="4140">AD275</f>
        <v>30630</v>
      </c>
      <c r="AF275" s="44">
        <f t="shared" si="4140"/>
        <v>30630</v>
      </c>
      <c r="AG275" s="44">
        <f t="shared" si="4140"/>
        <v>30630</v>
      </c>
      <c r="AH275" s="44">
        <f>ROUND(AG275*(1+取值表!$D$14)*取值表!$H$14,0)</f>
        <v>30264</v>
      </c>
      <c r="AI275" s="44">
        <f t="shared" ref="AI275:AK275" si="4141">AH275</f>
        <v>30264</v>
      </c>
      <c r="AJ275" s="44">
        <f t="shared" si="4141"/>
        <v>30264</v>
      </c>
      <c r="AK275" s="44">
        <f t="shared" si="4141"/>
        <v>30264</v>
      </c>
      <c r="AL275" s="44">
        <f>ROUND(AK275*(1+取值表!$D$14)*取值表!$H$14,0)</f>
        <v>29903</v>
      </c>
      <c r="AM275" s="44">
        <f t="shared" ref="AM275:AO275" si="4142">AL275</f>
        <v>29903</v>
      </c>
      <c r="AN275" s="44">
        <f t="shared" si="4142"/>
        <v>29903</v>
      </c>
      <c r="AO275" s="44">
        <f t="shared" si="4142"/>
        <v>29903</v>
      </c>
      <c r="AP275" s="44">
        <f>ROUND(AO275*(1+取值表!$D$14)*取值表!$H$14,0)</f>
        <v>29546</v>
      </c>
      <c r="AQ275" s="44">
        <f t="shared" ref="AQ275:AS275" si="4143">AP275</f>
        <v>29546</v>
      </c>
      <c r="AR275" s="44">
        <f t="shared" si="4143"/>
        <v>29546</v>
      </c>
      <c r="AS275" s="44">
        <f t="shared" si="4143"/>
        <v>29546</v>
      </c>
      <c r="AT275" s="44">
        <f>ROUND(AS275*(1+取值表!$D$14)*取值表!$H$14,0)</f>
        <v>29193</v>
      </c>
      <c r="AU275" s="44">
        <f t="shared" ref="AU275:AW275" si="4144">AT275</f>
        <v>29193</v>
      </c>
      <c r="AV275" s="44">
        <f t="shared" si="4144"/>
        <v>29193</v>
      </c>
      <c r="AW275" s="44">
        <f t="shared" si="4144"/>
        <v>29193</v>
      </c>
      <c r="AX275" s="44">
        <f>ROUND(AW275*(1+取值表!$D$14)*取值表!$H$14,0)</f>
        <v>28845</v>
      </c>
      <c r="AY275" s="44">
        <f t="shared" ref="AY275:BA275" si="4145">AX275</f>
        <v>28845</v>
      </c>
      <c r="AZ275" s="44">
        <f t="shared" si="4145"/>
        <v>28845</v>
      </c>
      <c r="BA275" s="44">
        <f t="shared" si="4145"/>
        <v>28845</v>
      </c>
      <c r="BB275" s="44">
        <f>ROUND(BA275*(1+取值表!$D$14)*取值表!$H$14,0)</f>
        <v>28501</v>
      </c>
      <c r="BC275" s="44">
        <f t="shared" ref="BC275:BE275" si="4146">BB275</f>
        <v>28501</v>
      </c>
      <c r="BD275" s="44">
        <f t="shared" si="4146"/>
        <v>28501</v>
      </c>
      <c r="BE275" s="44">
        <f t="shared" si="4146"/>
        <v>28501</v>
      </c>
      <c r="BF275" s="44">
        <f>ROUND(BE275*(1+取值表!$D$14)*取值表!$H$14,0)</f>
        <v>28161</v>
      </c>
      <c r="BG275" s="44">
        <f t="shared" ref="BG275:BI275" si="4147">BF275</f>
        <v>28161</v>
      </c>
      <c r="BH275" s="44">
        <f t="shared" si="4147"/>
        <v>28161</v>
      </c>
      <c r="BI275" s="44">
        <f t="shared" si="4147"/>
        <v>28161</v>
      </c>
      <c r="BJ275" s="44">
        <f>ROUND(BI275*(1+取值表!$D$14)*取值表!$H$14,0)</f>
        <v>27825</v>
      </c>
      <c r="BK275" s="44">
        <f t="shared" ref="BK275:BM275" si="4148">BJ275</f>
        <v>27825</v>
      </c>
      <c r="BL275" s="44">
        <f t="shared" si="4148"/>
        <v>27825</v>
      </c>
      <c r="BM275" s="44">
        <f t="shared" si="4148"/>
        <v>27825</v>
      </c>
      <c r="BN275" s="44">
        <f>ROUND(BM275*(1+取值表!$D$14)*取值表!$H$14,0)</f>
        <v>27493</v>
      </c>
      <c r="BO275" s="44">
        <f t="shared" ref="BO275:BQ275" si="4149">BN275</f>
        <v>27493</v>
      </c>
      <c r="BP275" s="44">
        <f t="shared" si="4149"/>
        <v>27493</v>
      </c>
      <c r="BQ275" s="44">
        <f t="shared" si="4149"/>
        <v>27493</v>
      </c>
      <c r="BR275" s="44">
        <f>ROUND(BQ275*(1+取值表!$D$14)*取值表!$H$14,0)</f>
        <v>27165</v>
      </c>
      <c r="BS275" s="44">
        <f t="shared" ref="BS275:BU275" si="4150">BR275</f>
        <v>27165</v>
      </c>
      <c r="BT275" s="44">
        <f t="shared" si="4150"/>
        <v>27165</v>
      </c>
      <c r="BU275" s="44">
        <f t="shared" si="4150"/>
        <v>27165</v>
      </c>
      <c r="BV275" s="44">
        <f>ROUND(BU275*(1+取值表!$D$14)*取值表!$H$14,0)</f>
        <v>26841</v>
      </c>
      <c r="BW275" s="44">
        <f t="shared" ref="BW275:BY275" si="4151">BV275</f>
        <v>26841</v>
      </c>
      <c r="BX275" s="44">
        <f t="shared" si="4151"/>
        <v>26841</v>
      </c>
      <c r="BY275" s="44">
        <f t="shared" si="4151"/>
        <v>26841</v>
      </c>
      <c r="BZ275" s="44">
        <f>ROUND(BY275*(1+取值表!$D$14)*取值表!$H$14,0)</f>
        <v>26521</v>
      </c>
      <c r="CA275" s="44">
        <f t="shared" ref="CA275:CC275" si="4152">BZ275</f>
        <v>26521</v>
      </c>
      <c r="CB275" s="44">
        <f t="shared" si="4152"/>
        <v>26521</v>
      </c>
      <c r="CC275" s="44">
        <f t="shared" si="4152"/>
        <v>26521</v>
      </c>
      <c r="CD275" s="44">
        <f>ROUND(CC275*(1+取值表!$D$14)*取值表!$H$14,0)</f>
        <v>26204</v>
      </c>
      <c r="CE275" s="44">
        <f t="shared" ref="CE275:CG275" si="4153">CD275</f>
        <v>26204</v>
      </c>
      <c r="CF275" s="44">
        <f t="shared" si="4153"/>
        <v>26204</v>
      </c>
      <c r="CG275" s="44">
        <f t="shared" si="4153"/>
        <v>26204</v>
      </c>
      <c r="CH275" s="44">
        <f>ROUND(CG275*(1+取值表!$D$14)*取值表!$H$14,0)</f>
        <v>25891</v>
      </c>
      <c r="CI275" s="44">
        <f t="shared" ref="CI275:CK275" si="4154">CH275</f>
        <v>25891</v>
      </c>
      <c r="CJ275" s="44">
        <f t="shared" si="4154"/>
        <v>25891</v>
      </c>
      <c r="CK275" s="44">
        <f t="shared" si="4154"/>
        <v>25891</v>
      </c>
      <c r="CL275" s="44">
        <f>ROUND(CK275*(1+取值表!$D$14)*取值表!$H$14,0)</f>
        <v>25582</v>
      </c>
      <c r="CM275" s="44">
        <f t="shared" ref="CM275:CO275" si="4155">CL275</f>
        <v>25582</v>
      </c>
      <c r="CN275" s="44">
        <f t="shared" si="4155"/>
        <v>25582</v>
      </c>
      <c r="CO275" s="44">
        <f t="shared" si="4155"/>
        <v>25582</v>
      </c>
      <c r="CP275" s="44">
        <f>ROUND(CO275*(1+取值表!$D$14)*取值表!$H$14,0)</f>
        <v>25277</v>
      </c>
      <c r="CQ275" s="44">
        <f t="shared" ref="CQ275" si="4156">CP275</f>
        <v>25277</v>
      </c>
      <c r="CR275" s="44">
        <f t="shared" ref="CR275" si="4157">CQ275</f>
        <v>25277</v>
      </c>
      <c r="CS275" s="44">
        <f t="shared" ref="CS275" si="4158">CR275</f>
        <v>25277</v>
      </c>
      <c r="CT275" s="44">
        <f>ROUND(CS275*(1+取值表!$D$14)*取值表!$H$14,0)</f>
        <v>24975</v>
      </c>
      <c r="CU275" s="44">
        <f t="shared" ref="CU275" si="4159">CT275</f>
        <v>24975</v>
      </c>
      <c r="CV275" s="44">
        <f t="shared" ref="CV275" si="4160">CU275</f>
        <v>24975</v>
      </c>
      <c r="CW275" s="44">
        <f t="shared" ref="CW275" si="4161">CV275</f>
        <v>24975</v>
      </c>
      <c r="CX275" s="44">
        <f>ROUND(CW275*(1+取值表!$D$14)*取值表!$H$14,0)</f>
        <v>24677</v>
      </c>
      <c r="CY275" s="44">
        <f t="shared" ref="CY275" si="4162">CX275</f>
        <v>24677</v>
      </c>
      <c r="CZ275" s="44">
        <f t="shared" ref="CZ275" si="4163">CY275</f>
        <v>24677</v>
      </c>
      <c r="DA275" s="44">
        <f t="shared" ref="DA275" si="4164">CZ275</f>
        <v>24677</v>
      </c>
      <c r="DB275" s="44">
        <f>ROUND(DA275*(1+取值表!$D$14)*取值表!$H$14,0)</f>
        <v>24382</v>
      </c>
      <c r="DC275" s="44">
        <f t="shared" ref="DC275" si="4165">DB275</f>
        <v>24382</v>
      </c>
      <c r="DD275" s="44">
        <f t="shared" ref="DD275" si="4166">DC275</f>
        <v>24382</v>
      </c>
      <c r="DE275" s="44">
        <f t="shared" ref="DE275" si="4167">DD275</f>
        <v>24382</v>
      </c>
      <c r="DF275" s="45">
        <f t="shared" si="3929"/>
        <v>2826660</v>
      </c>
    </row>
    <row r="276" spans="1:110" s="40" customFormat="1" ht="12">
      <c r="A276" s="517"/>
      <c r="B276" s="518"/>
      <c r="C276" s="450"/>
      <c r="D276" s="451"/>
      <c r="E276" s="452"/>
      <c r="F276" s="446"/>
      <c r="G276" s="446"/>
      <c r="H276" s="447"/>
      <c r="I276" s="41"/>
      <c r="J276" s="42"/>
      <c r="K276" s="44"/>
      <c r="L276" s="44"/>
      <c r="M276" s="44"/>
      <c r="N276" s="44"/>
      <c r="O276" s="44"/>
      <c r="P276" s="44"/>
      <c r="Q276" s="44"/>
      <c r="R276" s="44"/>
      <c r="S276" s="44"/>
      <c r="T276" s="44"/>
      <c r="U276" s="44"/>
      <c r="V276" s="44"/>
      <c r="W276" s="44"/>
      <c r="X276" s="44"/>
      <c r="Y276" s="44"/>
      <c r="Z276" s="44"/>
      <c r="AA276" s="44"/>
      <c r="AB276" s="44"/>
      <c r="AC276" s="44"/>
      <c r="AD276" s="44"/>
      <c r="AE276" s="44"/>
      <c r="AF276" s="44"/>
      <c r="AG276" s="44"/>
      <c r="AH276" s="44"/>
      <c r="AI276" s="44"/>
      <c r="AJ276" s="44"/>
      <c r="AK276" s="44"/>
      <c r="AL276" s="44"/>
      <c r="AM276" s="44"/>
      <c r="AN276" s="44"/>
      <c r="AO276" s="44"/>
      <c r="AP276" s="44"/>
      <c r="AQ276" s="44"/>
      <c r="AR276" s="44"/>
      <c r="AS276" s="44"/>
      <c r="AT276" s="44"/>
      <c r="AU276" s="44"/>
      <c r="AV276" s="44"/>
      <c r="AW276" s="44"/>
      <c r="AX276" s="44"/>
      <c r="AY276" s="44"/>
      <c r="AZ276" s="44"/>
      <c r="BA276" s="44"/>
      <c r="BB276" s="44"/>
      <c r="BC276" s="44"/>
      <c r="BD276" s="44"/>
      <c r="BE276" s="44"/>
      <c r="BF276" s="44"/>
      <c r="BG276" s="44"/>
      <c r="BH276" s="44"/>
      <c r="BI276" s="44"/>
      <c r="BJ276" s="44"/>
      <c r="BK276" s="44"/>
      <c r="BL276" s="44"/>
      <c r="BM276" s="44"/>
      <c r="BN276" s="44"/>
      <c r="BO276" s="44"/>
      <c r="BP276" s="44"/>
      <c r="BQ276" s="44"/>
      <c r="BR276" s="44"/>
      <c r="BS276" s="44"/>
      <c r="BT276" s="44"/>
      <c r="BU276" s="44"/>
      <c r="BV276" s="44"/>
      <c r="BW276" s="44"/>
      <c r="BX276" s="44"/>
      <c r="BY276" s="44"/>
      <c r="BZ276" s="44"/>
      <c r="CA276" s="44"/>
      <c r="CB276" s="44"/>
      <c r="CC276" s="44"/>
      <c r="CD276" s="44"/>
      <c r="CE276" s="44"/>
      <c r="CF276" s="44"/>
      <c r="CG276" s="44"/>
      <c r="CH276" s="44"/>
      <c r="CI276" s="44"/>
      <c r="CJ276" s="44"/>
      <c r="CK276" s="44"/>
      <c r="CL276" s="44"/>
      <c r="CM276" s="44"/>
      <c r="CN276" s="44"/>
      <c r="CO276" s="44"/>
      <c r="CP276" s="44"/>
      <c r="CQ276" s="44"/>
      <c r="CR276" s="44"/>
      <c r="CS276" s="44"/>
      <c r="CT276" s="44"/>
      <c r="CU276" s="44"/>
      <c r="CV276" s="44"/>
      <c r="CW276" s="44"/>
      <c r="CX276" s="44"/>
      <c r="CY276" s="44"/>
      <c r="CZ276" s="44"/>
      <c r="DA276" s="44"/>
      <c r="DB276" s="44"/>
      <c r="DC276" s="44"/>
      <c r="DD276" s="44"/>
      <c r="DE276" s="44"/>
      <c r="DF276" s="45">
        <f t="shared" si="3929"/>
        <v>0</v>
      </c>
    </row>
    <row r="277" spans="1:110" s="40" customFormat="1" ht="12" customHeight="1">
      <c r="A277" s="516">
        <v>140</v>
      </c>
      <c r="B277" s="518" t="s">
        <v>269</v>
      </c>
      <c r="C277" s="450" t="s">
        <v>18</v>
      </c>
      <c r="D277" s="451" t="s">
        <v>514</v>
      </c>
      <c r="E277" s="452" t="s">
        <v>509</v>
      </c>
      <c r="F277" s="446">
        <v>61.46</v>
      </c>
      <c r="G277" s="446">
        <f>AVERAGE(14)</f>
        <v>14</v>
      </c>
      <c r="H277" s="447">
        <f>F277*G277*365</f>
        <v>314060.60000000003</v>
      </c>
      <c r="I277" s="41">
        <v>77113.09</v>
      </c>
      <c r="J277" s="42">
        <f>ROUND(G277*F277*365/4,0)</f>
        <v>78515</v>
      </c>
      <c r="K277" s="43">
        <f>J277</f>
        <v>78515</v>
      </c>
      <c r="L277" s="44">
        <f>K277</f>
        <v>78515</v>
      </c>
      <c r="M277" s="44">
        <f>L277</f>
        <v>78515</v>
      </c>
      <c r="N277" s="44">
        <f>ROUND(M277*(1+取值表!$D$14)*取值表!$H$14,0)</f>
        <v>77578</v>
      </c>
      <c r="O277" s="44">
        <f>N277</f>
        <v>77578</v>
      </c>
      <c r="P277" s="44">
        <f>O277</f>
        <v>77578</v>
      </c>
      <c r="Q277" s="44">
        <f>P277</f>
        <v>77578</v>
      </c>
      <c r="R277" s="44">
        <f>ROUND(Q277*(1+取值表!$D$14)*取值表!$H$14,0)</f>
        <v>76652</v>
      </c>
      <c r="S277" s="44">
        <f>R277</f>
        <v>76652</v>
      </c>
      <c r="T277" s="44">
        <f>S277</f>
        <v>76652</v>
      </c>
      <c r="U277" s="44">
        <f>T277</f>
        <v>76652</v>
      </c>
      <c r="V277" s="44">
        <f>ROUND(U277*(1+取值表!$D$14)*取值表!$H$14,0)</f>
        <v>75737</v>
      </c>
      <c r="W277" s="44">
        <f t="shared" ref="W277:Y277" si="4168">V277</f>
        <v>75737</v>
      </c>
      <c r="X277" s="44">
        <f t="shared" si="4168"/>
        <v>75737</v>
      </c>
      <c r="Y277" s="44">
        <f t="shared" si="4168"/>
        <v>75737</v>
      </c>
      <c r="Z277" s="44">
        <f>ROUND(Y277*(1+取值表!$D$14)*取值表!$H$14,0)</f>
        <v>74833</v>
      </c>
      <c r="AA277" s="44">
        <f t="shared" ref="AA277:AC277" si="4169">Z277</f>
        <v>74833</v>
      </c>
      <c r="AB277" s="44">
        <f t="shared" si="4169"/>
        <v>74833</v>
      </c>
      <c r="AC277" s="44">
        <f t="shared" si="4169"/>
        <v>74833</v>
      </c>
      <c r="AD277" s="44">
        <f>ROUND(AC277*(1+取值表!$D$14)*取值表!$H$14,0)</f>
        <v>73940</v>
      </c>
      <c r="AE277" s="44">
        <f t="shared" ref="AE277:AG277" si="4170">AD277</f>
        <v>73940</v>
      </c>
      <c r="AF277" s="44">
        <f t="shared" si="4170"/>
        <v>73940</v>
      </c>
      <c r="AG277" s="44">
        <f t="shared" si="4170"/>
        <v>73940</v>
      </c>
      <c r="AH277" s="44">
        <f>ROUND(AG277*(1+取值表!$D$14)*取值表!$H$14,0)</f>
        <v>73058</v>
      </c>
      <c r="AI277" s="44">
        <f t="shared" ref="AI277:AK277" si="4171">AH277</f>
        <v>73058</v>
      </c>
      <c r="AJ277" s="44">
        <f t="shared" si="4171"/>
        <v>73058</v>
      </c>
      <c r="AK277" s="44">
        <f t="shared" si="4171"/>
        <v>73058</v>
      </c>
      <c r="AL277" s="44">
        <f>ROUND(AK277*(1+取值表!$D$14)*取值表!$H$14,0)</f>
        <v>72186</v>
      </c>
      <c r="AM277" s="44">
        <f t="shared" ref="AM277:AO277" si="4172">AL277</f>
        <v>72186</v>
      </c>
      <c r="AN277" s="44">
        <f t="shared" si="4172"/>
        <v>72186</v>
      </c>
      <c r="AO277" s="44">
        <f t="shared" si="4172"/>
        <v>72186</v>
      </c>
      <c r="AP277" s="44">
        <f>ROUND(AO277*(1+取值表!$D$14)*取值表!$H$14,0)</f>
        <v>71325</v>
      </c>
      <c r="AQ277" s="44">
        <f t="shared" ref="AQ277:AS277" si="4173">AP277</f>
        <v>71325</v>
      </c>
      <c r="AR277" s="44">
        <f t="shared" si="4173"/>
        <v>71325</v>
      </c>
      <c r="AS277" s="44">
        <f t="shared" si="4173"/>
        <v>71325</v>
      </c>
      <c r="AT277" s="44">
        <f>ROUND(AS277*(1+取值表!$D$14)*取值表!$H$14,0)</f>
        <v>70474</v>
      </c>
      <c r="AU277" s="44">
        <f t="shared" ref="AU277:AW277" si="4174">AT277</f>
        <v>70474</v>
      </c>
      <c r="AV277" s="44">
        <f t="shared" si="4174"/>
        <v>70474</v>
      </c>
      <c r="AW277" s="44">
        <f t="shared" si="4174"/>
        <v>70474</v>
      </c>
      <c r="AX277" s="44">
        <f>ROUND(AW277*(1+取值表!$D$14)*取值表!$H$14,0)</f>
        <v>69633</v>
      </c>
      <c r="AY277" s="44">
        <f t="shared" ref="AY277:BA277" si="4175">AX277</f>
        <v>69633</v>
      </c>
      <c r="AZ277" s="44">
        <f t="shared" si="4175"/>
        <v>69633</v>
      </c>
      <c r="BA277" s="44">
        <f t="shared" si="4175"/>
        <v>69633</v>
      </c>
      <c r="BB277" s="44">
        <f>ROUND(BA277*(1+取值表!$D$14)*取值表!$H$14,0)</f>
        <v>68802</v>
      </c>
      <c r="BC277" s="44">
        <f t="shared" ref="BC277:BE277" si="4176">BB277</f>
        <v>68802</v>
      </c>
      <c r="BD277" s="44">
        <f t="shared" si="4176"/>
        <v>68802</v>
      </c>
      <c r="BE277" s="44">
        <f t="shared" si="4176"/>
        <v>68802</v>
      </c>
      <c r="BF277" s="44">
        <f>ROUND(BE277*(1+取值表!$D$14)*取值表!$H$14,0)</f>
        <v>67981</v>
      </c>
      <c r="BG277" s="44">
        <f t="shared" ref="BG277:BI277" si="4177">BF277</f>
        <v>67981</v>
      </c>
      <c r="BH277" s="44">
        <f t="shared" si="4177"/>
        <v>67981</v>
      </c>
      <c r="BI277" s="44">
        <f t="shared" si="4177"/>
        <v>67981</v>
      </c>
      <c r="BJ277" s="44">
        <f>ROUND(BI277*(1+取值表!$D$14)*取值表!$H$14,0)</f>
        <v>67170</v>
      </c>
      <c r="BK277" s="44">
        <f t="shared" ref="BK277:BM277" si="4178">BJ277</f>
        <v>67170</v>
      </c>
      <c r="BL277" s="44">
        <f t="shared" si="4178"/>
        <v>67170</v>
      </c>
      <c r="BM277" s="44">
        <f t="shared" si="4178"/>
        <v>67170</v>
      </c>
      <c r="BN277" s="44">
        <f>ROUND(BM277*(1+取值表!$D$14)*取值表!$H$14,0)</f>
        <v>66368</v>
      </c>
      <c r="BO277" s="44">
        <f t="shared" ref="BO277:BQ277" si="4179">BN277</f>
        <v>66368</v>
      </c>
      <c r="BP277" s="44">
        <f t="shared" si="4179"/>
        <v>66368</v>
      </c>
      <c r="BQ277" s="44">
        <f t="shared" si="4179"/>
        <v>66368</v>
      </c>
      <c r="BR277" s="44">
        <f>ROUND(BQ277*(1+取值表!$D$14)*取值表!$H$14,0)</f>
        <v>65576</v>
      </c>
      <c r="BS277" s="44">
        <f t="shared" ref="BS277:BU277" si="4180">BR277</f>
        <v>65576</v>
      </c>
      <c r="BT277" s="44">
        <f t="shared" si="4180"/>
        <v>65576</v>
      </c>
      <c r="BU277" s="44">
        <f t="shared" si="4180"/>
        <v>65576</v>
      </c>
      <c r="BV277" s="44">
        <f>ROUND(BU277*(1+取值表!$D$14)*取值表!$H$14,0)</f>
        <v>64793</v>
      </c>
      <c r="BW277" s="44">
        <f t="shared" ref="BW277:BY277" si="4181">BV277</f>
        <v>64793</v>
      </c>
      <c r="BX277" s="44">
        <f t="shared" si="4181"/>
        <v>64793</v>
      </c>
      <c r="BY277" s="44">
        <f t="shared" si="4181"/>
        <v>64793</v>
      </c>
      <c r="BZ277" s="44">
        <f>ROUND(BY277*(1+取值表!$D$14)*取值表!$H$14,0)</f>
        <v>64020</v>
      </c>
      <c r="CA277" s="44">
        <f t="shared" ref="CA277:CC277" si="4182">BZ277</f>
        <v>64020</v>
      </c>
      <c r="CB277" s="44">
        <f t="shared" si="4182"/>
        <v>64020</v>
      </c>
      <c r="CC277" s="44">
        <f t="shared" si="4182"/>
        <v>64020</v>
      </c>
      <c r="CD277" s="44">
        <f>ROUND(CC277*(1+取值表!$D$14)*取值表!$H$14,0)</f>
        <v>63256</v>
      </c>
      <c r="CE277" s="44">
        <f t="shared" ref="CE277:CG277" si="4183">CD277</f>
        <v>63256</v>
      </c>
      <c r="CF277" s="44">
        <f t="shared" si="4183"/>
        <v>63256</v>
      </c>
      <c r="CG277" s="44">
        <f t="shared" si="4183"/>
        <v>63256</v>
      </c>
      <c r="CH277" s="44">
        <f>ROUND(CG277*(1+取值表!$D$14)*取值表!$H$14,0)</f>
        <v>62501</v>
      </c>
      <c r="CI277" s="44">
        <f t="shared" ref="CI277:CK277" si="4184">CH277</f>
        <v>62501</v>
      </c>
      <c r="CJ277" s="44">
        <f t="shared" si="4184"/>
        <v>62501</v>
      </c>
      <c r="CK277" s="44">
        <f t="shared" si="4184"/>
        <v>62501</v>
      </c>
      <c r="CL277" s="44">
        <f>ROUND(CK277*(1+取值表!$D$14)*取值表!$H$14,0)</f>
        <v>61755</v>
      </c>
      <c r="CM277" s="44">
        <f t="shared" ref="CM277:CO277" si="4185">CL277</f>
        <v>61755</v>
      </c>
      <c r="CN277" s="44">
        <f t="shared" si="4185"/>
        <v>61755</v>
      </c>
      <c r="CO277" s="44">
        <f t="shared" si="4185"/>
        <v>61755</v>
      </c>
      <c r="CP277" s="44">
        <f>ROUND(CO277*(1+取值表!$D$14)*取值表!$H$14,0)</f>
        <v>61018</v>
      </c>
      <c r="CQ277" s="44">
        <f t="shared" ref="CQ277" si="4186">CP277</f>
        <v>61018</v>
      </c>
      <c r="CR277" s="44">
        <f t="shared" ref="CR277" si="4187">CQ277</f>
        <v>61018</v>
      </c>
      <c r="CS277" s="44">
        <f t="shared" ref="CS277" si="4188">CR277</f>
        <v>61018</v>
      </c>
      <c r="CT277" s="44">
        <f>ROUND(CS277*(1+取值表!$D$14)*取值表!$H$14,0)</f>
        <v>60290</v>
      </c>
      <c r="CU277" s="44">
        <f t="shared" ref="CU277" si="4189">CT277</f>
        <v>60290</v>
      </c>
      <c r="CV277" s="44">
        <f t="shared" ref="CV277" si="4190">CU277</f>
        <v>60290</v>
      </c>
      <c r="CW277" s="44">
        <f t="shared" ref="CW277" si="4191">CV277</f>
        <v>60290</v>
      </c>
      <c r="CX277" s="44">
        <f>ROUND(CW277*(1+取值表!$D$14)*取值表!$H$14,0)</f>
        <v>59570</v>
      </c>
      <c r="CY277" s="44">
        <f t="shared" ref="CY277" si="4192">CX277</f>
        <v>59570</v>
      </c>
      <c r="CZ277" s="44">
        <f t="shared" ref="CZ277" si="4193">CY277</f>
        <v>59570</v>
      </c>
      <c r="DA277" s="44">
        <f t="shared" ref="DA277" si="4194">CZ277</f>
        <v>59570</v>
      </c>
      <c r="DB277" s="44">
        <f>ROUND(DA277*(1+取值表!$D$14)*取值表!$H$14,0)</f>
        <v>58859</v>
      </c>
      <c r="DC277" s="44">
        <f t="shared" ref="DC277" si="4195">DB277</f>
        <v>58859</v>
      </c>
      <c r="DD277" s="44">
        <f t="shared" ref="DD277" si="4196">DC277</f>
        <v>58859</v>
      </c>
      <c r="DE277" s="44">
        <f t="shared" ref="DE277" si="4197">DD277</f>
        <v>58859</v>
      </c>
      <c r="DF277" s="45">
        <f t="shared" si="3929"/>
        <v>6823560</v>
      </c>
    </row>
    <row r="278" spans="1:110" s="40" customFormat="1" ht="12">
      <c r="A278" s="517"/>
      <c r="B278" s="518"/>
      <c r="C278" s="450"/>
      <c r="D278" s="451"/>
      <c r="E278" s="452"/>
      <c r="F278" s="446"/>
      <c r="G278" s="446"/>
      <c r="H278" s="447"/>
      <c r="I278" s="41"/>
      <c r="J278" s="42"/>
      <c r="K278" s="44"/>
      <c r="L278" s="44"/>
      <c r="M278" s="44"/>
      <c r="N278" s="44"/>
      <c r="O278" s="44"/>
      <c r="P278" s="44"/>
      <c r="Q278" s="44"/>
      <c r="R278" s="44"/>
      <c r="S278" s="44"/>
      <c r="T278" s="44"/>
      <c r="U278" s="44"/>
      <c r="V278" s="44"/>
      <c r="W278" s="44"/>
      <c r="X278" s="44"/>
      <c r="Y278" s="44"/>
      <c r="Z278" s="44"/>
      <c r="AA278" s="44"/>
      <c r="AB278" s="44"/>
      <c r="AC278" s="44"/>
      <c r="AD278" s="44"/>
      <c r="AE278" s="44"/>
      <c r="AF278" s="44"/>
      <c r="AG278" s="44"/>
      <c r="AH278" s="44"/>
      <c r="AI278" s="44"/>
      <c r="AJ278" s="44"/>
      <c r="AK278" s="44"/>
      <c r="AL278" s="44"/>
      <c r="AM278" s="44"/>
      <c r="AN278" s="44"/>
      <c r="AO278" s="44"/>
      <c r="AP278" s="44"/>
      <c r="AQ278" s="44"/>
      <c r="AR278" s="44"/>
      <c r="AS278" s="44"/>
      <c r="AT278" s="44"/>
      <c r="AU278" s="44"/>
      <c r="AV278" s="44"/>
      <c r="AW278" s="44"/>
      <c r="AX278" s="44"/>
      <c r="AY278" s="44"/>
      <c r="AZ278" s="44"/>
      <c r="BA278" s="44"/>
      <c r="BB278" s="44"/>
      <c r="BC278" s="44"/>
      <c r="BD278" s="44"/>
      <c r="BE278" s="44"/>
      <c r="BF278" s="44"/>
      <c r="BG278" s="44"/>
      <c r="BH278" s="44"/>
      <c r="BI278" s="44"/>
      <c r="BJ278" s="44"/>
      <c r="BK278" s="44"/>
      <c r="BL278" s="44"/>
      <c r="BM278" s="44"/>
      <c r="BN278" s="44"/>
      <c r="BO278" s="44"/>
      <c r="BP278" s="44"/>
      <c r="BQ278" s="44"/>
      <c r="BR278" s="44"/>
      <c r="BS278" s="44"/>
      <c r="BT278" s="44"/>
      <c r="BU278" s="44"/>
      <c r="BV278" s="44"/>
      <c r="BW278" s="44"/>
      <c r="BX278" s="44"/>
      <c r="BY278" s="44"/>
      <c r="BZ278" s="44"/>
      <c r="CA278" s="44"/>
      <c r="CB278" s="44"/>
      <c r="CC278" s="44"/>
      <c r="CD278" s="44"/>
      <c r="CE278" s="44"/>
      <c r="CF278" s="44"/>
      <c r="CG278" s="44"/>
      <c r="CH278" s="44"/>
      <c r="CI278" s="44"/>
      <c r="CJ278" s="44"/>
      <c r="CK278" s="44"/>
      <c r="CL278" s="44"/>
      <c r="CM278" s="44"/>
      <c r="CN278" s="44"/>
      <c r="CO278" s="44"/>
      <c r="CP278" s="44"/>
      <c r="CQ278" s="44"/>
      <c r="CR278" s="44"/>
      <c r="CS278" s="44"/>
      <c r="CT278" s="44"/>
      <c r="CU278" s="44"/>
      <c r="CV278" s="44"/>
      <c r="CW278" s="44"/>
      <c r="CX278" s="44"/>
      <c r="CY278" s="44"/>
      <c r="CZ278" s="44"/>
      <c r="DA278" s="44"/>
      <c r="DB278" s="44"/>
      <c r="DC278" s="44"/>
      <c r="DD278" s="44"/>
      <c r="DE278" s="44"/>
      <c r="DF278" s="45">
        <f t="shared" si="3929"/>
        <v>0</v>
      </c>
    </row>
    <row r="279" spans="1:110" s="40" customFormat="1" ht="12" customHeight="1">
      <c r="A279" s="516">
        <v>141</v>
      </c>
      <c r="B279" s="456" t="s">
        <v>270</v>
      </c>
      <c r="C279" s="450" t="s">
        <v>271</v>
      </c>
      <c r="D279" s="451" t="s">
        <v>515</v>
      </c>
      <c r="E279" s="452" t="s">
        <v>509</v>
      </c>
      <c r="F279" s="446">
        <v>67.489999999999995</v>
      </c>
      <c r="G279" s="446">
        <v>14</v>
      </c>
      <c r="H279" s="447">
        <f>F279*G279*365</f>
        <v>344873.89999999997</v>
      </c>
      <c r="I279" s="41">
        <v>63124.24</v>
      </c>
      <c r="J279" s="42">
        <f>ROUND(G279*F279*365/4,0)</f>
        <v>86218</v>
      </c>
      <c r="K279" s="43">
        <f>J279</f>
        <v>86218</v>
      </c>
      <c r="L279" s="44">
        <f>K279</f>
        <v>86218</v>
      </c>
      <c r="M279" s="44">
        <f>L279</f>
        <v>86218</v>
      </c>
      <c r="N279" s="44">
        <f>ROUND(M279*(1+取值表!$D$14)*取值表!$H$14,0)</f>
        <v>85189</v>
      </c>
      <c r="O279" s="44">
        <f>N279</f>
        <v>85189</v>
      </c>
      <c r="P279" s="44">
        <f>O279</f>
        <v>85189</v>
      </c>
      <c r="Q279" s="44">
        <f>P279</f>
        <v>85189</v>
      </c>
      <c r="R279" s="44">
        <f>ROUND(Q279*(1+取值表!$D$14)*取值表!$H$14,0)</f>
        <v>84172</v>
      </c>
      <c r="S279" s="44">
        <f>R279</f>
        <v>84172</v>
      </c>
      <c r="T279" s="44">
        <f>S279</f>
        <v>84172</v>
      </c>
      <c r="U279" s="44">
        <f>T279</f>
        <v>84172</v>
      </c>
      <c r="V279" s="44">
        <f>ROUND(U279*(1+取值表!$D$14)*取值表!$H$14,0)</f>
        <v>83167</v>
      </c>
      <c r="W279" s="44">
        <f t="shared" ref="W279:Y279" si="4198">V279</f>
        <v>83167</v>
      </c>
      <c r="X279" s="44">
        <f t="shared" si="4198"/>
        <v>83167</v>
      </c>
      <c r="Y279" s="44">
        <f t="shared" si="4198"/>
        <v>83167</v>
      </c>
      <c r="Z279" s="44">
        <f>ROUND(Y279*(1+取值表!$D$14)*取值表!$H$14,0)</f>
        <v>82174</v>
      </c>
      <c r="AA279" s="44">
        <f t="shared" ref="AA279:AC279" si="4199">Z279</f>
        <v>82174</v>
      </c>
      <c r="AB279" s="44">
        <f t="shared" si="4199"/>
        <v>82174</v>
      </c>
      <c r="AC279" s="44">
        <f t="shared" si="4199"/>
        <v>82174</v>
      </c>
      <c r="AD279" s="44">
        <f>ROUND(AC279*(1+取值表!$D$14)*取值表!$H$14,0)</f>
        <v>81193</v>
      </c>
      <c r="AE279" s="44">
        <f t="shared" ref="AE279:AG279" si="4200">AD279</f>
        <v>81193</v>
      </c>
      <c r="AF279" s="44">
        <f t="shared" si="4200"/>
        <v>81193</v>
      </c>
      <c r="AG279" s="44">
        <f t="shared" si="4200"/>
        <v>81193</v>
      </c>
      <c r="AH279" s="44">
        <f>ROUND(AG279*(1+取值表!$D$14)*取值表!$H$14,0)</f>
        <v>80224</v>
      </c>
      <c r="AI279" s="44">
        <f t="shared" ref="AI279:AK279" si="4201">AH279</f>
        <v>80224</v>
      </c>
      <c r="AJ279" s="44">
        <f t="shared" si="4201"/>
        <v>80224</v>
      </c>
      <c r="AK279" s="44">
        <f t="shared" si="4201"/>
        <v>80224</v>
      </c>
      <c r="AL279" s="44">
        <f>ROUND(AK279*(1+取值表!$D$14)*取值表!$H$14,0)</f>
        <v>79267</v>
      </c>
      <c r="AM279" s="44">
        <f t="shared" ref="AM279:AO279" si="4202">AL279</f>
        <v>79267</v>
      </c>
      <c r="AN279" s="44">
        <f t="shared" si="4202"/>
        <v>79267</v>
      </c>
      <c r="AO279" s="44">
        <f t="shared" si="4202"/>
        <v>79267</v>
      </c>
      <c r="AP279" s="44">
        <f>ROUND(AO279*(1+取值表!$D$14)*取值表!$H$14,0)</f>
        <v>78321</v>
      </c>
      <c r="AQ279" s="44">
        <f t="shared" ref="AQ279:AS279" si="4203">AP279</f>
        <v>78321</v>
      </c>
      <c r="AR279" s="44">
        <f t="shared" si="4203"/>
        <v>78321</v>
      </c>
      <c r="AS279" s="44">
        <f t="shared" si="4203"/>
        <v>78321</v>
      </c>
      <c r="AT279" s="44">
        <f>ROUND(AS279*(1+取值表!$D$14)*取值表!$H$14,0)</f>
        <v>77386</v>
      </c>
      <c r="AU279" s="44">
        <f t="shared" ref="AU279:AW279" si="4204">AT279</f>
        <v>77386</v>
      </c>
      <c r="AV279" s="44">
        <f t="shared" si="4204"/>
        <v>77386</v>
      </c>
      <c r="AW279" s="44">
        <f t="shared" si="4204"/>
        <v>77386</v>
      </c>
      <c r="AX279" s="44">
        <f>ROUND(AW279*(1+取值表!$D$14)*取值表!$H$14,0)</f>
        <v>76462</v>
      </c>
      <c r="AY279" s="44">
        <f t="shared" ref="AY279:BA279" si="4205">AX279</f>
        <v>76462</v>
      </c>
      <c r="AZ279" s="44">
        <f t="shared" si="4205"/>
        <v>76462</v>
      </c>
      <c r="BA279" s="44">
        <f t="shared" si="4205"/>
        <v>76462</v>
      </c>
      <c r="BB279" s="44">
        <f>ROUND(BA279*(1+取值表!$D$14)*取值表!$H$14,0)</f>
        <v>75549</v>
      </c>
      <c r="BC279" s="44">
        <f t="shared" ref="BC279:BE279" si="4206">BB279</f>
        <v>75549</v>
      </c>
      <c r="BD279" s="44">
        <f t="shared" si="4206"/>
        <v>75549</v>
      </c>
      <c r="BE279" s="44">
        <f t="shared" si="4206"/>
        <v>75549</v>
      </c>
      <c r="BF279" s="44">
        <f>ROUND(BE279*(1+取值表!$D$14)*取值表!$H$14,0)</f>
        <v>74647</v>
      </c>
      <c r="BG279" s="44">
        <f t="shared" ref="BG279:BI279" si="4207">BF279</f>
        <v>74647</v>
      </c>
      <c r="BH279" s="44">
        <f t="shared" si="4207"/>
        <v>74647</v>
      </c>
      <c r="BI279" s="44">
        <f t="shared" si="4207"/>
        <v>74647</v>
      </c>
      <c r="BJ279" s="44">
        <f>ROUND(BI279*(1+取值表!$D$14)*取值表!$H$14,0)</f>
        <v>73756</v>
      </c>
      <c r="BK279" s="44">
        <f t="shared" ref="BK279:BM279" si="4208">BJ279</f>
        <v>73756</v>
      </c>
      <c r="BL279" s="44">
        <f t="shared" si="4208"/>
        <v>73756</v>
      </c>
      <c r="BM279" s="44">
        <f t="shared" si="4208"/>
        <v>73756</v>
      </c>
      <c r="BN279" s="44">
        <f>ROUND(BM279*(1+取值表!$D$14)*取值表!$H$14,0)</f>
        <v>72876</v>
      </c>
      <c r="BO279" s="44">
        <f t="shared" ref="BO279:BQ279" si="4209">BN279</f>
        <v>72876</v>
      </c>
      <c r="BP279" s="44">
        <f t="shared" si="4209"/>
        <v>72876</v>
      </c>
      <c r="BQ279" s="44">
        <f t="shared" si="4209"/>
        <v>72876</v>
      </c>
      <c r="BR279" s="44">
        <f>ROUND(BQ279*(1+取值表!$D$14)*取值表!$H$14,0)</f>
        <v>72006</v>
      </c>
      <c r="BS279" s="44">
        <f t="shared" ref="BS279:BU279" si="4210">BR279</f>
        <v>72006</v>
      </c>
      <c r="BT279" s="44">
        <f t="shared" si="4210"/>
        <v>72006</v>
      </c>
      <c r="BU279" s="44">
        <f t="shared" si="4210"/>
        <v>72006</v>
      </c>
      <c r="BV279" s="44">
        <f>ROUND(BU279*(1+取值表!$D$14)*取值表!$H$14,0)</f>
        <v>71147</v>
      </c>
      <c r="BW279" s="44">
        <f t="shared" ref="BW279:BY279" si="4211">BV279</f>
        <v>71147</v>
      </c>
      <c r="BX279" s="44">
        <f t="shared" si="4211"/>
        <v>71147</v>
      </c>
      <c r="BY279" s="44">
        <f t="shared" si="4211"/>
        <v>71147</v>
      </c>
      <c r="BZ279" s="44">
        <f>ROUND(BY279*(1+取值表!$D$14)*取值表!$H$14,0)</f>
        <v>70298</v>
      </c>
      <c r="CA279" s="44">
        <f t="shared" ref="CA279:CC279" si="4212">BZ279</f>
        <v>70298</v>
      </c>
      <c r="CB279" s="44">
        <f t="shared" si="4212"/>
        <v>70298</v>
      </c>
      <c r="CC279" s="44">
        <f t="shared" si="4212"/>
        <v>70298</v>
      </c>
      <c r="CD279" s="44">
        <f>ROUND(CC279*(1+取值表!$D$14)*取值表!$H$14,0)</f>
        <v>69459</v>
      </c>
      <c r="CE279" s="44">
        <f t="shared" ref="CE279:CG279" si="4213">CD279</f>
        <v>69459</v>
      </c>
      <c r="CF279" s="44">
        <f t="shared" si="4213"/>
        <v>69459</v>
      </c>
      <c r="CG279" s="44">
        <f t="shared" si="4213"/>
        <v>69459</v>
      </c>
      <c r="CH279" s="44">
        <f>ROUND(CG279*(1+取值表!$D$14)*取值表!$H$14,0)</f>
        <v>68630</v>
      </c>
      <c r="CI279" s="44">
        <f t="shared" ref="CI279:CK279" si="4214">CH279</f>
        <v>68630</v>
      </c>
      <c r="CJ279" s="44">
        <f t="shared" si="4214"/>
        <v>68630</v>
      </c>
      <c r="CK279" s="44">
        <f t="shared" si="4214"/>
        <v>68630</v>
      </c>
      <c r="CL279" s="44">
        <f>ROUND(CK279*(1+取值表!$D$14)*取值表!$H$14,0)</f>
        <v>67811</v>
      </c>
      <c r="CM279" s="44">
        <f t="shared" ref="CM279:CO279" si="4215">CL279</f>
        <v>67811</v>
      </c>
      <c r="CN279" s="44">
        <f t="shared" si="4215"/>
        <v>67811</v>
      </c>
      <c r="CO279" s="44">
        <f t="shared" si="4215"/>
        <v>67811</v>
      </c>
      <c r="CP279" s="44">
        <f>ROUND(CO279*(1+取值表!$D$14)*取值表!$H$14,0)</f>
        <v>67002</v>
      </c>
      <c r="CQ279" s="44">
        <f t="shared" ref="CQ279" si="4216">CP279</f>
        <v>67002</v>
      </c>
      <c r="CR279" s="44">
        <f t="shared" ref="CR279" si="4217">CQ279</f>
        <v>67002</v>
      </c>
      <c r="CS279" s="44">
        <f t="shared" ref="CS279" si="4218">CR279</f>
        <v>67002</v>
      </c>
      <c r="CT279" s="44">
        <f>ROUND(CS279*(1+取值表!$D$14)*取值表!$H$14,0)</f>
        <v>66202</v>
      </c>
      <c r="CU279" s="44">
        <f t="shared" ref="CU279" si="4219">CT279</f>
        <v>66202</v>
      </c>
      <c r="CV279" s="44">
        <f t="shared" ref="CV279" si="4220">CU279</f>
        <v>66202</v>
      </c>
      <c r="CW279" s="44">
        <f t="shared" ref="CW279" si="4221">CV279</f>
        <v>66202</v>
      </c>
      <c r="CX279" s="44">
        <f>ROUND(CW279*(1+取值表!$D$14)*取值表!$H$14,0)</f>
        <v>65412</v>
      </c>
      <c r="CY279" s="44">
        <f t="shared" ref="CY279" si="4222">CX279</f>
        <v>65412</v>
      </c>
      <c r="CZ279" s="44">
        <f t="shared" ref="CZ279" si="4223">CY279</f>
        <v>65412</v>
      </c>
      <c r="DA279" s="44">
        <f t="shared" ref="DA279" si="4224">CZ279</f>
        <v>65412</v>
      </c>
      <c r="DB279" s="44">
        <f>ROUND(DA279*(1+取值表!$D$14)*取值表!$H$14,0)</f>
        <v>64631</v>
      </c>
      <c r="DC279" s="44">
        <f t="shared" ref="DC279" si="4225">DB279</f>
        <v>64631</v>
      </c>
      <c r="DD279" s="44">
        <f t="shared" ref="DD279" si="4226">DC279</f>
        <v>64631</v>
      </c>
      <c r="DE279" s="44">
        <f t="shared" ref="DE279" si="4227">DD279</f>
        <v>64631</v>
      </c>
      <c r="DF279" s="45">
        <f t="shared" si="3929"/>
        <v>7492796</v>
      </c>
    </row>
    <row r="280" spans="1:110" s="40" customFormat="1" ht="12">
      <c r="A280" s="517"/>
      <c r="B280" s="456"/>
      <c r="C280" s="450"/>
      <c r="D280" s="451"/>
      <c r="E280" s="452"/>
      <c r="F280" s="446"/>
      <c r="G280" s="446"/>
      <c r="H280" s="447"/>
      <c r="I280" s="41"/>
      <c r="J280" s="42"/>
      <c r="K280" s="44"/>
      <c r="L280" s="44"/>
      <c r="M280" s="44"/>
      <c r="N280" s="44"/>
      <c r="O280" s="44"/>
      <c r="P280" s="44"/>
      <c r="Q280" s="44"/>
      <c r="R280" s="44"/>
      <c r="S280" s="44"/>
      <c r="T280" s="44"/>
      <c r="U280" s="44"/>
      <c r="V280" s="44"/>
      <c r="W280" s="44"/>
      <c r="X280" s="44"/>
      <c r="Y280" s="44"/>
      <c r="Z280" s="44"/>
      <c r="AA280" s="44"/>
      <c r="AB280" s="44"/>
      <c r="AC280" s="44"/>
      <c r="AD280" s="44"/>
      <c r="AE280" s="44"/>
      <c r="AF280" s="44"/>
      <c r="AG280" s="44"/>
      <c r="AH280" s="44"/>
      <c r="AI280" s="44"/>
      <c r="AJ280" s="44"/>
      <c r="AK280" s="44"/>
      <c r="AL280" s="44"/>
      <c r="AM280" s="44"/>
      <c r="AN280" s="44"/>
      <c r="AO280" s="44"/>
      <c r="AP280" s="44"/>
      <c r="AQ280" s="44"/>
      <c r="AR280" s="44"/>
      <c r="AS280" s="44"/>
      <c r="AT280" s="44"/>
      <c r="AU280" s="44"/>
      <c r="AV280" s="44"/>
      <c r="AW280" s="44"/>
      <c r="AX280" s="44"/>
      <c r="AY280" s="44"/>
      <c r="AZ280" s="44"/>
      <c r="BA280" s="44"/>
      <c r="BB280" s="44"/>
      <c r="BC280" s="44"/>
      <c r="BD280" s="44"/>
      <c r="BE280" s="44"/>
      <c r="BF280" s="44"/>
      <c r="BG280" s="44"/>
      <c r="BH280" s="44"/>
      <c r="BI280" s="44"/>
      <c r="BJ280" s="44"/>
      <c r="BK280" s="44"/>
      <c r="BL280" s="44"/>
      <c r="BM280" s="44"/>
      <c r="BN280" s="44"/>
      <c r="BO280" s="44"/>
      <c r="BP280" s="44"/>
      <c r="BQ280" s="44"/>
      <c r="BR280" s="44"/>
      <c r="BS280" s="44"/>
      <c r="BT280" s="44"/>
      <c r="BU280" s="44"/>
      <c r="BV280" s="44"/>
      <c r="BW280" s="44"/>
      <c r="BX280" s="44"/>
      <c r="BY280" s="44"/>
      <c r="BZ280" s="44"/>
      <c r="CA280" s="44"/>
      <c r="CB280" s="44"/>
      <c r="CC280" s="44"/>
      <c r="CD280" s="44"/>
      <c r="CE280" s="44"/>
      <c r="CF280" s="44"/>
      <c r="CG280" s="44"/>
      <c r="CH280" s="44"/>
      <c r="CI280" s="44"/>
      <c r="CJ280" s="44"/>
      <c r="CK280" s="44"/>
      <c r="CL280" s="44"/>
      <c r="CM280" s="44"/>
      <c r="CN280" s="44"/>
      <c r="CO280" s="44"/>
      <c r="CP280" s="44"/>
      <c r="CQ280" s="44"/>
      <c r="CR280" s="44"/>
      <c r="CS280" s="44"/>
      <c r="CT280" s="44"/>
      <c r="CU280" s="44"/>
      <c r="CV280" s="44"/>
      <c r="CW280" s="44"/>
      <c r="CX280" s="44"/>
      <c r="CY280" s="44"/>
      <c r="CZ280" s="44"/>
      <c r="DA280" s="44"/>
      <c r="DB280" s="44"/>
      <c r="DC280" s="44"/>
      <c r="DD280" s="44"/>
      <c r="DE280" s="44"/>
      <c r="DF280" s="45">
        <f t="shared" si="3929"/>
        <v>0</v>
      </c>
    </row>
    <row r="281" spans="1:110" s="40" customFormat="1" ht="12" customHeight="1">
      <c r="A281" s="516">
        <v>142</v>
      </c>
      <c r="B281" s="518" t="s">
        <v>272</v>
      </c>
      <c r="C281" s="450" t="s">
        <v>750</v>
      </c>
      <c r="D281" s="451" t="s">
        <v>516</v>
      </c>
      <c r="E281" s="452" t="s">
        <v>509</v>
      </c>
      <c r="F281" s="446">
        <v>38.5</v>
      </c>
      <c r="G281" s="446">
        <v>11</v>
      </c>
      <c r="H281" s="447">
        <f>F281*G281*365</f>
        <v>154577.5</v>
      </c>
      <c r="I281" s="41">
        <v>86218.47</v>
      </c>
      <c r="J281" s="43">
        <f>ROUND(G281*F281*365/4,0)</f>
        <v>38644</v>
      </c>
      <c r="K281" s="44">
        <f>J281</f>
        <v>38644</v>
      </c>
      <c r="L281" s="44">
        <f>K281</f>
        <v>38644</v>
      </c>
      <c r="M281" s="44">
        <f>L281</f>
        <v>38644</v>
      </c>
      <c r="N281" s="44">
        <f>ROUND(M281*(1+取值表!$D$14)*取值表!$H$14,0)</f>
        <v>38183</v>
      </c>
      <c r="O281" s="44">
        <f>N281</f>
        <v>38183</v>
      </c>
      <c r="P281" s="44">
        <f>O281</f>
        <v>38183</v>
      </c>
      <c r="Q281" s="44">
        <f>P281</f>
        <v>38183</v>
      </c>
      <c r="R281" s="44">
        <f>ROUND(Q281*(1+取值表!$D$14)*取值表!$H$14,0)</f>
        <v>37727</v>
      </c>
      <c r="S281" s="44">
        <f>R281</f>
        <v>37727</v>
      </c>
      <c r="T281" s="44">
        <f>S281</f>
        <v>37727</v>
      </c>
      <c r="U281" s="44">
        <f>T281</f>
        <v>37727</v>
      </c>
      <c r="V281" s="44">
        <f>ROUND(U281*(1+取值表!$D$14)*取值表!$H$14,0)</f>
        <v>37277</v>
      </c>
      <c r="W281" s="44">
        <f t="shared" ref="W281:Y281" si="4228">V281</f>
        <v>37277</v>
      </c>
      <c r="X281" s="44">
        <f t="shared" si="4228"/>
        <v>37277</v>
      </c>
      <c r="Y281" s="44">
        <f t="shared" si="4228"/>
        <v>37277</v>
      </c>
      <c r="Z281" s="44">
        <f>ROUND(Y281*(1+取值表!$D$14)*取值表!$H$14,0)</f>
        <v>36832</v>
      </c>
      <c r="AA281" s="44">
        <f t="shared" ref="AA281:AC281" si="4229">Z281</f>
        <v>36832</v>
      </c>
      <c r="AB281" s="44">
        <f t="shared" si="4229"/>
        <v>36832</v>
      </c>
      <c r="AC281" s="44">
        <f t="shared" si="4229"/>
        <v>36832</v>
      </c>
      <c r="AD281" s="44">
        <f>ROUND(AC281*(1+取值表!$D$14)*取值表!$H$14,0)</f>
        <v>36392</v>
      </c>
      <c r="AE281" s="44">
        <f t="shared" ref="AE281:AG281" si="4230">AD281</f>
        <v>36392</v>
      </c>
      <c r="AF281" s="44">
        <f t="shared" si="4230"/>
        <v>36392</v>
      </c>
      <c r="AG281" s="44">
        <f t="shared" si="4230"/>
        <v>36392</v>
      </c>
      <c r="AH281" s="44">
        <f>ROUND(AG281*(1+取值表!$D$14)*取值表!$H$14,0)</f>
        <v>35958</v>
      </c>
      <c r="AI281" s="44">
        <f t="shared" ref="AI281:AK281" si="4231">AH281</f>
        <v>35958</v>
      </c>
      <c r="AJ281" s="44">
        <f t="shared" si="4231"/>
        <v>35958</v>
      </c>
      <c r="AK281" s="44">
        <f t="shared" si="4231"/>
        <v>35958</v>
      </c>
      <c r="AL281" s="44">
        <f>ROUND(AK281*(1+取值表!$D$14)*取值表!$H$14,0)</f>
        <v>35529</v>
      </c>
      <c r="AM281" s="44">
        <f t="shared" ref="AM281:AO281" si="4232">AL281</f>
        <v>35529</v>
      </c>
      <c r="AN281" s="44">
        <f t="shared" si="4232"/>
        <v>35529</v>
      </c>
      <c r="AO281" s="44">
        <f t="shared" si="4232"/>
        <v>35529</v>
      </c>
      <c r="AP281" s="44">
        <f>ROUND(AO281*(1+取值表!$D$14)*取值表!$H$14,0)</f>
        <v>35105</v>
      </c>
      <c r="AQ281" s="44">
        <f t="shared" ref="AQ281:AS281" si="4233">AP281</f>
        <v>35105</v>
      </c>
      <c r="AR281" s="44">
        <f t="shared" si="4233"/>
        <v>35105</v>
      </c>
      <c r="AS281" s="44">
        <f t="shared" si="4233"/>
        <v>35105</v>
      </c>
      <c r="AT281" s="44">
        <f>ROUND(AS281*(1+取值表!$D$14)*取值表!$H$14,0)</f>
        <v>34686</v>
      </c>
      <c r="AU281" s="44">
        <f t="shared" ref="AU281:AW281" si="4234">AT281</f>
        <v>34686</v>
      </c>
      <c r="AV281" s="44">
        <f t="shared" si="4234"/>
        <v>34686</v>
      </c>
      <c r="AW281" s="44">
        <f t="shared" si="4234"/>
        <v>34686</v>
      </c>
      <c r="AX281" s="44">
        <f>ROUND(AW281*(1+取值表!$D$14)*取值表!$H$14,0)</f>
        <v>34272</v>
      </c>
      <c r="AY281" s="44">
        <f t="shared" ref="AY281:BA281" si="4235">AX281</f>
        <v>34272</v>
      </c>
      <c r="AZ281" s="44">
        <f t="shared" si="4235"/>
        <v>34272</v>
      </c>
      <c r="BA281" s="44">
        <f t="shared" si="4235"/>
        <v>34272</v>
      </c>
      <c r="BB281" s="44">
        <f>ROUND(BA281*(1+取值表!$D$14)*取值表!$H$14,0)</f>
        <v>33863</v>
      </c>
      <c r="BC281" s="44">
        <f t="shared" ref="BC281:BE281" si="4236">BB281</f>
        <v>33863</v>
      </c>
      <c r="BD281" s="44">
        <f t="shared" si="4236"/>
        <v>33863</v>
      </c>
      <c r="BE281" s="44">
        <f t="shared" si="4236"/>
        <v>33863</v>
      </c>
      <c r="BF281" s="44">
        <f>ROUND(BE281*(1+取值表!$D$14)*取值表!$H$14,0)</f>
        <v>33459</v>
      </c>
      <c r="BG281" s="44">
        <f t="shared" ref="BG281:BI281" si="4237">BF281</f>
        <v>33459</v>
      </c>
      <c r="BH281" s="44">
        <f t="shared" si="4237"/>
        <v>33459</v>
      </c>
      <c r="BI281" s="44">
        <f t="shared" si="4237"/>
        <v>33459</v>
      </c>
      <c r="BJ281" s="44">
        <f>ROUND(BI281*(1+取值表!$D$14)*取值表!$H$14,0)</f>
        <v>33060</v>
      </c>
      <c r="BK281" s="44">
        <f t="shared" ref="BK281:BM281" si="4238">BJ281</f>
        <v>33060</v>
      </c>
      <c r="BL281" s="44">
        <f t="shared" si="4238"/>
        <v>33060</v>
      </c>
      <c r="BM281" s="44">
        <f t="shared" si="4238"/>
        <v>33060</v>
      </c>
      <c r="BN281" s="44">
        <f>ROUND(BM281*(1+取值表!$D$14)*取值表!$H$14,0)</f>
        <v>32665</v>
      </c>
      <c r="BO281" s="44">
        <f t="shared" ref="BO281:BQ281" si="4239">BN281</f>
        <v>32665</v>
      </c>
      <c r="BP281" s="44">
        <f t="shared" si="4239"/>
        <v>32665</v>
      </c>
      <c r="BQ281" s="44">
        <f t="shared" si="4239"/>
        <v>32665</v>
      </c>
      <c r="BR281" s="44">
        <f>ROUND(BQ281*(1+取值表!$D$14)*取值表!$H$14,0)</f>
        <v>32275</v>
      </c>
      <c r="BS281" s="44">
        <f t="shared" ref="BS281:BU281" si="4240">BR281</f>
        <v>32275</v>
      </c>
      <c r="BT281" s="44">
        <f t="shared" si="4240"/>
        <v>32275</v>
      </c>
      <c r="BU281" s="44">
        <f t="shared" si="4240"/>
        <v>32275</v>
      </c>
      <c r="BV281" s="44">
        <f>ROUND(BU281*(1+取值表!$D$14)*取值表!$H$14,0)</f>
        <v>31890</v>
      </c>
      <c r="BW281" s="44">
        <f t="shared" ref="BW281:BY281" si="4241">BV281</f>
        <v>31890</v>
      </c>
      <c r="BX281" s="44">
        <f t="shared" si="4241"/>
        <v>31890</v>
      </c>
      <c r="BY281" s="44">
        <f t="shared" si="4241"/>
        <v>31890</v>
      </c>
      <c r="BZ281" s="44">
        <f>ROUND(BY281*(1+取值表!$D$14)*取值表!$H$14,0)</f>
        <v>31509</v>
      </c>
      <c r="CA281" s="44">
        <f t="shared" ref="CA281:CC281" si="4242">BZ281</f>
        <v>31509</v>
      </c>
      <c r="CB281" s="44">
        <f t="shared" si="4242"/>
        <v>31509</v>
      </c>
      <c r="CC281" s="44">
        <f t="shared" si="4242"/>
        <v>31509</v>
      </c>
      <c r="CD281" s="44">
        <f>ROUND(CC281*(1+取值表!$D$14)*取值表!$H$14,0)</f>
        <v>31133</v>
      </c>
      <c r="CE281" s="44">
        <f t="shared" ref="CE281:CG281" si="4243">CD281</f>
        <v>31133</v>
      </c>
      <c r="CF281" s="44">
        <f t="shared" si="4243"/>
        <v>31133</v>
      </c>
      <c r="CG281" s="44">
        <f t="shared" si="4243"/>
        <v>31133</v>
      </c>
      <c r="CH281" s="44">
        <f>ROUND(CG281*(1+取值表!$D$14)*取值表!$H$14,0)</f>
        <v>30761</v>
      </c>
      <c r="CI281" s="44">
        <f t="shared" ref="CI281:CK281" si="4244">CH281</f>
        <v>30761</v>
      </c>
      <c r="CJ281" s="44">
        <f t="shared" si="4244"/>
        <v>30761</v>
      </c>
      <c r="CK281" s="44">
        <f t="shared" si="4244"/>
        <v>30761</v>
      </c>
      <c r="CL281" s="44">
        <f>ROUND(CK281*(1+取值表!$D$14)*取值表!$H$14,0)</f>
        <v>30394</v>
      </c>
      <c r="CM281" s="44">
        <f t="shared" ref="CM281:CO281" si="4245">CL281</f>
        <v>30394</v>
      </c>
      <c r="CN281" s="44">
        <f t="shared" si="4245"/>
        <v>30394</v>
      </c>
      <c r="CO281" s="44">
        <f t="shared" si="4245"/>
        <v>30394</v>
      </c>
      <c r="CP281" s="44">
        <f>ROUND(CO281*(1+取值表!$D$14)*取值表!$H$14,0)</f>
        <v>30031</v>
      </c>
      <c r="CQ281" s="44">
        <f t="shared" ref="CQ281" si="4246">CP281</f>
        <v>30031</v>
      </c>
      <c r="CR281" s="44">
        <f t="shared" ref="CR281" si="4247">CQ281</f>
        <v>30031</v>
      </c>
      <c r="CS281" s="44">
        <f t="shared" ref="CS281" si="4248">CR281</f>
        <v>30031</v>
      </c>
      <c r="CT281" s="44">
        <f>ROUND(CS281*(1+取值表!$D$14)*取值表!$H$14,0)</f>
        <v>29673</v>
      </c>
      <c r="CU281" s="44">
        <f t="shared" ref="CU281" si="4249">CT281</f>
        <v>29673</v>
      </c>
      <c r="CV281" s="44">
        <f t="shared" ref="CV281" si="4250">CU281</f>
        <v>29673</v>
      </c>
      <c r="CW281" s="44">
        <f t="shared" ref="CW281" si="4251">CV281</f>
        <v>29673</v>
      </c>
      <c r="CX281" s="44">
        <f>ROUND(CW281*(1+取值表!$D$14)*取值表!$H$14,0)</f>
        <v>29319</v>
      </c>
      <c r="CY281" s="44">
        <f t="shared" ref="CY281" si="4252">CX281</f>
        <v>29319</v>
      </c>
      <c r="CZ281" s="44">
        <f t="shared" ref="CZ281" si="4253">CY281</f>
        <v>29319</v>
      </c>
      <c r="DA281" s="44">
        <f t="shared" ref="DA281" si="4254">CZ281</f>
        <v>29319</v>
      </c>
      <c r="DB281" s="44">
        <f>ROUND(DA281*(1+取值表!$D$14)*取值表!$H$14,0)</f>
        <v>28969</v>
      </c>
      <c r="DC281" s="44">
        <f t="shared" ref="DC281" si="4255">DB281</f>
        <v>28969</v>
      </c>
      <c r="DD281" s="44">
        <f t="shared" ref="DD281" si="4256">DC281</f>
        <v>28969</v>
      </c>
      <c r="DE281" s="44">
        <f t="shared" ref="DE281" si="4257">DD281</f>
        <v>28969</v>
      </c>
      <c r="DF281" s="45">
        <f t="shared" si="3929"/>
        <v>3358424</v>
      </c>
    </row>
    <row r="282" spans="1:110" s="40" customFormat="1" ht="12">
      <c r="A282" s="517"/>
      <c r="B282" s="518"/>
      <c r="C282" s="450"/>
      <c r="D282" s="451"/>
      <c r="E282" s="452"/>
      <c r="F282" s="446"/>
      <c r="G282" s="446"/>
      <c r="H282" s="447"/>
      <c r="I282" s="41"/>
      <c r="J282" s="42"/>
      <c r="K282" s="44"/>
      <c r="L282" s="44"/>
      <c r="M282" s="44"/>
      <c r="N282" s="44"/>
      <c r="O282" s="44"/>
      <c r="P282" s="44"/>
      <c r="Q282" s="44"/>
      <c r="R282" s="44"/>
      <c r="S282" s="44"/>
      <c r="T282" s="44"/>
      <c r="U282" s="44"/>
      <c r="V282" s="44"/>
      <c r="W282" s="44"/>
      <c r="X282" s="44"/>
      <c r="Y282" s="44"/>
      <c r="Z282" s="44"/>
      <c r="AA282" s="44"/>
      <c r="AB282" s="44"/>
      <c r="AC282" s="44"/>
      <c r="AD282" s="44"/>
      <c r="AE282" s="44"/>
      <c r="AF282" s="44"/>
      <c r="AG282" s="44"/>
      <c r="AH282" s="44"/>
      <c r="AI282" s="44"/>
      <c r="AJ282" s="44"/>
      <c r="AK282" s="44"/>
      <c r="AL282" s="44"/>
      <c r="AM282" s="44"/>
      <c r="AN282" s="44"/>
      <c r="AO282" s="44"/>
      <c r="AP282" s="44"/>
      <c r="AQ282" s="44"/>
      <c r="AR282" s="44"/>
      <c r="AS282" s="44"/>
      <c r="AT282" s="44"/>
      <c r="AU282" s="44"/>
      <c r="AV282" s="44"/>
      <c r="AW282" s="44"/>
      <c r="AX282" s="44"/>
      <c r="AY282" s="44"/>
      <c r="AZ282" s="44"/>
      <c r="BA282" s="44"/>
      <c r="BB282" s="44"/>
      <c r="BC282" s="44"/>
      <c r="BD282" s="44"/>
      <c r="BE282" s="44"/>
      <c r="BF282" s="44"/>
      <c r="BG282" s="44"/>
      <c r="BH282" s="44"/>
      <c r="BI282" s="44"/>
      <c r="BJ282" s="44"/>
      <c r="BK282" s="44"/>
      <c r="BL282" s="44"/>
      <c r="BM282" s="44"/>
      <c r="BN282" s="44"/>
      <c r="BO282" s="44"/>
      <c r="BP282" s="44"/>
      <c r="BQ282" s="44"/>
      <c r="BR282" s="44"/>
      <c r="BS282" s="44"/>
      <c r="BT282" s="44"/>
      <c r="BU282" s="44"/>
      <c r="BV282" s="44"/>
      <c r="BW282" s="44"/>
      <c r="BX282" s="44"/>
      <c r="BY282" s="44"/>
      <c r="BZ282" s="44"/>
      <c r="CA282" s="44"/>
      <c r="CB282" s="44"/>
      <c r="CC282" s="44"/>
      <c r="CD282" s="44"/>
      <c r="CE282" s="44"/>
      <c r="CF282" s="44"/>
      <c r="CG282" s="44"/>
      <c r="CH282" s="44"/>
      <c r="CI282" s="44"/>
      <c r="CJ282" s="44"/>
      <c r="CK282" s="44"/>
      <c r="CL282" s="44"/>
      <c r="CM282" s="44"/>
      <c r="CN282" s="44"/>
      <c r="CO282" s="44"/>
      <c r="CP282" s="44"/>
      <c r="CQ282" s="44"/>
      <c r="CR282" s="44"/>
      <c r="CS282" s="44"/>
      <c r="CT282" s="44"/>
      <c r="CU282" s="44"/>
      <c r="CV282" s="44"/>
      <c r="CW282" s="44"/>
      <c r="CX282" s="44"/>
      <c r="CY282" s="44"/>
      <c r="CZ282" s="44"/>
      <c r="DA282" s="44"/>
      <c r="DB282" s="44"/>
      <c r="DC282" s="44"/>
      <c r="DD282" s="44"/>
      <c r="DE282" s="44"/>
      <c r="DF282" s="45">
        <f t="shared" si="3929"/>
        <v>0</v>
      </c>
    </row>
    <row r="283" spans="1:110" s="40" customFormat="1" ht="12">
      <c r="A283" s="516">
        <v>143</v>
      </c>
      <c r="B283" s="518" t="s">
        <v>273</v>
      </c>
      <c r="C283" s="450" t="s">
        <v>751</v>
      </c>
      <c r="D283" s="451" t="s">
        <v>517</v>
      </c>
      <c r="E283" s="452" t="s">
        <v>509</v>
      </c>
      <c r="F283" s="446">
        <v>32.31</v>
      </c>
      <c r="G283" s="446">
        <v>19</v>
      </c>
      <c r="H283" s="447">
        <f>F283*G283*365</f>
        <v>224069.85000000003</v>
      </c>
      <c r="I283" s="41">
        <v>56017.46</v>
      </c>
      <c r="J283" s="43">
        <f>ROUND(G283*F283*365/4,0)</f>
        <v>56017</v>
      </c>
      <c r="K283" s="44">
        <f>J283</f>
        <v>56017</v>
      </c>
      <c r="L283" s="44">
        <f>K283</f>
        <v>56017</v>
      </c>
      <c r="M283" s="44">
        <f>L283</f>
        <v>56017</v>
      </c>
      <c r="N283" s="44">
        <f>ROUND(M283*(1+取值表!$D$14)*取值表!$H$14,0)</f>
        <v>55348</v>
      </c>
      <c r="O283" s="44">
        <f>N283</f>
        <v>55348</v>
      </c>
      <c r="P283" s="44">
        <f>O283</f>
        <v>55348</v>
      </c>
      <c r="Q283" s="44">
        <f>P283</f>
        <v>55348</v>
      </c>
      <c r="R283" s="44">
        <f>ROUND(Q283*(1+取值表!$D$14)*取值表!$H$14,0)</f>
        <v>54687</v>
      </c>
      <c r="S283" s="44">
        <f>R283</f>
        <v>54687</v>
      </c>
      <c r="T283" s="44">
        <f>S283</f>
        <v>54687</v>
      </c>
      <c r="U283" s="44">
        <f>T283</f>
        <v>54687</v>
      </c>
      <c r="V283" s="44">
        <f>ROUND(U283*(1+取值表!$D$14)*取值表!$H$14,0)</f>
        <v>54034</v>
      </c>
      <c r="W283" s="44">
        <f t="shared" ref="W283:Y283" si="4258">V283</f>
        <v>54034</v>
      </c>
      <c r="X283" s="44">
        <f t="shared" si="4258"/>
        <v>54034</v>
      </c>
      <c r="Y283" s="44">
        <f t="shared" si="4258"/>
        <v>54034</v>
      </c>
      <c r="Z283" s="44">
        <f>ROUND(Y283*(1+取值表!$D$14)*取值表!$H$14,0)</f>
        <v>53389</v>
      </c>
      <c r="AA283" s="44">
        <f t="shared" ref="AA283:AC283" si="4259">Z283</f>
        <v>53389</v>
      </c>
      <c r="AB283" s="44">
        <f t="shared" si="4259"/>
        <v>53389</v>
      </c>
      <c r="AC283" s="44">
        <f t="shared" si="4259"/>
        <v>53389</v>
      </c>
      <c r="AD283" s="44">
        <f>ROUND(AC283*(1+取值表!$D$14)*取值表!$H$14,0)</f>
        <v>52752</v>
      </c>
      <c r="AE283" s="44">
        <f t="shared" ref="AE283:AG283" si="4260">AD283</f>
        <v>52752</v>
      </c>
      <c r="AF283" s="44">
        <f t="shared" si="4260"/>
        <v>52752</v>
      </c>
      <c r="AG283" s="44">
        <f t="shared" si="4260"/>
        <v>52752</v>
      </c>
      <c r="AH283" s="44">
        <f>ROUND(AG283*(1+取值表!$D$14)*取值表!$H$14,0)</f>
        <v>52122</v>
      </c>
      <c r="AI283" s="44">
        <f t="shared" ref="AI283:AK283" si="4261">AH283</f>
        <v>52122</v>
      </c>
      <c r="AJ283" s="44">
        <f t="shared" si="4261"/>
        <v>52122</v>
      </c>
      <c r="AK283" s="44">
        <f t="shared" si="4261"/>
        <v>52122</v>
      </c>
      <c r="AL283" s="44">
        <f>ROUND(AK283*(1+取值表!$D$14)*取值表!$H$14,0)</f>
        <v>51500</v>
      </c>
      <c r="AM283" s="44">
        <f t="shared" ref="AM283:AO283" si="4262">AL283</f>
        <v>51500</v>
      </c>
      <c r="AN283" s="44">
        <f t="shared" si="4262"/>
        <v>51500</v>
      </c>
      <c r="AO283" s="44">
        <f t="shared" si="4262"/>
        <v>51500</v>
      </c>
      <c r="AP283" s="44">
        <f>ROUND(AO283*(1+取值表!$D$14)*取值表!$H$14,0)</f>
        <v>50885</v>
      </c>
      <c r="AQ283" s="44">
        <f t="shared" ref="AQ283:AS283" si="4263">AP283</f>
        <v>50885</v>
      </c>
      <c r="AR283" s="44">
        <f t="shared" si="4263"/>
        <v>50885</v>
      </c>
      <c r="AS283" s="44">
        <f t="shared" si="4263"/>
        <v>50885</v>
      </c>
      <c r="AT283" s="44">
        <f>ROUND(AS283*(1+取值表!$D$14)*取值表!$H$14,0)</f>
        <v>50278</v>
      </c>
      <c r="AU283" s="44">
        <f t="shared" ref="AU283:AW283" si="4264">AT283</f>
        <v>50278</v>
      </c>
      <c r="AV283" s="44">
        <f t="shared" si="4264"/>
        <v>50278</v>
      </c>
      <c r="AW283" s="44">
        <f t="shared" si="4264"/>
        <v>50278</v>
      </c>
      <c r="AX283" s="44">
        <f>ROUND(AW283*(1+取值表!$D$14)*取值表!$H$14,0)</f>
        <v>49678</v>
      </c>
      <c r="AY283" s="44">
        <f t="shared" ref="AY283:BA283" si="4265">AX283</f>
        <v>49678</v>
      </c>
      <c r="AZ283" s="44">
        <f t="shared" si="4265"/>
        <v>49678</v>
      </c>
      <c r="BA283" s="44">
        <f t="shared" si="4265"/>
        <v>49678</v>
      </c>
      <c r="BB283" s="44">
        <f>ROUND(BA283*(1+取值表!$D$14)*取值表!$H$14,0)</f>
        <v>49085</v>
      </c>
      <c r="BC283" s="44">
        <f t="shared" ref="BC283:BE283" si="4266">BB283</f>
        <v>49085</v>
      </c>
      <c r="BD283" s="44">
        <f t="shared" si="4266"/>
        <v>49085</v>
      </c>
      <c r="BE283" s="44">
        <f t="shared" si="4266"/>
        <v>49085</v>
      </c>
      <c r="BF283" s="44">
        <f>ROUND(BE283*(1+取值表!$D$14)*取值表!$H$14,0)</f>
        <v>48499</v>
      </c>
      <c r="BG283" s="44">
        <f t="shared" ref="BG283:BI283" si="4267">BF283</f>
        <v>48499</v>
      </c>
      <c r="BH283" s="44">
        <f t="shared" si="4267"/>
        <v>48499</v>
      </c>
      <c r="BI283" s="44">
        <f t="shared" si="4267"/>
        <v>48499</v>
      </c>
      <c r="BJ283" s="44">
        <f>ROUND(BI283*(1+取值表!$D$14)*取值表!$H$14,0)</f>
        <v>47920</v>
      </c>
      <c r="BK283" s="44">
        <f t="shared" ref="BK283:BM283" si="4268">BJ283</f>
        <v>47920</v>
      </c>
      <c r="BL283" s="44">
        <f t="shared" si="4268"/>
        <v>47920</v>
      </c>
      <c r="BM283" s="44">
        <f t="shared" si="4268"/>
        <v>47920</v>
      </c>
      <c r="BN283" s="44">
        <f>ROUND(BM283*(1+取值表!$D$14)*取值表!$H$14,0)</f>
        <v>47348</v>
      </c>
      <c r="BO283" s="44">
        <f t="shared" ref="BO283:BQ283" si="4269">BN283</f>
        <v>47348</v>
      </c>
      <c r="BP283" s="44">
        <f t="shared" si="4269"/>
        <v>47348</v>
      </c>
      <c r="BQ283" s="44">
        <f t="shared" si="4269"/>
        <v>47348</v>
      </c>
      <c r="BR283" s="44">
        <f>ROUND(BQ283*(1+取值表!$D$14)*取值表!$H$14,0)</f>
        <v>46783</v>
      </c>
      <c r="BS283" s="44">
        <f t="shared" ref="BS283:BU283" si="4270">BR283</f>
        <v>46783</v>
      </c>
      <c r="BT283" s="44">
        <f t="shared" si="4270"/>
        <v>46783</v>
      </c>
      <c r="BU283" s="44">
        <f t="shared" si="4270"/>
        <v>46783</v>
      </c>
      <c r="BV283" s="44">
        <f>ROUND(BU283*(1+取值表!$D$14)*取值表!$H$14,0)</f>
        <v>46225</v>
      </c>
      <c r="BW283" s="44">
        <f t="shared" ref="BW283:BY283" si="4271">BV283</f>
        <v>46225</v>
      </c>
      <c r="BX283" s="44">
        <f t="shared" si="4271"/>
        <v>46225</v>
      </c>
      <c r="BY283" s="44">
        <f t="shared" si="4271"/>
        <v>46225</v>
      </c>
      <c r="BZ283" s="44">
        <f>ROUND(BY283*(1+取值表!$D$14)*取值表!$H$14,0)</f>
        <v>45673</v>
      </c>
      <c r="CA283" s="44">
        <f t="shared" ref="CA283:CC283" si="4272">BZ283</f>
        <v>45673</v>
      </c>
      <c r="CB283" s="44">
        <f t="shared" si="4272"/>
        <v>45673</v>
      </c>
      <c r="CC283" s="44">
        <f t="shared" si="4272"/>
        <v>45673</v>
      </c>
      <c r="CD283" s="44">
        <f>ROUND(CC283*(1+取值表!$D$14)*取值表!$H$14,0)</f>
        <v>45128</v>
      </c>
      <c r="CE283" s="44">
        <f t="shared" ref="CE283:CG283" si="4273">CD283</f>
        <v>45128</v>
      </c>
      <c r="CF283" s="44">
        <f t="shared" si="4273"/>
        <v>45128</v>
      </c>
      <c r="CG283" s="44">
        <f t="shared" si="4273"/>
        <v>45128</v>
      </c>
      <c r="CH283" s="44">
        <f>ROUND(CG283*(1+取值表!$D$14)*取值表!$H$14,0)</f>
        <v>44589</v>
      </c>
      <c r="CI283" s="44">
        <f t="shared" ref="CI283:CK283" si="4274">CH283</f>
        <v>44589</v>
      </c>
      <c r="CJ283" s="44">
        <f t="shared" si="4274"/>
        <v>44589</v>
      </c>
      <c r="CK283" s="44">
        <f t="shared" si="4274"/>
        <v>44589</v>
      </c>
      <c r="CL283" s="44">
        <f>ROUND(CK283*(1+取值表!$D$14)*取值表!$H$14,0)</f>
        <v>44057</v>
      </c>
      <c r="CM283" s="44">
        <f t="shared" ref="CM283:CO283" si="4275">CL283</f>
        <v>44057</v>
      </c>
      <c r="CN283" s="44">
        <f t="shared" si="4275"/>
        <v>44057</v>
      </c>
      <c r="CO283" s="44">
        <f t="shared" si="4275"/>
        <v>44057</v>
      </c>
      <c r="CP283" s="44">
        <f>ROUND(CO283*(1+取值表!$D$14)*取值表!$H$14,0)</f>
        <v>43531</v>
      </c>
      <c r="CQ283" s="44">
        <f t="shared" ref="CQ283" si="4276">CP283</f>
        <v>43531</v>
      </c>
      <c r="CR283" s="44">
        <f t="shared" ref="CR283" si="4277">CQ283</f>
        <v>43531</v>
      </c>
      <c r="CS283" s="44">
        <f t="shared" ref="CS283" si="4278">CR283</f>
        <v>43531</v>
      </c>
      <c r="CT283" s="44">
        <f>ROUND(CS283*(1+取值表!$D$14)*取值表!$H$14,0)</f>
        <v>43011</v>
      </c>
      <c r="CU283" s="44">
        <f t="shared" ref="CU283" si="4279">CT283</f>
        <v>43011</v>
      </c>
      <c r="CV283" s="44">
        <f t="shared" ref="CV283" si="4280">CU283</f>
        <v>43011</v>
      </c>
      <c r="CW283" s="44">
        <f t="shared" ref="CW283" si="4281">CV283</f>
        <v>43011</v>
      </c>
      <c r="CX283" s="44">
        <f>ROUND(CW283*(1+取值表!$D$14)*取值表!$H$14,0)</f>
        <v>42498</v>
      </c>
      <c r="CY283" s="44">
        <f t="shared" ref="CY283" si="4282">CX283</f>
        <v>42498</v>
      </c>
      <c r="CZ283" s="44">
        <f t="shared" ref="CZ283" si="4283">CY283</f>
        <v>42498</v>
      </c>
      <c r="DA283" s="44">
        <f t="shared" ref="DA283" si="4284">CZ283</f>
        <v>42498</v>
      </c>
      <c r="DB283" s="44">
        <f>ROUND(DA283*(1+取值表!$D$14)*取值表!$H$14,0)</f>
        <v>41991</v>
      </c>
      <c r="DC283" s="44">
        <f t="shared" ref="DC283" si="4285">DB283</f>
        <v>41991</v>
      </c>
      <c r="DD283" s="44">
        <f t="shared" ref="DD283" si="4286">DC283</f>
        <v>41991</v>
      </c>
      <c r="DE283" s="44">
        <f t="shared" ref="DE283" si="4287">DD283</f>
        <v>41991</v>
      </c>
      <c r="DF283" s="45">
        <f t="shared" si="3929"/>
        <v>4868112</v>
      </c>
    </row>
    <row r="284" spans="1:110" s="40" customFormat="1" ht="12">
      <c r="A284" s="517"/>
      <c r="B284" s="518"/>
      <c r="C284" s="450"/>
      <c r="D284" s="451"/>
      <c r="E284" s="452"/>
      <c r="F284" s="446"/>
      <c r="G284" s="446"/>
      <c r="H284" s="447"/>
      <c r="I284" s="41"/>
      <c r="J284" s="42"/>
      <c r="K284" s="44"/>
      <c r="L284" s="44"/>
      <c r="M284" s="44"/>
      <c r="N284" s="44"/>
      <c r="O284" s="44"/>
      <c r="P284" s="44"/>
      <c r="Q284" s="44"/>
      <c r="R284" s="44"/>
      <c r="S284" s="44"/>
      <c r="T284" s="44"/>
      <c r="U284" s="44"/>
      <c r="V284" s="44"/>
      <c r="W284" s="44"/>
      <c r="X284" s="44"/>
      <c r="Y284" s="44"/>
      <c r="Z284" s="44"/>
      <c r="AA284" s="44"/>
      <c r="AB284" s="44"/>
      <c r="AC284" s="44"/>
      <c r="AD284" s="44"/>
      <c r="AE284" s="44"/>
      <c r="AF284" s="44"/>
      <c r="AG284" s="44"/>
      <c r="AH284" s="44"/>
      <c r="AI284" s="44"/>
      <c r="AJ284" s="44"/>
      <c r="AK284" s="44"/>
      <c r="AL284" s="44"/>
      <c r="AM284" s="44"/>
      <c r="AN284" s="44"/>
      <c r="AO284" s="44"/>
      <c r="AP284" s="44"/>
      <c r="AQ284" s="44"/>
      <c r="AR284" s="44"/>
      <c r="AS284" s="44"/>
      <c r="AT284" s="44"/>
      <c r="AU284" s="44"/>
      <c r="AV284" s="44"/>
      <c r="AW284" s="44"/>
      <c r="AX284" s="44"/>
      <c r="AY284" s="44"/>
      <c r="AZ284" s="44"/>
      <c r="BA284" s="44"/>
      <c r="BB284" s="44"/>
      <c r="BC284" s="44"/>
      <c r="BD284" s="44"/>
      <c r="BE284" s="44"/>
      <c r="BF284" s="44"/>
      <c r="BG284" s="44"/>
      <c r="BH284" s="44"/>
      <c r="BI284" s="44"/>
      <c r="BJ284" s="44"/>
      <c r="BK284" s="44"/>
      <c r="BL284" s="44"/>
      <c r="BM284" s="44"/>
      <c r="BN284" s="44"/>
      <c r="BO284" s="44"/>
      <c r="BP284" s="44"/>
      <c r="BQ284" s="44"/>
      <c r="BR284" s="44"/>
      <c r="BS284" s="44"/>
      <c r="BT284" s="44"/>
      <c r="BU284" s="44"/>
      <c r="BV284" s="44"/>
      <c r="BW284" s="44"/>
      <c r="BX284" s="44"/>
      <c r="BY284" s="44"/>
      <c r="BZ284" s="44"/>
      <c r="CA284" s="44"/>
      <c r="CB284" s="44"/>
      <c r="CC284" s="44"/>
      <c r="CD284" s="44"/>
      <c r="CE284" s="44"/>
      <c r="CF284" s="44"/>
      <c r="CG284" s="44"/>
      <c r="CH284" s="44"/>
      <c r="CI284" s="44"/>
      <c r="CJ284" s="44"/>
      <c r="CK284" s="44"/>
      <c r="CL284" s="44"/>
      <c r="CM284" s="44"/>
      <c r="CN284" s="44"/>
      <c r="CO284" s="44"/>
      <c r="CP284" s="44"/>
      <c r="CQ284" s="44"/>
      <c r="CR284" s="44"/>
      <c r="CS284" s="44"/>
      <c r="CT284" s="44"/>
      <c r="CU284" s="44"/>
      <c r="CV284" s="44"/>
      <c r="CW284" s="44"/>
      <c r="CX284" s="44"/>
      <c r="CY284" s="44"/>
      <c r="CZ284" s="44"/>
      <c r="DA284" s="44"/>
      <c r="DB284" s="44"/>
      <c r="DC284" s="44"/>
      <c r="DD284" s="44"/>
      <c r="DE284" s="44"/>
      <c r="DF284" s="45">
        <f t="shared" si="3929"/>
        <v>0</v>
      </c>
    </row>
    <row r="285" spans="1:110" s="40" customFormat="1" ht="12" customHeight="1">
      <c r="A285" s="516">
        <v>144</v>
      </c>
      <c r="B285" s="518" t="s">
        <v>275</v>
      </c>
      <c r="C285" s="450" t="s">
        <v>276</v>
      </c>
      <c r="D285" s="451" t="s">
        <v>518</v>
      </c>
      <c r="E285" s="452" t="s">
        <v>509</v>
      </c>
      <c r="F285" s="446">
        <v>61.83</v>
      </c>
      <c r="G285" s="446">
        <v>17.5</v>
      </c>
      <c r="H285" s="447">
        <f>F285*G285*365</f>
        <v>394939.12499999994</v>
      </c>
      <c r="I285" s="41">
        <v>95913.79</v>
      </c>
      <c r="J285" s="43">
        <f>ROUND(G285*F285*365/4,0)</f>
        <v>98735</v>
      </c>
      <c r="K285" s="44">
        <f>J285</f>
        <v>98735</v>
      </c>
      <c r="L285" s="44">
        <f>K285</f>
        <v>98735</v>
      </c>
      <c r="M285" s="44">
        <f>L285</f>
        <v>98735</v>
      </c>
      <c r="N285" s="44">
        <f>ROUND(M285*(1+取值表!$D$14)*取值表!$H$14,0)</f>
        <v>97557</v>
      </c>
      <c r="O285" s="44">
        <f>N285</f>
        <v>97557</v>
      </c>
      <c r="P285" s="44">
        <f>O285</f>
        <v>97557</v>
      </c>
      <c r="Q285" s="44">
        <f>P285</f>
        <v>97557</v>
      </c>
      <c r="R285" s="44">
        <f>ROUND(Q285*(1+取值表!$D$14)*取值表!$H$14,0)</f>
        <v>96393</v>
      </c>
      <c r="S285" s="44">
        <f>R285</f>
        <v>96393</v>
      </c>
      <c r="T285" s="44">
        <f>S285</f>
        <v>96393</v>
      </c>
      <c r="U285" s="44">
        <f>T285</f>
        <v>96393</v>
      </c>
      <c r="V285" s="44">
        <f>ROUND(U285*(1+取值表!$D$14)*取值表!$H$14,0)</f>
        <v>95243</v>
      </c>
      <c r="W285" s="44">
        <f t="shared" ref="W285:Y285" si="4288">V285</f>
        <v>95243</v>
      </c>
      <c r="X285" s="44">
        <f t="shared" si="4288"/>
        <v>95243</v>
      </c>
      <c r="Y285" s="44">
        <f t="shared" si="4288"/>
        <v>95243</v>
      </c>
      <c r="Z285" s="44">
        <f>ROUND(Y285*(1+取值表!$D$14)*取值表!$H$14,0)</f>
        <v>94106</v>
      </c>
      <c r="AA285" s="44">
        <f t="shared" ref="AA285:AC285" si="4289">Z285</f>
        <v>94106</v>
      </c>
      <c r="AB285" s="44">
        <f t="shared" si="4289"/>
        <v>94106</v>
      </c>
      <c r="AC285" s="44">
        <f t="shared" si="4289"/>
        <v>94106</v>
      </c>
      <c r="AD285" s="44">
        <f>ROUND(AC285*(1+取值表!$D$14)*取值表!$H$14,0)</f>
        <v>92983</v>
      </c>
      <c r="AE285" s="44">
        <f t="shared" ref="AE285:AG285" si="4290">AD285</f>
        <v>92983</v>
      </c>
      <c r="AF285" s="44">
        <f t="shared" si="4290"/>
        <v>92983</v>
      </c>
      <c r="AG285" s="44">
        <f t="shared" si="4290"/>
        <v>92983</v>
      </c>
      <c r="AH285" s="44">
        <f>ROUND(AG285*(1+取值表!$D$14)*取值表!$H$14,0)</f>
        <v>91873</v>
      </c>
      <c r="AI285" s="44">
        <f t="shared" ref="AI285:AK285" si="4291">AH285</f>
        <v>91873</v>
      </c>
      <c r="AJ285" s="44">
        <f t="shared" si="4291"/>
        <v>91873</v>
      </c>
      <c r="AK285" s="44">
        <f t="shared" si="4291"/>
        <v>91873</v>
      </c>
      <c r="AL285" s="44">
        <f>ROUND(AK285*(1+取值表!$D$14)*取值表!$H$14,0)</f>
        <v>90777</v>
      </c>
      <c r="AM285" s="44">
        <f t="shared" ref="AM285:AO285" si="4292">AL285</f>
        <v>90777</v>
      </c>
      <c r="AN285" s="44">
        <f t="shared" si="4292"/>
        <v>90777</v>
      </c>
      <c r="AO285" s="44">
        <f t="shared" si="4292"/>
        <v>90777</v>
      </c>
      <c r="AP285" s="44">
        <f>ROUND(AO285*(1+取值表!$D$14)*取值表!$H$14,0)</f>
        <v>89694</v>
      </c>
      <c r="AQ285" s="44">
        <f t="shared" ref="AQ285:AS285" si="4293">AP285</f>
        <v>89694</v>
      </c>
      <c r="AR285" s="44">
        <f t="shared" si="4293"/>
        <v>89694</v>
      </c>
      <c r="AS285" s="44">
        <f t="shared" si="4293"/>
        <v>89694</v>
      </c>
      <c r="AT285" s="44">
        <f>ROUND(AS285*(1+取值表!$D$14)*取值表!$H$14,0)</f>
        <v>88624</v>
      </c>
      <c r="AU285" s="44">
        <f t="shared" ref="AU285:AW285" si="4294">AT285</f>
        <v>88624</v>
      </c>
      <c r="AV285" s="44">
        <f t="shared" si="4294"/>
        <v>88624</v>
      </c>
      <c r="AW285" s="44">
        <f t="shared" si="4294"/>
        <v>88624</v>
      </c>
      <c r="AX285" s="44">
        <f>ROUND(AW285*(1+取值表!$D$14)*取值表!$H$14,0)</f>
        <v>87566</v>
      </c>
      <c r="AY285" s="44">
        <f t="shared" ref="AY285:BA285" si="4295">AX285</f>
        <v>87566</v>
      </c>
      <c r="AZ285" s="44">
        <f t="shared" si="4295"/>
        <v>87566</v>
      </c>
      <c r="BA285" s="44">
        <f t="shared" si="4295"/>
        <v>87566</v>
      </c>
      <c r="BB285" s="44">
        <f>ROUND(BA285*(1+取值表!$D$14)*取值表!$H$14,0)</f>
        <v>86521</v>
      </c>
      <c r="BC285" s="44">
        <f t="shared" ref="BC285:BE285" si="4296">BB285</f>
        <v>86521</v>
      </c>
      <c r="BD285" s="44">
        <f t="shared" si="4296"/>
        <v>86521</v>
      </c>
      <c r="BE285" s="44">
        <f t="shared" si="4296"/>
        <v>86521</v>
      </c>
      <c r="BF285" s="44">
        <f>ROUND(BE285*(1+取值表!$D$14)*取值表!$H$14,0)</f>
        <v>85488</v>
      </c>
      <c r="BG285" s="44">
        <f t="shared" ref="BG285:BI285" si="4297">BF285</f>
        <v>85488</v>
      </c>
      <c r="BH285" s="44">
        <f t="shared" si="4297"/>
        <v>85488</v>
      </c>
      <c r="BI285" s="44">
        <f t="shared" si="4297"/>
        <v>85488</v>
      </c>
      <c r="BJ285" s="44">
        <f>ROUND(BI285*(1+取值表!$D$14)*取值表!$H$14,0)</f>
        <v>84468</v>
      </c>
      <c r="BK285" s="44">
        <f t="shared" ref="BK285:BM285" si="4298">BJ285</f>
        <v>84468</v>
      </c>
      <c r="BL285" s="44">
        <f t="shared" si="4298"/>
        <v>84468</v>
      </c>
      <c r="BM285" s="44">
        <f t="shared" si="4298"/>
        <v>84468</v>
      </c>
      <c r="BN285" s="44">
        <f>ROUND(BM285*(1+取值表!$D$14)*取值表!$H$14,0)</f>
        <v>83460</v>
      </c>
      <c r="BO285" s="44">
        <f t="shared" ref="BO285:BQ285" si="4299">BN285</f>
        <v>83460</v>
      </c>
      <c r="BP285" s="44">
        <f t="shared" si="4299"/>
        <v>83460</v>
      </c>
      <c r="BQ285" s="44">
        <f t="shared" si="4299"/>
        <v>83460</v>
      </c>
      <c r="BR285" s="44">
        <f>ROUND(BQ285*(1+取值表!$D$14)*取值表!$H$14,0)</f>
        <v>82464</v>
      </c>
      <c r="BS285" s="44">
        <f t="shared" ref="BS285:BU285" si="4300">BR285</f>
        <v>82464</v>
      </c>
      <c r="BT285" s="44">
        <f t="shared" si="4300"/>
        <v>82464</v>
      </c>
      <c r="BU285" s="44">
        <f t="shared" si="4300"/>
        <v>82464</v>
      </c>
      <c r="BV285" s="44">
        <f>ROUND(BU285*(1+取值表!$D$14)*取值表!$H$14,0)</f>
        <v>81480</v>
      </c>
      <c r="BW285" s="44">
        <f t="shared" ref="BW285:BY285" si="4301">BV285</f>
        <v>81480</v>
      </c>
      <c r="BX285" s="44">
        <f t="shared" si="4301"/>
        <v>81480</v>
      </c>
      <c r="BY285" s="44">
        <f t="shared" si="4301"/>
        <v>81480</v>
      </c>
      <c r="BZ285" s="44">
        <f>ROUND(BY285*(1+取值表!$D$14)*取值表!$H$14,0)</f>
        <v>80508</v>
      </c>
      <c r="CA285" s="44">
        <f t="shared" ref="CA285:CC285" si="4302">BZ285</f>
        <v>80508</v>
      </c>
      <c r="CB285" s="44">
        <f t="shared" si="4302"/>
        <v>80508</v>
      </c>
      <c r="CC285" s="44">
        <f t="shared" si="4302"/>
        <v>80508</v>
      </c>
      <c r="CD285" s="44">
        <f>ROUND(CC285*(1+取值表!$D$14)*取值表!$H$14,0)</f>
        <v>79547</v>
      </c>
      <c r="CE285" s="44">
        <f t="shared" ref="CE285:CG285" si="4303">CD285</f>
        <v>79547</v>
      </c>
      <c r="CF285" s="44">
        <f t="shared" si="4303"/>
        <v>79547</v>
      </c>
      <c r="CG285" s="44">
        <f t="shared" si="4303"/>
        <v>79547</v>
      </c>
      <c r="CH285" s="44">
        <f>ROUND(CG285*(1+取值表!$D$14)*取值表!$H$14,0)</f>
        <v>78598</v>
      </c>
      <c r="CI285" s="44">
        <f t="shared" ref="CI285:CK285" si="4304">CH285</f>
        <v>78598</v>
      </c>
      <c r="CJ285" s="44">
        <f t="shared" si="4304"/>
        <v>78598</v>
      </c>
      <c r="CK285" s="44">
        <f t="shared" si="4304"/>
        <v>78598</v>
      </c>
      <c r="CL285" s="44">
        <f>ROUND(CK285*(1+取值表!$D$14)*取值表!$H$14,0)</f>
        <v>77660</v>
      </c>
      <c r="CM285" s="44">
        <f t="shared" ref="CM285:CO285" si="4305">CL285</f>
        <v>77660</v>
      </c>
      <c r="CN285" s="44">
        <f t="shared" si="4305"/>
        <v>77660</v>
      </c>
      <c r="CO285" s="44">
        <f t="shared" si="4305"/>
        <v>77660</v>
      </c>
      <c r="CP285" s="44">
        <f>ROUND(CO285*(1+取值表!$D$14)*取值表!$H$14,0)</f>
        <v>76733</v>
      </c>
      <c r="CQ285" s="44">
        <f t="shared" ref="CQ285" si="4306">CP285</f>
        <v>76733</v>
      </c>
      <c r="CR285" s="44">
        <f t="shared" ref="CR285" si="4307">CQ285</f>
        <v>76733</v>
      </c>
      <c r="CS285" s="44">
        <f t="shared" ref="CS285" si="4308">CR285</f>
        <v>76733</v>
      </c>
      <c r="CT285" s="44">
        <f>ROUND(CS285*(1+取值表!$D$14)*取值表!$H$14,0)</f>
        <v>75817</v>
      </c>
      <c r="CU285" s="44">
        <f t="shared" ref="CU285" si="4309">CT285</f>
        <v>75817</v>
      </c>
      <c r="CV285" s="44">
        <f t="shared" ref="CV285" si="4310">CU285</f>
        <v>75817</v>
      </c>
      <c r="CW285" s="44">
        <f t="shared" ref="CW285" si="4311">CV285</f>
        <v>75817</v>
      </c>
      <c r="CX285" s="44">
        <f>ROUND(CW285*(1+取值表!$D$14)*取值表!$H$14,0)</f>
        <v>74912</v>
      </c>
      <c r="CY285" s="44">
        <f t="shared" ref="CY285" si="4312">CX285</f>
        <v>74912</v>
      </c>
      <c r="CZ285" s="44">
        <f t="shared" ref="CZ285" si="4313">CY285</f>
        <v>74912</v>
      </c>
      <c r="DA285" s="44">
        <f t="shared" ref="DA285" si="4314">CZ285</f>
        <v>74912</v>
      </c>
      <c r="DB285" s="44">
        <f>ROUND(DA285*(1+取值表!$D$14)*取值表!$H$14,0)</f>
        <v>74018</v>
      </c>
      <c r="DC285" s="44">
        <f t="shared" ref="DC285" si="4315">DB285</f>
        <v>74018</v>
      </c>
      <c r="DD285" s="44">
        <f t="shared" ref="DD285" si="4316">DC285</f>
        <v>74018</v>
      </c>
      <c r="DE285" s="44">
        <f t="shared" ref="DE285" si="4317">DD285</f>
        <v>74018</v>
      </c>
      <c r="DF285" s="45">
        <f t="shared" si="3929"/>
        <v>8580900</v>
      </c>
    </row>
    <row r="286" spans="1:110" s="40" customFormat="1" ht="12">
      <c r="A286" s="517"/>
      <c r="B286" s="518"/>
      <c r="C286" s="450"/>
      <c r="D286" s="451"/>
      <c r="E286" s="452"/>
      <c r="F286" s="446"/>
      <c r="G286" s="446"/>
      <c r="H286" s="447"/>
      <c r="I286" s="41"/>
      <c r="J286" s="42"/>
      <c r="K286" s="44"/>
      <c r="L286" s="44"/>
      <c r="M286" s="44"/>
      <c r="N286" s="44"/>
      <c r="O286" s="44"/>
      <c r="P286" s="44"/>
      <c r="Q286" s="44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4"/>
      <c r="AC286" s="44"/>
      <c r="AD286" s="44"/>
      <c r="AE286" s="44"/>
      <c r="AF286" s="44"/>
      <c r="AG286" s="44"/>
      <c r="AH286" s="44"/>
      <c r="AI286" s="44"/>
      <c r="AJ286" s="44"/>
      <c r="AK286" s="44"/>
      <c r="AL286" s="44"/>
      <c r="AM286" s="44"/>
      <c r="AN286" s="44"/>
      <c r="AO286" s="44"/>
      <c r="AP286" s="44"/>
      <c r="AQ286" s="44"/>
      <c r="AR286" s="44"/>
      <c r="AS286" s="44"/>
      <c r="AT286" s="44"/>
      <c r="AU286" s="44"/>
      <c r="AV286" s="44"/>
      <c r="AW286" s="44"/>
      <c r="AX286" s="44"/>
      <c r="AY286" s="44"/>
      <c r="AZ286" s="44"/>
      <c r="BA286" s="44"/>
      <c r="BB286" s="44"/>
      <c r="BC286" s="44"/>
      <c r="BD286" s="44"/>
      <c r="BE286" s="44"/>
      <c r="BF286" s="44"/>
      <c r="BG286" s="44"/>
      <c r="BH286" s="44"/>
      <c r="BI286" s="44"/>
      <c r="BJ286" s="44"/>
      <c r="BK286" s="44"/>
      <c r="BL286" s="44"/>
      <c r="BM286" s="44"/>
      <c r="BN286" s="44"/>
      <c r="BO286" s="44"/>
      <c r="BP286" s="44"/>
      <c r="BQ286" s="44"/>
      <c r="BR286" s="44"/>
      <c r="BS286" s="44"/>
      <c r="BT286" s="44"/>
      <c r="BU286" s="44"/>
      <c r="BV286" s="44"/>
      <c r="BW286" s="44"/>
      <c r="BX286" s="44"/>
      <c r="BY286" s="44"/>
      <c r="BZ286" s="44"/>
      <c r="CA286" s="44"/>
      <c r="CB286" s="44"/>
      <c r="CC286" s="44"/>
      <c r="CD286" s="44"/>
      <c r="CE286" s="44"/>
      <c r="CF286" s="44"/>
      <c r="CG286" s="44"/>
      <c r="CH286" s="44"/>
      <c r="CI286" s="44"/>
      <c r="CJ286" s="44"/>
      <c r="CK286" s="44"/>
      <c r="CL286" s="44"/>
      <c r="CM286" s="44"/>
      <c r="CN286" s="44"/>
      <c r="CO286" s="44"/>
      <c r="CP286" s="44"/>
      <c r="CQ286" s="44"/>
      <c r="CR286" s="44"/>
      <c r="CS286" s="44"/>
      <c r="CT286" s="44"/>
      <c r="CU286" s="44"/>
      <c r="CV286" s="44"/>
      <c r="CW286" s="44"/>
      <c r="CX286" s="44"/>
      <c r="CY286" s="44"/>
      <c r="CZ286" s="44"/>
      <c r="DA286" s="44"/>
      <c r="DB286" s="44"/>
      <c r="DC286" s="44"/>
      <c r="DD286" s="44"/>
      <c r="DE286" s="44"/>
      <c r="DF286" s="45">
        <f t="shared" si="3929"/>
        <v>0</v>
      </c>
    </row>
    <row r="287" spans="1:110" s="40" customFormat="1" ht="12" customHeight="1">
      <c r="A287" s="516">
        <v>145</v>
      </c>
      <c r="B287" s="518" t="s">
        <v>277</v>
      </c>
      <c r="C287" s="450" t="s">
        <v>752</v>
      </c>
      <c r="D287" s="451" t="s">
        <v>519</v>
      </c>
      <c r="E287" s="452" t="s">
        <v>509</v>
      </c>
      <c r="F287" s="446">
        <v>34.5</v>
      </c>
      <c r="G287" s="446">
        <v>18</v>
      </c>
      <c r="H287" s="447">
        <f>F287*G287*365</f>
        <v>226665</v>
      </c>
      <c r="I287" s="41">
        <v>56666.25</v>
      </c>
      <c r="J287" s="42">
        <f>ROUND(G287*F287*365/4,0)</f>
        <v>56666</v>
      </c>
      <c r="K287" s="44">
        <f>J287</f>
        <v>56666</v>
      </c>
      <c r="L287" s="43">
        <f>K287</f>
        <v>56666</v>
      </c>
      <c r="M287" s="44">
        <f>L287</f>
        <v>56666</v>
      </c>
      <c r="N287" s="44">
        <f>ROUND(M287*(1+取值表!$D$14)*取值表!$H$14,0)</f>
        <v>55990</v>
      </c>
      <c r="O287" s="44">
        <f>N287</f>
        <v>55990</v>
      </c>
      <c r="P287" s="44">
        <f>O287</f>
        <v>55990</v>
      </c>
      <c r="Q287" s="44">
        <f>P287</f>
        <v>55990</v>
      </c>
      <c r="R287" s="44">
        <f>ROUND(Q287*(1+取值表!$D$14)*取值表!$H$14,0)</f>
        <v>55322</v>
      </c>
      <c r="S287" s="44">
        <f>R287</f>
        <v>55322</v>
      </c>
      <c r="T287" s="44">
        <f>S287</f>
        <v>55322</v>
      </c>
      <c r="U287" s="44">
        <f>T287</f>
        <v>55322</v>
      </c>
      <c r="V287" s="44">
        <f>ROUND(U287*(1+取值表!$D$14)*取值表!$H$14,0)</f>
        <v>54662</v>
      </c>
      <c r="W287" s="44">
        <f t="shared" ref="W287:Y287" si="4318">V287</f>
        <v>54662</v>
      </c>
      <c r="X287" s="44">
        <f t="shared" si="4318"/>
        <v>54662</v>
      </c>
      <c r="Y287" s="44">
        <f t="shared" si="4318"/>
        <v>54662</v>
      </c>
      <c r="Z287" s="44">
        <f>ROUND(Y287*(1+取值表!$D$14)*取值表!$H$14,0)</f>
        <v>54010</v>
      </c>
      <c r="AA287" s="44">
        <f t="shared" ref="AA287:AC287" si="4319">Z287</f>
        <v>54010</v>
      </c>
      <c r="AB287" s="44">
        <f t="shared" si="4319"/>
        <v>54010</v>
      </c>
      <c r="AC287" s="44">
        <f t="shared" si="4319"/>
        <v>54010</v>
      </c>
      <c r="AD287" s="44">
        <f>ROUND(AC287*(1+取值表!$D$14)*取值表!$H$14,0)</f>
        <v>53365</v>
      </c>
      <c r="AE287" s="44">
        <f t="shared" ref="AE287:AG287" si="4320">AD287</f>
        <v>53365</v>
      </c>
      <c r="AF287" s="44">
        <f t="shared" si="4320"/>
        <v>53365</v>
      </c>
      <c r="AG287" s="44">
        <f t="shared" si="4320"/>
        <v>53365</v>
      </c>
      <c r="AH287" s="44">
        <f>ROUND(AG287*(1+取值表!$D$14)*取值表!$H$14,0)</f>
        <v>52728</v>
      </c>
      <c r="AI287" s="44">
        <f t="shared" ref="AI287:AK287" si="4321">AH287</f>
        <v>52728</v>
      </c>
      <c r="AJ287" s="44">
        <f t="shared" si="4321"/>
        <v>52728</v>
      </c>
      <c r="AK287" s="44">
        <f t="shared" si="4321"/>
        <v>52728</v>
      </c>
      <c r="AL287" s="44">
        <f>ROUND(AK287*(1+取值表!$D$14)*取值表!$H$14,0)</f>
        <v>52099</v>
      </c>
      <c r="AM287" s="44">
        <f t="shared" ref="AM287:AO287" si="4322">AL287</f>
        <v>52099</v>
      </c>
      <c r="AN287" s="44">
        <f t="shared" si="4322"/>
        <v>52099</v>
      </c>
      <c r="AO287" s="44">
        <f t="shared" si="4322"/>
        <v>52099</v>
      </c>
      <c r="AP287" s="44">
        <f>ROUND(AO287*(1+取值表!$D$14)*取值表!$H$14,0)</f>
        <v>51477</v>
      </c>
      <c r="AQ287" s="44">
        <f t="shared" ref="AQ287:AS287" si="4323">AP287</f>
        <v>51477</v>
      </c>
      <c r="AR287" s="44">
        <f t="shared" si="4323"/>
        <v>51477</v>
      </c>
      <c r="AS287" s="44">
        <f t="shared" si="4323"/>
        <v>51477</v>
      </c>
      <c r="AT287" s="44">
        <f>ROUND(AS287*(1+取值表!$D$14)*取值表!$H$14,0)</f>
        <v>50863</v>
      </c>
      <c r="AU287" s="44">
        <f t="shared" ref="AU287:AW287" si="4324">AT287</f>
        <v>50863</v>
      </c>
      <c r="AV287" s="44">
        <f t="shared" si="4324"/>
        <v>50863</v>
      </c>
      <c r="AW287" s="44">
        <f t="shared" si="4324"/>
        <v>50863</v>
      </c>
      <c r="AX287" s="44">
        <f>ROUND(AW287*(1+取值表!$D$14)*取值表!$H$14,0)</f>
        <v>50256</v>
      </c>
      <c r="AY287" s="44">
        <f t="shared" ref="AY287:BA287" si="4325">AX287</f>
        <v>50256</v>
      </c>
      <c r="AZ287" s="44">
        <f t="shared" si="4325"/>
        <v>50256</v>
      </c>
      <c r="BA287" s="44">
        <f t="shared" si="4325"/>
        <v>50256</v>
      </c>
      <c r="BB287" s="44">
        <f>ROUND(BA287*(1+取值表!$D$14)*取值表!$H$14,0)</f>
        <v>49656</v>
      </c>
      <c r="BC287" s="44">
        <f t="shared" ref="BC287:BE287" si="4326">BB287</f>
        <v>49656</v>
      </c>
      <c r="BD287" s="44">
        <f t="shared" si="4326"/>
        <v>49656</v>
      </c>
      <c r="BE287" s="44">
        <f t="shared" si="4326"/>
        <v>49656</v>
      </c>
      <c r="BF287" s="44">
        <f>ROUND(BE287*(1+取值表!$D$14)*取值表!$H$14,0)</f>
        <v>49063</v>
      </c>
      <c r="BG287" s="44">
        <f t="shared" ref="BG287:BI287" si="4327">BF287</f>
        <v>49063</v>
      </c>
      <c r="BH287" s="44">
        <f t="shared" si="4327"/>
        <v>49063</v>
      </c>
      <c r="BI287" s="44">
        <f t="shared" si="4327"/>
        <v>49063</v>
      </c>
      <c r="BJ287" s="44">
        <f>ROUND(BI287*(1+取值表!$D$14)*取值表!$H$14,0)</f>
        <v>48477</v>
      </c>
      <c r="BK287" s="44">
        <f t="shared" ref="BK287:BM287" si="4328">BJ287</f>
        <v>48477</v>
      </c>
      <c r="BL287" s="44">
        <f t="shared" si="4328"/>
        <v>48477</v>
      </c>
      <c r="BM287" s="44">
        <f t="shared" si="4328"/>
        <v>48477</v>
      </c>
      <c r="BN287" s="44">
        <f>ROUND(BM287*(1+取值表!$D$14)*取值表!$H$14,0)</f>
        <v>47898</v>
      </c>
      <c r="BO287" s="44">
        <f t="shared" ref="BO287:BQ287" si="4329">BN287</f>
        <v>47898</v>
      </c>
      <c r="BP287" s="44">
        <f t="shared" si="4329"/>
        <v>47898</v>
      </c>
      <c r="BQ287" s="44">
        <f t="shared" si="4329"/>
        <v>47898</v>
      </c>
      <c r="BR287" s="44">
        <f>ROUND(BQ287*(1+取值表!$D$14)*取值表!$H$14,0)</f>
        <v>47326</v>
      </c>
      <c r="BS287" s="44">
        <f t="shared" ref="BS287:BU287" si="4330">BR287</f>
        <v>47326</v>
      </c>
      <c r="BT287" s="44">
        <f t="shared" si="4330"/>
        <v>47326</v>
      </c>
      <c r="BU287" s="44">
        <f t="shared" si="4330"/>
        <v>47326</v>
      </c>
      <c r="BV287" s="44">
        <f>ROUND(BU287*(1+取值表!$D$14)*取值表!$H$14,0)</f>
        <v>46761</v>
      </c>
      <c r="BW287" s="44">
        <f t="shared" ref="BW287:BY287" si="4331">BV287</f>
        <v>46761</v>
      </c>
      <c r="BX287" s="44">
        <f t="shared" si="4331"/>
        <v>46761</v>
      </c>
      <c r="BY287" s="44">
        <f t="shared" si="4331"/>
        <v>46761</v>
      </c>
      <c r="BZ287" s="44">
        <f>ROUND(BY287*(1+取值表!$D$14)*取值表!$H$14,0)</f>
        <v>46203</v>
      </c>
      <c r="CA287" s="44">
        <f t="shared" ref="CA287:CC287" si="4332">BZ287</f>
        <v>46203</v>
      </c>
      <c r="CB287" s="44">
        <f t="shared" si="4332"/>
        <v>46203</v>
      </c>
      <c r="CC287" s="44">
        <f t="shared" si="4332"/>
        <v>46203</v>
      </c>
      <c r="CD287" s="44">
        <f>ROUND(CC287*(1+取值表!$D$14)*取值表!$H$14,0)</f>
        <v>45652</v>
      </c>
      <c r="CE287" s="44">
        <f t="shared" ref="CE287:CG287" si="4333">CD287</f>
        <v>45652</v>
      </c>
      <c r="CF287" s="44">
        <f t="shared" si="4333"/>
        <v>45652</v>
      </c>
      <c r="CG287" s="44">
        <f t="shared" si="4333"/>
        <v>45652</v>
      </c>
      <c r="CH287" s="44">
        <f>ROUND(CG287*(1+取值表!$D$14)*取值表!$H$14,0)</f>
        <v>45107</v>
      </c>
      <c r="CI287" s="44">
        <f t="shared" ref="CI287:CK287" si="4334">CH287</f>
        <v>45107</v>
      </c>
      <c r="CJ287" s="44">
        <f t="shared" si="4334"/>
        <v>45107</v>
      </c>
      <c r="CK287" s="44">
        <f t="shared" si="4334"/>
        <v>45107</v>
      </c>
      <c r="CL287" s="44">
        <f>ROUND(CK287*(1+取值表!$D$14)*取值表!$H$14,0)</f>
        <v>44569</v>
      </c>
      <c r="CM287" s="44">
        <f t="shared" ref="CM287:CO287" si="4335">CL287</f>
        <v>44569</v>
      </c>
      <c r="CN287" s="44">
        <f t="shared" si="4335"/>
        <v>44569</v>
      </c>
      <c r="CO287" s="44">
        <f t="shared" si="4335"/>
        <v>44569</v>
      </c>
      <c r="CP287" s="44">
        <f>ROUND(CO287*(1+取值表!$D$14)*取值表!$H$14,0)</f>
        <v>44037</v>
      </c>
      <c r="CQ287" s="44">
        <f t="shared" ref="CQ287" si="4336">CP287</f>
        <v>44037</v>
      </c>
      <c r="CR287" s="44">
        <f t="shared" ref="CR287" si="4337">CQ287</f>
        <v>44037</v>
      </c>
      <c r="CS287" s="44">
        <f t="shared" ref="CS287" si="4338">CR287</f>
        <v>44037</v>
      </c>
      <c r="CT287" s="44">
        <f>ROUND(CS287*(1+取值表!$D$14)*取值表!$H$14,0)</f>
        <v>43511</v>
      </c>
      <c r="CU287" s="44">
        <f t="shared" ref="CU287" si="4339">CT287</f>
        <v>43511</v>
      </c>
      <c r="CV287" s="44">
        <f t="shared" ref="CV287" si="4340">CU287</f>
        <v>43511</v>
      </c>
      <c r="CW287" s="44">
        <f t="shared" ref="CW287" si="4341">CV287</f>
        <v>43511</v>
      </c>
      <c r="CX287" s="44">
        <f>ROUND(CW287*(1+取值表!$D$14)*取值表!$H$14,0)</f>
        <v>42992</v>
      </c>
      <c r="CY287" s="44">
        <f t="shared" ref="CY287" si="4342">CX287</f>
        <v>42992</v>
      </c>
      <c r="CZ287" s="44">
        <f t="shared" ref="CZ287" si="4343">CY287</f>
        <v>42992</v>
      </c>
      <c r="DA287" s="44">
        <f t="shared" ref="DA287" si="4344">CZ287</f>
        <v>42992</v>
      </c>
      <c r="DB287" s="44">
        <f>ROUND(DA287*(1+取值表!$D$14)*取值表!$H$14,0)</f>
        <v>42479</v>
      </c>
      <c r="DC287" s="44">
        <f t="shared" ref="DC287" si="4345">DB287</f>
        <v>42479</v>
      </c>
      <c r="DD287" s="44">
        <f t="shared" ref="DD287" si="4346">DC287</f>
        <v>42479</v>
      </c>
      <c r="DE287" s="44">
        <f t="shared" ref="DE287" si="4347">DD287</f>
        <v>42479</v>
      </c>
      <c r="DF287" s="45">
        <f t="shared" si="3929"/>
        <v>4924676</v>
      </c>
    </row>
    <row r="288" spans="1:110" s="40" customFormat="1" ht="12">
      <c r="A288" s="517"/>
      <c r="B288" s="518"/>
      <c r="C288" s="450"/>
      <c r="D288" s="451"/>
      <c r="E288" s="452"/>
      <c r="F288" s="446"/>
      <c r="G288" s="446"/>
      <c r="H288" s="447"/>
      <c r="I288" s="41"/>
      <c r="J288" s="42"/>
      <c r="K288" s="44"/>
      <c r="L288" s="44"/>
      <c r="M288" s="44"/>
      <c r="N288" s="44"/>
      <c r="O288" s="44"/>
      <c r="P288" s="44"/>
      <c r="Q288" s="44"/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  <c r="AH288" s="44"/>
      <c r="AI288" s="44"/>
      <c r="AJ288" s="44"/>
      <c r="AK288" s="44"/>
      <c r="AL288" s="44"/>
      <c r="AM288" s="44"/>
      <c r="AN288" s="44"/>
      <c r="AO288" s="44"/>
      <c r="AP288" s="44"/>
      <c r="AQ288" s="44"/>
      <c r="AR288" s="44"/>
      <c r="AS288" s="44"/>
      <c r="AT288" s="44"/>
      <c r="AU288" s="44"/>
      <c r="AV288" s="44"/>
      <c r="AW288" s="44"/>
      <c r="AX288" s="44"/>
      <c r="AY288" s="44"/>
      <c r="AZ288" s="44"/>
      <c r="BA288" s="44"/>
      <c r="BB288" s="44"/>
      <c r="BC288" s="44"/>
      <c r="BD288" s="44"/>
      <c r="BE288" s="44"/>
      <c r="BF288" s="44"/>
      <c r="BG288" s="44"/>
      <c r="BH288" s="44"/>
      <c r="BI288" s="44"/>
      <c r="BJ288" s="44"/>
      <c r="BK288" s="44"/>
      <c r="BL288" s="44"/>
      <c r="BM288" s="44"/>
      <c r="BN288" s="44"/>
      <c r="BO288" s="44"/>
      <c r="BP288" s="44"/>
      <c r="BQ288" s="44"/>
      <c r="BR288" s="44"/>
      <c r="BS288" s="44"/>
      <c r="BT288" s="44"/>
      <c r="BU288" s="44"/>
      <c r="BV288" s="44"/>
      <c r="BW288" s="44"/>
      <c r="BX288" s="44"/>
      <c r="BY288" s="44"/>
      <c r="BZ288" s="44"/>
      <c r="CA288" s="44"/>
      <c r="CB288" s="44"/>
      <c r="CC288" s="44"/>
      <c r="CD288" s="44"/>
      <c r="CE288" s="44"/>
      <c r="CF288" s="44"/>
      <c r="CG288" s="44"/>
      <c r="CH288" s="44"/>
      <c r="CI288" s="44"/>
      <c r="CJ288" s="44"/>
      <c r="CK288" s="44"/>
      <c r="CL288" s="44"/>
      <c r="CM288" s="44"/>
      <c r="CN288" s="44"/>
      <c r="CO288" s="44"/>
      <c r="CP288" s="44"/>
      <c r="CQ288" s="44"/>
      <c r="CR288" s="44"/>
      <c r="CS288" s="44"/>
      <c r="CT288" s="44"/>
      <c r="CU288" s="44"/>
      <c r="CV288" s="44"/>
      <c r="CW288" s="44"/>
      <c r="CX288" s="44"/>
      <c r="CY288" s="44"/>
      <c r="CZ288" s="44"/>
      <c r="DA288" s="44"/>
      <c r="DB288" s="44"/>
      <c r="DC288" s="44"/>
      <c r="DD288" s="44"/>
      <c r="DE288" s="44"/>
      <c r="DF288" s="45">
        <f t="shared" si="3929"/>
        <v>0</v>
      </c>
    </row>
    <row r="289" spans="1:110" s="40" customFormat="1" ht="12" customHeight="1">
      <c r="A289" s="516">
        <v>146</v>
      </c>
      <c r="B289" s="518" t="s">
        <v>278</v>
      </c>
      <c r="C289" s="450" t="s">
        <v>279</v>
      </c>
      <c r="D289" s="451" t="s">
        <v>520</v>
      </c>
      <c r="E289" s="452" t="s">
        <v>509</v>
      </c>
      <c r="F289" s="446">
        <v>34.770000000000003</v>
      </c>
      <c r="G289" s="446">
        <v>15.5</v>
      </c>
      <c r="H289" s="447">
        <f>F289*G289*365</f>
        <v>196711.27500000002</v>
      </c>
      <c r="I289" s="41">
        <v>52350.58</v>
      </c>
      <c r="J289" s="42">
        <f>ROUND(G289*F289*365/4,0)</f>
        <v>49178</v>
      </c>
      <c r="K289" s="43">
        <f>J289</f>
        <v>49178</v>
      </c>
      <c r="L289" s="44">
        <f>K289</f>
        <v>49178</v>
      </c>
      <c r="M289" s="44">
        <f>L289</f>
        <v>49178</v>
      </c>
      <c r="N289" s="44">
        <f>ROUND(M289*(1+取值表!$D$14)*取值表!$H$14,0)</f>
        <v>48591</v>
      </c>
      <c r="O289" s="44">
        <f>N289</f>
        <v>48591</v>
      </c>
      <c r="P289" s="44">
        <f>O289</f>
        <v>48591</v>
      </c>
      <c r="Q289" s="44">
        <f>P289</f>
        <v>48591</v>
      </c>
      <c r="R289" s="44">
        <f>ROUND(Q289*(1+取值表!$D$14)*取值表!$H$14,0)</f>
        <v>48011</v>
      </c>
      <c r="S289" s="44">
        <f t="shared" ref="S289:U289" si="4348">R289</f>
        <v>48011</v>
      </c>
      <c r="T289" s="44">
        <f t="shared" si="4348"/>
        <v>48011</v>
      </c>
      <c r="U289" s="44">
        <f t="shared" si="4348"/>
        <v>48011</v>
      </c>
      <c r="V289" s="44">
        <f>ROUND(U289*(1+取值表!$D$14)*取值表!$H$14,0)</f>
        <v>47438</v>
      </c>
      <c r="W289" s="44">
        <f t="shared" ref="W289:Y289" si="4349">V289</f>
        <v>47438</v>
      </c>
      <c r="X289" s="44">
        <f t="shared" si="4349"/>
        <v>47438</v>
      </c>
      <c r="Y289" s="44">
        <f t="shared" si="4349"/>
        <v>47438</v>
      </c>
      <c r="Z289" s="44">
        <f>ROUND(Y289*(1+取值表!$D$14)*取值表!$H$14,0)</f>
        <v>46872</v>
      </c>
      <c r="AA289" s="44">
        <f>Z289</f>
        <v>46872</v>
      </c>
      <c r="AB289" s="44">
        <f>AA289</f>
        <v>46872</v>
      </c>
      <c r="AC289" s="44">
        <f>AB289</f>
        <v>46872</v>
      </c>
      <c r="AD289" s="44">
        <f>ROUND(AC289*(1+取值表!$D$14)*取值表!$H$14,0)</f>
        <v>46313</v>
      </c>
      <c r="AE289" s="44">
        <f t="shared" ref="AE289:AG289" si="4350">AD289</f>
        <v>46313</v>
      </c>
      <c r="AF289" s="44">
        <f t="shared" si="4350"/>
        <v>46313</v>
      </c>
      <c r="AG289" s="44">
        <f t="shared" si="4350"/>
        <v>46313</v>
      </c>
      <c r="AH289" s="44">
        <f>ROUND(AG289*(1+取值表!$D$14)*取值表!$H$14,0)</f>
        <v>45760</v>
      </c>
      <c r="AI289" s="44">
        <f t="shared" ref="AI289:AK289" si="4351">AH289</f>
        <v>45760</v>
      </c>
      <c r="AJ289" s="44">
        <f t="shared" si="4351"/>
        <v>45760</v>
      </c>
      <c r="AK289" s="44">
        <f t="shared" si="4351"/>
        <v>45760</v>
      </c>
      <c r="AL289" s="44">
        <f>ROUND(AK289*(1+取值表!$D$14)*取值表!$H$14,0)</f>
        <v>45214</v>
      </c>
      <c r="AM289" s="44">
        <f t="shared" ref="AM289:AO289" si="4352">AL289</f>
        <v>45214</v>
      </c>
      <c r="AN289" s="44">
        <f t="shared" si="4352"/>
        <v>45214</v>
      </c>
      <c r="AO289" s="44">
        <f t="shared" si="4352"/>
        <v>45214</v>
      </c>
      <c r="AP289" s="44">
        <f>ROUND(AO289*(1+取值表!$D$14)*取值表!$H$14,0)</f>
        <v>44674</v>
      </c>
      <c r="AQ289" s="44">
        <f t="shared" ref="AQ289:AS289" si="4353">AP289</f>
        <v>44674</v>
      </c>
      <c r="AR289" s="44">
        <f t="shared" si="4353"/>
        <v>44674</v>
      </c>
      <c r="AS289" s="44">
        <f t="shared" si="4353"/>
        <v>44674</v>
      </c>
      <c r="AT289" s="44">
        <f>ROUND(AS289*(1+取值表!$D$14)*取值表!$H$14,0)</f>
        <v>44141</v>
      </c>
      <c r="AU289" s="44">
        <f t="shared" ref="AU289:AW289" si="4354">AT289</f>
        <v>44141</v>
      </c>
      <c r="AV289" s="44">
        <f t="shared" si="4354"/>
        <v>44141</v>
      </c>
      <c r="AW289" s="44">
        <f t="shared" si="4354"/>
        <v>44141</v>
      </c>
      <c r="AX289" s="44">
        <f>ROUND(AW289*(1+取值表!$D$14)*取值表!$H$14,0)</f>
        <v>43614</v>
      </c>
      <c r="AY289" s="44">
        <f t="shared" ref="AY289:BA289" si="4355">AX289</f>
        <v>43614</v>
      </c>
      <c r="AZ289" s="44">
        <f t="shared" si="4355"/>
        <v>43614</v>
      </c>
      <c r="BA289" s="44">
        <f t="shared" si="4355"/>
        <v>43614</v>
      </c>
      <c r="BB289" s="44">
        <f>ROUND(BA289*(1+取值表!$D$14)*取值表!$H$14,0)</f>
        <v>43094</v>
      </c>
      <c r="BC289" s="44">
        <f t="shared" ref="BC289:BE289" si="4356">BB289</f>
        <v>43094</v>
      </c>
      <c r="BD289" s="44">
        <f t="shared" si="4356"/>
        <v>43094</v>
      </c>
      <c r="BE289" s="44">
        <f t="shared" si="4356"/>
        <v>43094</v>
      </c>
      <c r="BF289" s="44">
        <f>ROUND(BE289*(1+取值表!$D$14)*取值表!$H$14,0)</f>
        <v>42580</v>
      </c>
      <c r="BG289" s="44">
        <f t="shared" ref="BG289:BI289" si="4357">BF289</f>
        <v>42580</v>
      </c>
      <c r="BH289" s="44">
        <f t="shared" si="4357"/>
        <v>42580</v>
      </c>
      <c r="BI289" s="44">
        <f t="shared" si="4357"/>
        <v>42580</v>
      </c>
      <c r="BJ289" s="44">
        <f>ROUND(BI289*(1+取值表!$D$14)*取值表!$H$14,0)</f>
        <v>42072</v>
      </c>
      <c r="BK289" s="44">
        <f t="shared" ref="BK289:BM289" si="4358">BJ289</f>
        <v>42072</v>
      </c>
      <c r="BL289" s="44">
        <f t="shared" si="4358"/>
        <v>42072</v>
      </c>
      <c r="BM289" s="44">
        <f t="shared" si="4358"/>
        <v>42072</v>
      </c>
      <c r="BN289" s="44">
        <f>ROUND(BM289*(1+取值表!$D$14)*取值表!$H$14,0)</f>
        <v>41570</v>
      </c>
      <c r="BO289" s="44">
        <f t="shared" ref="BO289:BQ289" si="4359">BN289</f>
        <v>41570</v>
      </c>
      <c r="BP289" s="44">
        <f t="shared" si="4359"/>
        <v>41570</v>
      </c>
      <c r="BQ289" s="44">
        <f t="shared" si="4359"/>
        <v>41570</v>
      </c>
      <c r="BR289" s="44">
        <f>ROUND(BQ289*(1+取值表!$D$14)*取值表!$H$14,0)</f>
        <v>41074</v>
      </c>
      <c r="BS289" s="44">
        <f t="shared" ref="BS289:BU289" si="4360">BR289</f>
        <v>41074</v>
      </c>
      <c r="BT289" s="44">
        <f t="shared" si="4360"/>
        <v>41074</v>
      </c>
      <c r="BU289" s="44">
        <f t="shared" si="4360"/>
        <v>41074</v>
      </c>
      <c r="BV289" s="44">
        <f>ROUND(BU289*(1+取值表!$D$14)*取值表!$H$14,0)</f>
        <v>40584</v>
      </c>
      <c r="BW289" s="44">
        <f t="shared" ref="BW289:BY289" si="4361">BV289</f>
        <v>40584</v>
      </c>
      <c r="BX289" s="44">
        <f t="shared" si="4361"/>
        <v>40584</v>
      </c>
      <c r="BY289" s="44">
        <f t="shared" si="4361"/>
        <v>40584</v>
      </c>
      <c r="BZ289" s="44">
        <f>ROUND(BY289*(1+取值表!$D$14)*取值表!$H$14,0)</f>
        <v>40100</v>
      </c>
      <c r="CA289" s="44">
        <f t="shared" ref="CA289:CC289" si="4362">BZ289</f>
        <v>40100</v>
      </c>
      <c r="CB289" s="44">
        <f t="shared" si="4362"/>
        <v>40100</v>
      </c>
      <c r="CC289" s="44">
        <f t="shared" si="4362"/>
        <v>40100</v>
      </c>
      <c r="CD289" s="44">
        <f>ROUND(CC289*(1+取值表!$D$14)*取值表!$H$14,0)</f>
        <v>39621</v>
      </c>
      <c r="CE289" s="44">
        <f t="shared" ref="CE289:CG289" si="4363">CD289</f>
        <v>39621</v>
      </c>
      <c r="CF289" s="44">
        <f t="shared" si="4363"/>
        <v>39621</v>
      </c>
      <c r="CG289" s="44">
        <f t="shared" si="4363"/>
        <v>39621</v>
      </c>
      <c r="CH289" s="44">
        <f>ROUND(CG289*(1+取值表!$D$14)*取值表!$H$14,0)</f>
        <v>39148</v>
      </c>
      <c r="CI289" s="44">
        <f t="shared" ref="CI289:CK289" si="4364">CH289</f>
        <v>39148</v>
      </c>
      <c r="CJ289" s="44">
        <f t="shared" si="4364"/>
        <v>39148</v>
      </c>
      <c r="CK289" s="44">
        <f t="shared" si="4364"/>
        <v>39148</v>
      </c>
      <c r="CL289" s="44">
        <f>ROUND(CK289*(1+取值表!$D$14)*取值表!$H$14,0)</f>
        <v>38681</v>
      </c>
      <c r="CM289" s="44">
        <f t="shared" ref="CM289:CO289" si="4365">CL289</f>
        <v>38681</v>
      </c>
      <c r="CN289" s="44">
        <f t="shared" si="4365"/>
        <v>38681</v>
      </c>
      <c r="CO289" s="44">
        <f t="shared" si="4365"/>
        <v>38681</v>
      </c>
      <c r="CP289" s="44">
        <f>ROUND(CO289*(1+取值表!$D$14)*取值表!$H$14,0)</f>
        <v>38219</v>
      </c>
      <c r="CQ289" s="44">
        <f t="shared" ref="CQ289" si="4366">CP289</f>
        <v>38219</v>
      </c>
      <c r="CR289" s="44">
        <f t="shared" ref="CR289" si="4367">CQ289</f>
        <v>38219</v>
      </c>
      <c r="CS289" s="44">
        <f t="shared" ref="CS289" si="4368">CR289</f>
        <v>38219</v>
      </c>
      <c r="CT289" s="44">
        <f>ROUND(CS289*(1+取值表!$D$14)*取值表!$H$14,0)</f>
        <v>37763</v>
      </c>
      <c r="CU289" s="44">
        <f t="shared" ref="CU289" si="4369">CT289</f>
        <v>37763</v>
      </c>
      <c r="CV289" s="44">
        <f t="shared" ref="CV289" si="4370">CU289</f>
        <v>37763</v>
      </c>
      <c r="CW289" s="44">
        <f t="shared" ref="CW289" si="4371">CV289</f>
        <v>37763</v>
      </c>
      <c r="CX289" s="44">
        <f>ROUND(CW289*(1+取值表!$D$14)*取值表!$H$14,0)</f>
        <v>37312</v>
      </c>
      <c r="CY289" s="44">
        <f t="shared" ref="CY289" si="4372">CX289</f>
        <v>37312</v>
      </c>
      <c r="CZ289" s="44">
        <f t="shared" ref="CZ289" si="4373">CY289</f>
        <v>37312</v>
      </c>
      <c r="DA289" s="44">
        <f t="shared" ref="DA289" si="4374">CZ289</f>
        <v>37312</v>
      </c>
      <c r="DB289" s="44">
        <f>ROUND(DA289*(1+取值表!$D$14)*取值表!$H$14,0)</f>
        <v>36867</v>
      </c>
      <c r="DC289" s="44">
        <f t="shared" ref="DC289" si="4375">DB289</f>
        <v>36867</v>
      </c>
      <c r="DD289" s="44">
        <f t="shared" ref="DD289" si="4376">DC289</f>
        <v>36867</v>
      </c>
      <c r="DE289" s="44">
        <f t="shared" ref="DE289" si="4377">DD289</f>
        <v>36867</v>
      </c>
      <c r="DF289" s="45">
        <f t="shared" si="3929"/>
        <v>4273964</v>
      </c>
    </row>
    <row r="290" spans="1:110" s="40" customFormat="1" ht="12">
      <c r="A290" s="517"/>
      <c r="B290" s="518"/>
      <c r="C290" s="450"/>
      <c r="D290" s="451"/>
      <c r="E290" s="452"/>
      <c r="F290" s="446"/>
      <c r="G290" s="446"/>
      <c r="H290" s="447"/>
      <c r="I290" s="41"/>
      <c r="J290" s="42"/>
      <c r="K290" s="44"/>
      <c r="L290" s="44"/>
      <c r="M290" s="44"/>
      <c r="N290" s="44"/>
      <c r="O290" s="44"/>
      <c r="P290" s="44"/>
      <c r="Q290" s="44"/>
      <c r="R290" s="44"/>
      <c r="S290" s="44"/>
      <c r="T290" s="44"/>
      <c r="U290" s="44"/>
      <c r="V290" s="44"/>
      <c r="W290" s="44"/>
      <c r="X290" s="44"/>
      <c r="Y290" s="44"/>
      <c r="Z290" s="44"/>
      <c r="AA290" s="44"/>
      <c r="AB290" s="44"/>
      <c r="AC290" s="44"/>
      <c r="AD290" s="44"/>
      <c r="AE290" s="44"/>
      <c r="AF290" s="44"/>
      <c r="AG290" s="44"/>
      <c r="AH290" s="44"/>
      <c r="AI290" s="44"/>
      <c r="AJ290" s="44"/>
      <c r="AK290" s="44"/>
      <c r="AL290" s="44"/>
      <c r="AM290" s="44"/>
      <c r="AN290" s="44"/>
      <c r="AO290" s="44"/>
      <c r="AP290" s="44"/>
      <c r="AQ290" s="44"/>
      <c r="AR290" s="44"/>
      <c r="AS290" s="44"/>
      <c r="AT290" s="44"/>
      <c r="AU290" s="44"/>
      <c r="AV290" s="44"/>
      <c r="AW290" s="44"/>
      <c r="AX290" s="44"/>
      <c r="AY290" s="44"/>
      <c r="AZ290" s="44"/>
      <c r="BA290" s="44"/>
      <c r="BB290" s="44"/>
      <c r="BC290" s="44"/>
      <c r="BD290" s="44"/>
      <c r="BE290" s="44"/>
      <c r="BF290" s="44"/>
      <c r="BG290" s="44"/>
      <c r="BH290" s="44"/>
      <c r="BI290" s="44"/>
      <c r="BJ290" s="44"/>
      <c r="BK290" s="44"/>
      <c r="BL290" s="44"/>
      <c r="BM290" s="44"/>
      <c r="BN290" s="44"/>
      <c r="BO290" s="44"/>
      <c r="BP290" s="44"/>
      <c r="BQ290" s="44"/>
      <c r="BR290" s="44"/>
      <c r="BS290" s="44"/>
      <c r="BT290" s="44"/>
      <c r="BU290" s="44"/>
      <c r="BV290" s="44"/>
      <c r="BW290" s="44"/>
      <c r="BX290" s="44"/>
      <c r="BY290" s="44"/>
      <c r="BZ290" s="44"/>
      <c r="CA290" s="44"/>
      <c r="CB290" s="44"/>
      <c r="CC290" s="44"/>
      <c r="CD290" s="44"/>
      <c r="CE290" s="44"/>
      <c r="CF290" s="44"/>
      <c r="CG290" s="44"/>
      <c r="CH290" s="44"/>
      <c r="CI290" s="44"/>
      <c r="CJ290" s="44"/>
      <c r="CK290" s="44"/>
      <c r="CL290" s="44"/>
      <c r="CM290" s="44"/>
      <c r="CN290" s="44"/>
      <c r="CO290" s="44"/>
      <c r="CP290" s="44"/>
      <c r="CQ290" s="44"/>
      <c r="CR290" s="44"/>
      <c r="CS290" s="44"/>
      <c r="CT290" s="44"/>
      <c r="CU290" s="44"/>
      <c r="CV290" s="44"/>
      <c r="CW290" s="44"/>
      <c r="CX290" s="44"/>
      <c r="CY290" s="44"/>
      <c r="CZ290" s="44"/>
      <c r="DA290" s="44"/>
      <c r="DB290" s="44"/>
      <c r="DC290" s="44"/>
      <c r="DD290" s="44"/>
      <c r="DE290" s="44"/>
      <c r="DF290" s="45">
        <f t="shared" si="3929"/>
        <v>0</v>
      </c>
    </row>
    <row r="291" spans="1:110" s="40" customFormat="1" ht="12">
      <c r="A291" s="516">
        <v>147</v>
      </c>
      <c r="B291" s="518" t="s">
        <v>280</v>
      </c>
      <c r="C291" s="450" t="s">
        <v>753</v>
      </c>
      <c r="D291" s="451" t="s">
        <v>521</v>
      </c>
      <c r="E291" s="452" t="s">
        <v>509</v>
      </c>
      <c r="F291" s="446">
        <v>36.630000000000003</v>
      </c>
      <c r="G291" s="446">
        <v>16</v>
      </c>
      <c r="H291" s="447">
        <f>F291*G291*365</f>
        <v>213919.2</v>
      </c>
      <c r="I291" s="41">
        <v>53479.8</v>
      </c>
      <c r="J291" s="42">
        <f>ROUND(G291*F291*365/4,0)</f>
        <v>53480</v>
      </c>
      <c r="K291" s="43">
        <f>J291</f>
        <v>53480</v>
      </c>
      <c r="L291" s="44">
        <f>K291</f>
        <v>53480</v>
      </c>
      <c r="M291" s="44">
        <f>L291</f>
        <v>53480</v>
      </c>
      <c r="N291" s="44">
        <f>ROUND(M291*(1+取值表!$D$14)*取值表!$H$14,0)</f>
        <v>52842</v>
      </c>
      <c r="O291" s="44">
        <f>N291</f>
        <v>52842</v>
      </c>
      <c r="P291" s="44">
        <f>O291</f>
        <v>52842</v>
      </c>
      <c r="Q291" s="44">
        <f>P291</f>
        <v>52842</v>
      </c>
      <c r="R291" s="44">
        <f>ROUND(Q291*(1+取值表!$D$14)*取值表!$H$14,0)</f>
        <v>52211</v>
      </c>
      <c r="S291" s="44">
        <f t="shared" ref="S291:U291" si="4378">R291</f>
        <v>52211</v>
      </c>
      <c r="T291" s="44">
        <f t="shared" si="4378"/>
        <v>52211</v>
      </c>
      <c r="U291" s="44">
        <f t="shared" si="4378"/>
        <v>52211</v>
      </c>
      <c r="V291" s="44">
        <f>ROUND(U291*(1+取值表!$D$14)*取值表!$H$14,0)</f>
        <v>51588</v>
      </c>
      <c r="W291" s="44">
        <f t="shared" ref="W291:Y291" si="4379">V291</f>
        <v>51588</v>
      </c>
      <c r="X291" s="44">
        <f t="shared" si="4379"/>
        <v>51588</v>
      </c>
      <c r="Y291" s="44">
        <f t="shared" si="4379"/>
        <v>51588</v>
      </c>
      <c r="Z291" s="44">
        <f>ROUND(Y291*(1+取值表!$D$14)*取值表!$H$14,0)</f>
        <v>50972</v>
      </c>
      <c r="AA291" s="44">
        <f>Z291</f>
        <v>50972</v>
      </c>
      <c r="AB291" s="44">
        <f>AA291</f>
        <v>50972</v>
      </c>
      <c r="AC291" s="44">
        <f>AB291</f>
        <v>50972</v>
      </c>
      <c r="AD291" s="44">
        <f>ROUND(AC291*(1+取值表!$D$14)*取值表!$H$14,0)</f>
        <v>50364</v>
      </c>
      <c r="AE291" s="44">
        <f t="shared" ref="AE291:AG291" si="4380">AD291</f>
        <v>50364</v>
      </c>
      <c r="AF291" s="44">
        <f t="shared" si="4380"/>
        <v>50364</v>
      </c>
      <c r="AG291" s="44">
        <f t="shared" si="4380"/>
        <v>50364</v>
      </c>
      <c r="AH291" s="44">
        <f>ROUND(AG291*(1+取值表!$D$14)*取值表!$H$14,0)</f>
        <v>49763</v>
      </c>
      <c r="AI291" s="44">
        <f t="shared" ref="AI291:AK291" si="4381">AH291</f>
        <v>49763</v>
      </c>
      <c r="AJ291" s="44">
        <f t="shared" si="4381"/>
        <v>49763</v>
      </c>
      <c r="AK291" s="44">
        <f t="shared" si="4381"/>
        <v>49763</v>
      </c>
      <c r="AL291" s="44">
        <f>ROUND(AK291*(1+取值表!$D$14)*取值表!$H$14,0)</f>
        <v>49169</v>
      </c>
      <c r="AM291" s="44">
        <f t="shared" ref="AM291:AO291" si="4382">AL291</f>
        <v>49169</v>
      </c>
      <c r="AN291" s="44">
        <f t="shared" si="4382"/>
        <v>49169</v>
      </c>
      <c r="AO291" s="44">
        <f t="shared" si="4382"/>
        <v>49169</v>
      </c>
      <c r="AP291" s="44">
        <f>ROUND(AO291*(1+取值表!$D$14)*取值表!$H$14,0)</f>
        <v>48582</v>
      </c>
      <c r="AQ291" s="44">
        <f t="shared" ref="AQ291:AS291" si="4383">AP291</f>
        <v>48582</v>
      </c>
      <c r="AR291" s="44">
        <f t="shared" si="4383"/>
        <v>48582</v>
      </c>
      <c r="AS291" s="44">
        <f t="shared" si="4383"/>
        <v>48582</v>
      </c>
      <c r="AT291" s="44">
        <f>ROUND(AS291*(1+取值表!$D$14)*取值表!$H$14,0)</f>
        <v>48002</v>
      </c>
      <c r="AU291" s="44">
        <f t="shared" ref="AU291:AW291" si="4384">AT291</f>
        <v>48002</v>
      </c>
      <c r="AV291" s="44">
        <f t="shared" si="4384"/>
        <v>48002</v>
      </c>
      <c r="AW291" s="44">
        <f t="shared" si="4384"/>
        <v>48002</v>
      </c>
      <c r="AX291" s="44">
        <f>ROUND(AW291*(1+取值表!$D$14)*取值表!$H$14,0)</f>
        <v>47429</v>
      </c>
      <c r="AY291" s="44">
        <f t="shared" ref="AY291:BA291" si="4385">AX291</f>
        <v>47429</v>
      </c>
      <c r="AZ291" s="44">
        <f t="shared" si="4385"/>
        <v>47429</v>
      </c>
      <c r="BA291" s="44">
        <f t="shared" si="4385"/>
        <v>47429</v>
      </c>
      <c r="BB291" s="44">
        <f>ROUND(BA291*(1+取值表!$D$14)*取值表!$H$14,0)</f>
        <v>46863</v>
      </c>
      <c r="BC291" s="44">
        <f t="shared" ref="BC291:BE291" si="4386">BB291</f>
        <v>46863</v>
      </c>
      <c r="BD291" s="44">
        <f t="shared" si="4386"/>
        <v>46863</v>
      </c>
      <c r="BE291" s="44">
        <f t="shared" si="4386"/>
        <v>46863</v>
      </c>
      <c r="BF291" s="44">
        <f>ROUND(BE291*(1+取值表!$D$14)*取值表!$H$14,0)</f>
        <v>46304</v>
      </c>
      <c r="BG291" s="44">
        <f t="shared" ref="BG291:BI291" si="4387">BF291</f>
        <v>46304</v>
      </c>
      <c r="BH291" s="44">
        <f t="shared" si="4387"/>
        <v>46304</v>
      </c>
      <c r="BI291" s="44">
        <f t="shared" si="4387"/>
        <v>46304</v>
      </c>
      <c r="BJ291" s="44">
        <f>ROUND(BI291*(1+取值表!$D$14)*取值表!$H$14,0)</f>
        <v>45751</v>
      </c>
      <c r="BK291" s="44">
        <f t="shared" ref="BK291:BM291" si="4388">BJ291</f>
        <v>45751</v>
      </c>
      <c r="BL291" s="44">
        <f t="shared" si="4388"/>
        <v>45751</v>
      </c>
      <c r="BM291" s="44">
        <f t="shared" si="4388"/>
        <v>45751</v>
      </c>
      <c r="BN291" s="44">
        <f>ROUND(BM291*(1+取值表!$D$14)*取值表!$H$14,0)</f>
        <v>45205</v>
      </c>
      <c r="BO291" s="44">
        <f t="shared" ref="BO291:BQ291" si="4389">BN291</f>
        <v>45205</v>
      </c>
      <c r="BP291" s="44">
        <f t="shared" si="4389"/>
        <v>45205</v>
      </c>
      <c r="BQ291" s="44">
        <f t="shared" si="4389"/>
        <v>45205</v>
      </c>
      <c r="BR291" s="44">
        <f>ROUND(BQ291*(1+取值表!$D$14)*取值表!$H$14,0)</f>
        <v>44666</v>
      </c>
      <c r="BS291" s="44">
        <f t="shared" ref="BS291:BU291" si="4390">BR291</f>
        <v>44666</v>
      </c>
      <c r="BT291" s="44">
        <f t="shared" si="4390"/>
        <v>44666</v>
      </c>
      <c r="BU291" s="44">
        <f t="shared" si="4390"/>
        <v>44666</v>
      </c>
      <c r="BV291" s="44">
        <f>ROUND(BU291*(1+取值表!$D$14)*取值表!$H$14,0)</f>
        <v>44133</v>
      </c>
      <c r="BW291" s="44">
        <f t="shared" ref="BW291:BY291" si="4391">BV291</f>
        <v>44133</v>
      </c>
      <c r="BX291" s="44">
        <f t="shared" si="4391"/>
        <v>44133</v>
      </c>
      <c r="BY291" s="44">
        <f t="shared" si="4391"/>
        <v>44133</v>
      </c>
      <c r="BZ291" s="44">
        <f>ROUND(BY291*(1+取值表!$D$14)*取值表!$H$14,0)</f>
        <v>43606</v>
      </c>
      <c r="CA291" s="44">
        <f t="shared" ref="CA291:CC291" si="4392">BZ291</f>
        <v>43606</v>
      </c>
      <c r="CB291" s="44">
        <f t="shared" si="4392"/>
        <v>43606</v>
      </c>
      <c r="CC291" s="44">
        <f t="shared" si="4392"/>
        <v>43606</v>
      </c>
      <c r="CD291" s="44">
        <f>ROUND(CC291*(1+取值表!$D$14)*取值表!$H$14,0)</f>
        <v>43086</v>
      </c>
      <c r="CE291" s="44">
        <f t="shared" ref="CE291:CG291" si="4393">CD291</f>
        <v>43086</v>
      </c>
      <c r="CF291" s="44">
        <f t="shared" si="4393"/>
        <v>43086</v>
      </c>
      <c r="CG291" s="44">
        <f t="shared" si="4393"/>
        <v>43086</v>
      </c>
      <c r="CH291" s="44">
        <f>ROUND(CG291*(1+取值表!$D$14)*取值表!$H$14,0)</f>
        <v>42572</v>
      </c>
      <c r="CI291" s="44">
        <f t="shared" ref="CI291:CK291" si="4394">CH291</f>
        <v>42572</v>
      </c>
      <c r="CJ291" s="44">
        <f t="shared" si="4394"/>
        <v>42572</v>
      </c>
      <c r="CK291" s="44">
        <f t="shared" si="4394"/>
        <v>42572</v>
      </c>
      <c r="CL291" s="44">
        <f>ROUND(CK291*(1+取值表!$D$14)*取值表!$H$14,0)</f>
        <v>42064</v>
      </c>
      <c r="CM291" s="44">
        <f t="shared" ref="CM291:CO291" si="4395">CL291</f>
        <v>42064</v>
      </c>
      <c r="CN291" s="44">
        <f t="shared" si="4395"/>
        <v>42064</v>
      </c>
      <c r="CO291" s="44">
        <f t="shared" si="4395"/>
        <v>42064</v>
      </c>
      <c r="CP291" s="44">
        <f>ROUND(CO291*(1+取值表!$D$14)*取值表!$H$14,0)</f>
        <v>41562</v>
      </c>
      <c r="CQ291" s="44">
        <f t="shared" ref="CQ291" si="4396">CP291</f>
        <v>41562</v>
      </c>
      <c r="CR291" s="44">
        <f t="shared" ref="CR291" si="4397">CQ291</f>
        <v>41562</v>
      </c>
      <c r="CS291" s="44">
        <f t="shared" ref="CS291" si="4398">CR291</f>
        <v>41562</v>
      </c>
      <c r="CT291" s="44">
        <f>ROUND(CS291*(1+取值表!$D$14)*取值表!$H$14,0)</f>
        <v>41066</v>
      </c>
      <c r="CU291" s="44">
        <f t="shared" ref="CU291" si="4399">CT291</f>
        <v>41066</v>
      </c>
      <c r="CV291" s="44">
        <f t="shared" ref="CV291" si="4400">CU291</f>
        <v>41066</v>
      </c>
      <c r="CW291" s="44">
        <f t="shared" ref="CW291" si="4401">CV291</f>
        <v>41066</v>
      </c>
      <c r="CX291" s="44">
        <f>ROUND(CW291*(1+取值表!$D$14)*取值表!$H$14,0)</f>
        <v>40576</v>
      </c>
      <c r="CY291" s="44">
        <f t="shared" ref="CY291" si="4402">CX291</f>
        <v>40576</v>
      </c>
      <c r="CZ291" s="44">
        <f t="shared" ref="CZ291" si="4403">CY291</f>
        <v>40576</v>
      </c>
      <c r="DA291" s="44">
        <f t="shared" ref="DA291" si="4404">CZ291</f>
        <v>40576</v>
      </c>
      <c r="DB291" s="44">
        <f>ROUND(DA291*(1+取值表!$D$14)*取值表!$H$14,0)</f>
        <v>40092</v>
      </c>
      <c r="DC291" s="44">
        <f t="shared" ref="DC291" si="4405">DB291</f>
        <v>40092</v>
      </c>
      <c r="DD291" s="44">
        <f t="shared" ref="DD291" si="4406">DC291</f>
        <v>40092</v>
      </c>
      <c r="DE291" s="44">
        <f t="shared" ref="DE291" si="4407">DD291</f>
        <v>40092</v>
      </c>
      <c r="DF291" s="45">
        <f t="shared" si="3929"/>
        <v>4647792</v>
      </c>
    </row>
    <row r="292" spans="1:110" s="40" customFormat="1" ht="12">
      <c r="A292" s="517"/>
      <c r="B292" s="518"/>
      <c r="C292" s="450"/>
      <c r="D292" s="451"/>
      <c r="E292" s="452"/>
      <c r="F292" s="446"/>
      <c r="G292" s="446"/>
      <c r="H292" s="447"/>
      <c r="I292" s="41"/>
      <c r="J292" s="42"/>
      <c r="K292" s="44"/>
      <c r="L292" s="44"/>
      <c r="M292" s="44"/>
      <c r="N292" s="44"/>
      <c r="O292" s="44"/>
      <c r="P292" s="44"/>
      <c r="Q292" s="44"/>
      <c r="R292" s="44"/>
      <c r="S292" s="44"/>
      <c r="T292" s="44"/>
      <c r="U292" s="44"/>
      <c r="V292" s="44"/>
      <c r="W292" s="44"/>
      <c r="X292" s="44"/>
      <c r="Y292" s="44"/>
      <c r="Z292" s="44"/>
      <c r="AA292" s="44"/>
      <c r="AB292" s="44"/>
      <c r="AC292" s="44"/>
      <c r="AD292" s="44"/>
      <c r="AE292" s="44"/>
      <c r="AF292" s="44"/>
      <c r="AG292" s="44"/>
      <c r="AH292" s="44"/>
      <c r="AI292" s="44"/>
      <c r="AJ292" s="44"/>
      <c r="AK292" s="44"/>
      <c r="AL292" s="44"/>
      <c r="AM292" s="44"/>
      <c r="AN292" s="44"/>
      <c r="AO292" s="44"/>
      <c r="AP292" s="44"/>
      <c r="AQ292" s="44"/>
      <c r="AR292" s="44"/>
      <c r="AS292" s="44"/>
      <c r="AT292" s="44"/>
      <c r="AU292" s="44"/>
      <c r="AV292" s="44"/>
      <c r="AW292" s="44"/>
      <c r="AX292" s="44"/>
      <c r="AY292" s="44"/>
      <c r="AZ292" s="44"/>
      <c r="BA292" s="44"/>
      <c r="BB292" s="44"/>
      <c r="BC292" s="44"/>
      <c r="BD292" s="44"/>
      <c r="BE292" s="44"/>
      <c r="BF292" s="44"/>
      <c r="BG292" s="44"/>
      <c r="BH292" s="44"/>
      <c r="BI292" s="44"/>
      <c r="BJ292" s="44"/>
      <c r="BK292" s="44"/>
      <c r="BL292" s="44"/>
      <c r="BM292" s="44"/>
      <c r="BN292" s="44"/>
      <c r="BO292" s="44"/>
      <c r="BP292" s="44"/>
      <c r="BQ292" s="44"/>
      <c r="BR292" s="44"/>
      <c r="BS292" s="44"/>
      <c r="BT292" s="44"/>
      <c r="BU292" s="44"/>
      <c r="BV292" s="44"/>
      <c r="BW292" s="44"/>
      <c r="BX292" s="44"/>
      <c r="BY292" s="44"/>
      <c r="BZ292" s="44"/>
      <c r="CA292" s="44"/>
      <c r="CB292" s="44"/>
      <c r="CC292" s="44"/>
      <c r="CD292" s="44"/>
      <c r="CE292" s="44"/>
      <c r="CF292" s="44"/>
      <c r="CG292" s="44"/>
      <c r="CH292" s="44"/>
      <c r="CI292" s="44"/>
      <c r="CJ292" s="44"/>
      <c r="CK292" s="44"/>
      <c r="CL292" s="44"/>
      <c r="CM292" s="44"/>
      <c r="CN292" s="44"/>
      <c r="CO292" s="44"/>
      <c r="CP292" s="44"/>
      <c r="CQ292" s="44"/>
      <c r="CR292" s="44"/>
      <c r="CS292" s="44"/>
      <c r="CT292" s="44"/>
      <c r="CU292" s="44"/>
      <c r="CV292" s="44"/>
      <c r="CW292" s="44"/>
      <c r="CX292" s="44"/>
      <c r="CY292" s="44"/>
      <c r="CZ292" s="44"/>
      <c r="DA292" s="44"/>
      <c r="DB292" s="44"/>
      <c r="DC292" s="44"/>
      <c r="DD292" s="44"/>
      <c r="DE292" s="44"/>
      <c r="DF292" s="45">
        <f t="shared" si="3929"/>
        <v>0</v>
      </c>
    </row>
    <row r="293" spans="1:110" s="40" customFormat="1" ht="12">
      <c r="A293" s="516">
        <v>148</v>
      </c>
      <c r="B293" s="518" t="s">
        <v>281</v>
      </c>
      <c r="C293" s="450" t="s">
        <v>754</v>
      </c>
      <c r="D293" s="451" t="s">
        <v>522</v>
      </c>
      <c r="E293" s="452" t="s">
        <v>509</v>
      </c>
      <c r="F293" s="446">
        <v>244.27</v>
      </c>
      <c r="G293" s="446">
        <v>13.5</v>
      </c>
      <c r="H293" s="447">
        <f>F293*G293*365</f>
        <v>1203640.425</v>
      </c>
      <c r="I293" s="41">
        <v>300910.11</v>
      </c>
      <c r="J293" s="42">
        <f>ROUND(G293*F293*365/4,0)</f>
        <v>300910</v>
      </c>
      <c r="K293" s="44">
        <f>J293</f>
        <v>300910</v>
      </c>
      <c r="L293" s="44">
        <f t="shared" ref="L293:V293" si="4408">K293</f>
        <v>300910</v>
      </c>
      <c r="M293" s="44">
        <f t="shared" si="4408"/>
        <v>300910</v>
      </c>
      <c r="N293" s="44">
        <f t="shared" si="4408"/>
        <v>300910</v>
      </c>
      <c r="O293" s="44">
        <f t="shared" si="4408"/>
        <v>300910</v>
      </c>
      <c r="P293" s="44">
        <f t="shared" si="4408"/>
        <v>300910</v>
      </c>
      <c r="Q293" s="44">
        <f t="shared" si="4408"/>
        <v>300910</v>
      </c>
      <c r="R293" s="44">
        <f t="shared" si="4408"/>
        <v>300910</v>
      </c>
      <c r="S293" s="44">
        <f t="shared" si="4408"/>
        <v>300910</v>
      </c>
      <c r="T293" s="44">
        <f t="shared" si="4408"/>
        <v>300910</v>
      </c>
      <c r="U293" s="44">
        <f t="shared" si="4408"/>
        <v>300910</v>
      </c>
      <c r="V293" s="43">
        <f t="shared" si="4408"/>
        <v>300910</v>
      </c>
      <c r="W293" s="44">
        <f t="shared" ref="W293:AC293" si="4409">V293</f>
        <v>300910</v>
      </c>
      <c r="X293" s="44">
        <f t="shared" si="4409"/>
        <v>300910</v>
      </c>
      <c r="Y293" s="44">
        <f t="shared" si="4409"/>
        <v>300910</v>
      </c>
      <c r="Z293" s="44">
        <f t="shared" si="4409"/>
        <v>300910</v>
      </c>
      <c r="AA293" s="44">
        <f t="shared" si="4409"/>
        <v>300910</v>
      </c>
      <c r="AB293" s="44">
        <f t="shared" si="4409"/>
        <v>300910</v>
      </c>
      <c r="AC293" s="44">
        <f t="shared" si="4409"/>
        <v>300910</v>
      </c>
      <c r="AD293" s="44">
        <f t="shared" ref="AD293:CO293" si="4410">AC293</f>
        <v>300910</v>
      </c>
      <c r="AE293" s="44">
        <f t="shared" si="4410"/>
        <v>300910</v>
      </c>
      <c r="AF293" s="44">
        <f t="shared" si="4410"/>
        <v>300910</v>
      </c>
      <c r="AG293" s="44">
        <f t="shared" si="4410"/>
        <v>300910</v>
      </c>
      <c r="AH293" s="44">
        <f t="shared" si="4410"/>
        <v>300910</v>
      </c>
      <c r="AI293" s="44">
        <f t="shared" si="4410"/>
        <v>300910</v>
      </c>
      <c r="AJ293" s="44">
        <f t="shared" si="4410"/>
        <v>300910</v>
      </c>
      <c r="AK293" s="44">
        <f t="shared" si="4410"/>
        <v>300910</v>
      </c>
      <c r="AL293" s="44">
        <f t="shared" si="4410"/>
        <v>300910</v>
      </c>
      <c r="AM293" s="44">
        <f t="shared" si="4410"/>
        <v>300910</v>
      </c>
      <c r="AN293" s="44">
        <f t="shared" si="4410"/>
        <v>300910</v>
      </c>
      <c r="AO293" s="44">
        <f t="shared" si="4410"/>
        <v>300910</v>
      </c>
      <c r="AP293" s="44">
        <f t="shared" si="4410"/>
        <v>300910</v>
      </c>
      <c r="AQ293" s="44">
        <f t="shared" si="4410"/>
        <v>300910</v>
      </c>
      <c r="AR293" s="44">
        <f t="shared" si="4410"/>
        <v>300910</v>
      </c>
      <c r="AS293" s="44">
        <f t="shared" si="4410"/>
        <v>300910</v>
      </c>
      <c r="AT293" s="44">
        <f t="shared" si="4410"/>
        <v>300910</v>
      </c>
      <c r="AU293" s="44">
        <f t="shared" si="4410"/>
        <v>300910</v>
      </c>
      <c r="AV293" s="44">
        <f t="shared" si="4410"/>
        <v>300910</v>
      </c>
      <c r="AW293" s="44">
        <f t="shared" si="4410"/>
        <v>300910</v>
      </c>
      <c r="AX293" s="44">
        <f t="shared" si="4410"/>
        <v>300910</v>
      </c>
      <c r="AY293" s="44">
        <f t="shared" si="4410"/>
        <v>300910</v>
      </c>
      <c r="AZ293" s="44">
        <f t="shared" si="4410"/>
        <v>300910</v>
      </c>
      <c r="BA293" s="44">
        <f t="shared" si="4410"/>
        <v>300910</v>
      </c>
      <c r="BB293" s="44">
        <f t="shared" si="4410"/>
        <v>300910</v>
      </c>
      <c r="BC293" s="44">
        <f t="shared" si="4410"/>
        <v>300910</v>
      </c>
      <c r="BD293" s="44">
        <f t="shared" si="4410"/>
        <v>300910</v>
      </c>
      <c r="BE293" s="44">
        <f t="shared" si="4410"/>
        <v>300910</v>
      </c>
      <c r="BF293" s="44">
        <f t="shared" si="4410"/>
        <v>300910</v>
      </c>
      <c r="BG293" s="44">
        <f t="shared" si="4410"/>
        <v>300910</v>
      </c>
      <c r="BH293" s="44">
        <f t="shared" si="4410"/>
        <v>300910</v>
      </c>
      <c r="BI293" s="44">
        <f t="shared" si="4410"/>
        <v>300910</v>
      </c>
      <c r="BJ293" s="44">
        <f t="shared" si="4410"/>
        <v>300910</v>
      </c>
      <c r="BK293" s="44">
        <f t="shared" si="4410"/>
        <v>300910</v>
      </c>
      <c r="BL293" s="44">
        <f t="shared" si="4410"/>
        <v>300910</v>
      </c>
      <c r="BM293" s="44">
        <f t="shared" si="4410"/>
        <v>300910</v>
      </c>
      <c r="BN293" s="44">
        <f t="shared" si="4410"/>
        <v>300910</v>
      </c>
      <c r="BO293" s="44">
        <f t="shared" si="4410"/>
        <v>300910</v>
      </c>
      <c r="BP293" s="44">
        <f t="shared" si="4410"/>
        <v>300910</v>
      </c>
      <c r="BQ293" s="44">
        <f t="shared" si="4410"/>
        <v>300910</v>
      </c>
      <c r="BR293" s="44">
        <f t="shared" si="4410"/>
        <v>300910</v>
      </c>
      <c r="BS293" s="44">
        <f t="shared" si="4410"/>
        <v>300910</v>
      </c>
      <c r="BT293" s="44">
        <f t="shared" si="4410"/>
        <v>300910</v>
      </c>
      <c r="BU293" s="44">
        <f t="shared" si="4410"/>
        <v>300910</v>
      </c>
      <c r="BV293" s="44">
        <f t="shared" si="4410"/>
        <v>300910</v>
      </c>
      <c r="BW293" s="44">
        <f t="shared" si="4410"/>
        <v>300910</v>
      </c>
      <c r="BX293" s="44">
        <f t="shared" si="4410"/>
        <v>300910</v>
      </c>
      <c r="BY293" s="44">
        <f t="shared" si="4410"/>
        <v>300910</v>
      </c>
      <c r="BZ293" s="44">
        <f t="shared" si="4410"/>
        <v>300910</v>
      </c>
      <c r="CA293" s="44">
        <f t="shared" si="4410"/>
        <v>300910</v>
      </c>
      <c r="CB293" s="44">
        <f t="shared" si="4410"/>
        <v>300910</v>
      </c>
      <c r="CC293" s="44">
        <f t="shared" si="4410"/>
        <v>300910</v>
      </c>
      <c r="CD293" s="44">
        <f t="shared" si="4410"/>
        <v>300910</v>
      </c>
      <c r="CE293" s="44">
        <f t="shared" si="4410"/>
        <v>300910</v>
      </c>
      <c r="CF293" s="44">
        <f t="shared" si="4410"/>
        <v>300910</v>
      </c>
      <c r="CG293" s="44">
        <f t="shared" si="4410"/>
        <v>300910</v>
      </c>
      <c r="CH293" s="44">
        <f t="shared" si="4410"/>
        <v>300910</v>
      </c>
      <c r="CI293" s="44">
        <f t="shared" si="4410"/>
        <v>300910</v>
      </c>
      <c r="CJ293" s="44">
        <f t="shared" si="4410"/>
        <v>300910</v>
      </c>
      <c r="CK293" s="44">
        <f t="shared" si="4410"/>
        <v>300910</v>
      </c>
      <c r="CL293" s="44">
        <f t="shared" si="4410"/>
        <v>300910</v>
      </c>
      <c r="CM293" s="44">
        <f t="shared" si="4410"/>
        <v>300910</v>
      </c>
      <c r="CN293" s="44">
        <f t="shared" si="4410"/>
        <v>300910</v>
      </c>
      <c r="CO293" s="44">
        <f t="shared" si="4410"/>
        <v>300910</v>
      </c>
      <c r="CP293" s="44">
        <f t="shared" ref="CP293" si="4411">CO293</f>
        <v>300910</v>
      </c>
      <c r="CQ293" s="44">
        <f t="shared" ref="CQ293" si="4412">CP293</f>
        <v>300910</v>
      </c>
      <c r="CR293" s="44">
        <f t="shared" ref="CR293" si="4413">CQ293</f>
        <v>300910</v>
      </c>
      <c r="CS293" s="44">
        <f t="shared" ref="CS293" si="4414">CR293</f>
        <v>300910</v>
      </c>
      <c r="CT293" s="44">
        <f t="shared" ref="CT293" si="4415">CS293</f>
        <v>300910</v>
      </c>
      <c r="CU293" s="44">
        <f t="shared" ref="CU293" si="4416">CT293</f>
        <v>300910</v>
      </c>
      <c r="CV293" s="44">
        <f t="shared" ref="CV293" si="4417">CU293</f>
        <v>300910</v>
      </c>
      <c r="CW293" s="44">
        <f t="shared" ref="CW293" si="4418">CV293</f>
        <v>300910</v>
      </c>
      <c r="CX293" s="44">
        <f t="shared" ref="CX293" si="4419">CW293</f>
        <v>300910</v>
      </c>
      <c r="CY293" s="44">
        <f t="shared" ref="CY293" si="4420">CX293</f>
        <v>300910</v>
      </c>
      <c r="CZ293" s="44">
        <f t="shared" ref="CZ293" si="4421">CY293</f>
        <v>300910</v>
      </c>
      <c r="DA293" s="44">
        <f t="shared" ref="DA293" si="4422">CZ293</f>
        <v>300910</v>
      </c>
      <c r="DB293" s="44">
        <f t="shared" ref="DB293" si="4423">DA293</f>
        <v>300910</v>
      </c>
      <c r="DC293" s="44">
        <f t="shared" ref="DC293" si="4424">DB293</f>
        <v>300910</v>
      </c>
      <c r="DD293" s="44">
        <f t="shared" ref="DD293" si="4425">DC293</f>
        <v>300910</v>
      </c>
      <c r="DE293" s="44">
        <f t="shared" ref="DE293" si="4426">DD293</f>
        <v>300910</v>
      </c>
      <c r="DF293" s="45">
        <f t="shared" si="3929"/>
        <v>30091000</v>
      </c>
    </row>
    <row r="294" spans="1:110" s="40" customFormat="1" ht="12">
      <c r="A294" s="517"/>
      <c r="B294" s="518"/>
      <c r="C294" s="450"/>
      <c r="D294" s="451"/>
      <c r="E294" s="452"/>
      <c r="F294" s="446"/>
      <c r="G294" s="446"/>
      <c r="H294" s="447"/>
      <c r="I294" s="41"/>
      <c r="J294" s="42"/>
      <c r="K294" s="44"/>
      <c r="L294" s="44"/>
      <c r="M294" s="44"/>
      <c r="N294" s="44"/>
      <c r="O294" s="44"/>
      <c r="P294" s="44"/>
      <c r="Q294" s="44"/>
      <c r="R294" s="44"/>
      <c r="S294" s="44"/>
      <c r="T294" s="44"/>
      <c r="U294" s="44"/>
      <c r="V294" s="44"/>
      <c r="W294" s="44"/>
      <c r="X294" s="44"/>
      <c r="Y294" s="44"/>
      <c r="Z294" s="44"/>
      <c r="AA294" s="44"/>
      <c r="AB294" s="44"/>
      <c r="AC294" s="44"/>
      <c r="AD294" s="44"/>
      <c r="AE294" s="44"/>
      <c r="AF294" s="44"/>
      <c r="AG294" s="44"/>
      <c r="AH294" s="44"/>
      <c r="AI294" s="44"/>
      <c r="AJ294" s="44"/>
      <c r="AK294" s="44"/>
      <c r="AL294" s="44"/>
      <c r="AM294" s="44"/>
      <c r="AN294" s="44"/>
      <c r="AO294" s="44"/>
      <c r="AP294" s="44"/>
      <c r="AQ294" s="44"/>
      <c r="AR294" s="44"/>
      <c r="AS294" s="44"/>
      <c r="AT294" s="44"/>
      <c r="AU294" s="44"/>
      <c r="AV294" s="44"/>
      <c r="AW294" s="44"/>
      <c r="AX294" s="44"/>
      <c r="AY294" s="44"/>
      <c r="AZ294" s="44"/>
      <c r="BA294" s="44"/>
      <c r="BB294" s="44"/>
      <c r="BC294" s="44"/>
      <c r="BD294" s="44"/>
      <c r="BE294" s="44"/>
      <c r="BF294" s="44"/>
      <c r="BG294" s="44"/>
      <c r="BH294" s="44"/>
      <c r="BI294" s="44"/>
      <c r="BJ294" s="44"/>
      <c r="BK294" s="44"/>
      <c r="BL294" s="44"/>
      <c r="BM294" s="44"/>
      <c r="BN294" s="44"/>
      <c r="BO294" s="44"/>
      <c r="BP294" s="44"/>
      <c r="BQ294" s="44"/>
      <c r="BR294" s="44"/>
      <c r="BS294" s="44"/>
      <c r="BT294" s="44"/>
      <c r="BU294" s="44"/>
      <c r="BV294" s="44"/>
      <c r="BW294" s="44"/>
      <c r="BX294" s="44"/>
      <c r="BY294" s="44"/>
      <c r="BZ294" s="44"/>
      <c r="CA294" s="44"/>
      <c r="CB294" s="44"/>
      <c r="CC294" s="44"/>
      <c r="CD294" s="44"/>
      <c r="CE294" s="44"/>
      <c r="CF294" s="44"/>
      <c r="CG294" s="44"/>
      <c r="CH294" s="44"/>
      <c r="CI294" s="44"/>
      <c r="CJ294" s="44"/>
      <c r="CK294" s="44"/>
      <c r="CL294" s="44"/>
      <c r="CM294" s="44"/>
      <c r="CN294" s="44"/>
      <c r="CO294" s="44"/>
      <c r="CP294" s="44"/>
      <c r="CQ294" s="44"/>
      <c r="CR294" s="44"/>
      <c r="CS294" s="44"/>
      <c r="CT294" s="44"/>
      <c r="CU294" s="44"/>
      <c r="CV294" s="44"/>
      <c r="CW294" s="44"/>
      <c r="CX294" s="44"/>
      <c r="CY294" s="44"/>
      <c r="CZ294" s="44"/>
      <c r="DA294" s="44"/>
      <c r="DB294" s="44"/>
      <c r="DC294" s="44"/>
      <c r="DD294" s="44"/>
      <c r="DE294" s="44"/>
      <c r="DF294" s="45">
        <f t="shared" si="3929"/>
        <v>0</v>
      </c>
    </row>
    <row r="295" spans="1:110" s="52" customFormat="1" ht="12">
      <c r="A295" s="516">
        <v>149</v>
      </c>
      <c r="B295" s="456" t="s">
        <v>282</v>
      </c>
      <c r="C295" s="457" t="s">
        <v>283</v>
      </c>
      <c r="D295" s="458" t="s">
        <v>523</v>
      </c>
      <c r="E295" s="459" t="s">
        <v>509</v>
      </c>
      <c r="F295" s="453">
        <v>33.5</v>
      </c>
      <c r="G295" s="453">
        <v>16</v>
      </c>
      <c r="H295" s="447">
        <f>F295*G295*365</f>
        <v>195640</v>
      </c>
      <c r="I295" s="219">
        <v>56552.19</v>
      </c>
      <c r="J295" s="42">
        <f>ROUND(G295*F295*365/4,0)</f>
        <v>48910</v>
      </c>
      <c r="K295" s="42">
        <f>J295</f>
        <v>48910</v>
      </c>
      <c r="L295" s="43">
        <f>K295</f>
        <v>48910</v>
      </c>
      <c r="M295" s="42">
        <f>L295</f>
        <v>48910</v>
      </c>
      <c r="N295" s="44">
        <f>ROUND(M295*(1+取值表!$D$14)*取值表!$H$14,0)</f>
        <v>48326</v>
      </c>
      <c r="O295" s="42">
        <f>N295</f>
        <v>48326</v>
      </c>
      <c r="P295" s="42">
        <f>O295</f>
        <v>48326</v>
      </c>
      <c r="Q295" s="42">
        <f>P295</f>
        <v>48326</v>
      </c>
      <c r="R295" s="44">
        <f>ROUND(Q295*(1+取值表!$D$14)*取值表!$H$14,0)</f>
        <v>47749</v>
      </c>
      <c r="S295" s="42">
        <f t="shared" ref="S295:U295" si="4427">R295</f>
        <v>47749</v>
      </c>
      <c r="T295" s="42">
        <f t="shared" si="4427"/>
        <v>47749</v>
      </c>
      <c r="U295" s="42">
        <f t="shared" si="4427"/>
        <v>47749</v>
      </c>
      <c r="V295" s="44">
        <f>ROUND(U295*(1+取值表!$D$14)*取值表!$H$14,0)</f>
        <v>47179</v>
      </c>
      <c r="W295" s="42">
        <f t="shared" ref="W295:Y295" si="4428">V295</f>
        <v>47179</v>
      </c>
      <c r="X295" s="42">
        <f t="shared" si="4428"/>
        <v>47179</v>
      </c>
      <c r="Y295" s="42">
        <f t="shared" si="4428"/>
        <v>47179</v>
      </c>
      <c r="Z295" s="44">
        <f>ROUND(Y295*(1+取值表!$D$14)*取值表!$H$14,0)</f>
        <v>46616</v>
      </c>
      <c r="AA295" s="42">
        <f t="shared" ref="AA295:AC295" si="4429">Z295</f>
        <v>46616</v>
      </c>
      <c r="AB295" s="42">
        <f t="shared" si="4429"/>
        <v>46616</v>
      </c>
      <c r="AC295" s="42">
        <f t="shared" si="4429"/>
        <v>46616</v>
      </c>
      <c r="AD295" s="44">
        <f>ROUND(AC295*(1+取值表!$D$14)*取值表!$H$14,0)</f>
        <v>46060</v>
      </c>
      <c r="AE295" s="42">
        <f t="shared" ref="AE295:AG295" si="4430">AD295</f>
        <v>46060</v>
      </c>
      <c r="AF295" s="42">
        <f t="shared" si="4430"/>
        <v>46060</v>
      </c>
      <c r="AG295" s="42">
        <f t="shared" si="4430"/>
        <v>46060</v>
      </c>
      <c r="AH295" s="44">
        <f>ROUND(AG295*(1+取值表!$D$14)*取值表!$H$14,0)</f>
        <v>45510</v>
      </c>
      <c r="AI295" s="42">
        <f t="shared" ref="AI295:AK295" si="4431">AH295</f>
        <v>45510</v>
      </c>
      <c r="AJ295" s="42">
        <f t="shared" si="4431"/>
        <v>45510</v>
      </c>
      <c r="AK295" s="42">
        <f t="shared" si="4431"/>
        <v>45510</v>
      </c>
      <c r="AL295" s="44">
        <f>ROUND(AK295*(1+取值表!$D$14)*取值表!$H$14,0)</f>
        <v>44967</v>
      </c>
      <c r="AM295" s="42">
        <f t="shared" ref="AM295:AO295" si="4432">AL295</f>
        <v>44967</v>
      </c>
      <c r="AN295" s="42">
        <f t="shared" si="4432"/>
        <v>44967</v>
      </c>
      <c r="AO295" s="42">
        <f t="shared" si="4432"/>
        <v>44967</v>
      </c>
      <c r="AP295" s="44">
        <f>ROUND(AO295*(1+取值表!$D$14)*取值表!$H$14,0)</f>
        <v>44430</v>
      </c>
      <c r="AQ295" s="42">
        <f t="shared" ref="AQ295:AS295" si="4433">AP295</f>
        <v>44430</v>
      </c>
      <c r="AR295" s="42">
        <f t="shared" si="4433"/>
        <v>44430</v>
      </c>
      <c r="AS295" s="42">
        <f t="shared" si="4433"/>
        <v>44430</v>
      </c>
      <c r="AT295" s="44">
        <f>ROUND(AS295*(1+取值表!$D$14)*取值表!$H$14,0)</f>
        <v>43900</v>
      </c>
      <c r="AU295" s="42">
        <f t="shared" ref="AU295:AW295" si="4434">AT295</f>
        <v>43900</v>
      </c>
      <c r="AV295" s="42">
        <f t="shared" si="4434"/>
        <v>43900</v>
      </c>
      <c r="AW295" s="42">
        <f t="shared" si="4434"/>
        <v>43900</v>
      </c>
      <c r="AX295" s="44">
        <f>ROUND(AW295*(1+取值表!$D$14)*取值表!$H$14,0)</f>
        <v>43376</v>
      </c>
      <c r="AY295" s="42">
        <f t="shared" ref="AY295:BA295" si="4435">AX295</f>
        <v>43376</v>
      </c>
      <c r="AZ295" s="42">
        <f t="shared" si="4435"/>
        <v>43376</v>
      </c>
      <c r="BA295" s="42">
        <f t="shared" si="4435"/>
        <v>43376</v>
      </c>
      <c r="BB295" s="44">
        <f>ROUND(BA295*(1+取值表!$D$14)*取值表!$H$14,0)</f>
        <v>42858</v>
      </c>
      <c r="BC295" s="42">
        <f t="shared" ref="BC295:BE295" si="4436">BB295</f>
        <v>42858</v>
      </c>
      <c r="BD295" s="42">
        <f t="shared" si="4436"/>
        <v>42858</v>
      </c>
      <c r="BE295" s="42">
        <f t="shared" si="4436"/>
        <v>42858</v>
      </c>
      <c r="BF295" s="44">
        <f>ROUND(BE295*(1+取值表!$D$14)*取值表!$H$14,0)</f>
        <v>42347</v>
      </c>
      <c r="BG295" s="42">
        <f t="shared" ref="BG295:BI295" si="4437">BF295</f>
        <v>42347</v>
      </c>
      <c r="BH295" s="42">
        <f t="shared" si="4437"/>
        <v>42347</v>
      </c>
      <c r="BI295" s="42">
        <f t="shared" si="4437"/>
        <v>42347</v>
      </c>
      <c r="BJ295" s="44">
        <f>ROUND(BI295*(1+取值表!$D$14)*取值表!$H$14,0)</f>
        <v>41842</v>
      </c>
      <c r="BK295" s="42">
        <f t="shared" ref="BK295:BM295" si="4438">BJ295</f>
        <v>41842</v>
      </c>
      <c r="BL295" s="42">
        <f t="shared" si="4438"/>
        <v>41842</v>
      </c>
      <c r="BM295" s="42">
        <f t="shared" si="4438"/>
        <v>41842</v>
      </c>
      <c r="BN295" s="44">
        <f>ROUND(BM295*(1+取值表!$D$14)*取值表!$H$14,0)</f>
        <v>41343</v>
      </c>
      <c r="BO295" s="42">
        <f t="shared" ref="BO295:BQ295" si="4439">BN295</f>
        <v>41343</v>
      </c>
      <c r="BP295" s="42">
        <f t="shared" si="4439"/>
        <v>41343</v>
      </c>
      <c r="BQ295" s="42">
        <f t="shared" si="4439"/>
        <v>41343</v>
      </c>
      <c r="BR295" s="44">
        <f>ROUND(BQ295*(1+取值表!$D$14)*取值表!$H$14,0)</f>
        <v>40850</v>
      </c>
      <c r="BS295" s="42">
        <f t="shared" ref="BS295:BU295" si="4440">BR295</f>
        <v>40850</v>
      </c>
      <c r="BT295" s="42">
        <f t="shared" si="4440"/>
        <v>40850</v>
      </c>
      <c r="BU295" s="42">
        <f t="shared" si="4440"/>
        <v>40850</v>
      </c>
      <c r="BV295" s="44">
        <f>ROUND(BU295*(1+取值表!$D$14)*取值表!$H$14,0)</f>
        <v>40362</v>
      </c>
      <c r="BW295" s="42">
        <f t="shared" ref="BW295:BY295" si="4441">BV295</f>
        <v>40362</v>
      </c>
      <c r="BX295" s="42">
        <f t="shared" si="4441"/>
        <v>40362</v>
      </c>
      <c r="BY295" s="42">
        <f t="shared" si="4441"/>
        <v>40362</v>
      </c>
      <c r="BZ295" s="44">
        <f>ROUND(BY295*(1+取值表!$D$14)*取值表!$H$14,0)</f>
        <v>39880</v>
      </c>
      <c r="CA295" s="42">
        <f t="shared" ref="CA295:CC295" si="4442">BZ295</f>
        <v>39880</v>
      </c>
      <c r="CB295" s="42">
        <f t="shared" si="4442"/>
        <v>39880</v>
      </c>
      <c r="CC295" s="42">
        <f t="shared" si="4442"/>
        <v>39880</v>
      </c>
      <c r="CD295" s="44">
        <f>ROUND(CC295*(1+取值表!$D$14)*取值表!$H$14,0)</f>
        <v>39404</v>
      </c>
      <c r="CE295" s="42">
        <f t="shared" ref="CE295:CG295" si="4443">CD295</f>
        <v>39404</v>
      </c>
      <c r="CF295" s="42">
        <f t="shared" si="4443"/>
        <v>39404</v>
      </c>
      <c r="CG295" s="42">
        <f t="shared" si="4443"/>
        <v>39404</v>
      </c>
      <c r="CH295" s="44">
        <f>ROUND(CG295*(1+取值表!$D$14)*取值表!$H$14,0)</f>
        <v>38934</v>
      </c>
      <c r="CI295" s="42">
        <f t="shared" ref="CI295:CK295" si="4444">CH295</f>
        <v>38934</v>
      </c>
      <c r="CJ295" s="42">
        <f t="shared" si="4444"/>
        <v>38934</v>
      </c>
      <c r="CK295" s="42">
        <f t="shared" si="4444"/>
        <v>38934</v>
      </c>
      <c r="CL295" s="44">
        <f>ROUND(CK295*(1+取值表!$D$14)*取值表!$H$14,0)</f>
        <v>38469</v>
      </c>
      <c r="CM295" s="42">
        <f t="shared" ref="CM295:CO295" si="4445">CL295</f>
        <v>38469</v>
      </c>
      <c r="CN295" s="42">
        <f t="shared" si="4445"/>
        <v>38469</v>
      </c>
      <c r="CO295" s="42">
        <f t="shared" si="4445"/>
        <v>38469</v>
      </c>
      <c r="CP295" s="44">
        <f>ROUND(CO295*(1+取值表!$D$14)*取值表!$H$14,0)</f>
        <v>38010</v>
      </c>
      <c r="CQ295" s="42">
        <f t="shared" ref="CQ295" si="4446">CP295</f>
        <v>38010</v>
      </c>
      <c r="CR295" s="42">
        <f t="shared" ref="CR295" si="4447">CQ295</f>
        <v>38010</v>
      </c>
      <c r="CS295" s="42">
        <f t="shared" ref="CS295" si="4448">CR295</f>
        <v>38010</v>
      </c>
      <c r="CT295" s="44">
        <f>ROUND(CS295*(1+取值表!$D$14)*取值表!$H$14,0)</f>
        <v>37556</v>
      </c>
      <c r="CU295" s="42">
        <f t="shared" ref="CU295" si="4449">CT295</f>
        <v>37556</v>
      </c>
      <c r="CV295" s="42">
        <f t="shared" ref="CV295" si="4450">CU295</f>
        <v>37556</v>
      </c>
      <c r="CW295" s="42">
        <f t="shared" ref="CW295" si="4451">CV295</f>
        <v>37556</v>
      </c>
      <c r="CX295" s="44">
        <f>ROUND(CW295*(1+取值表!$D$14)*取值表!$H$14,0)</f>
        <v>37108</v>
      </c>
      <c r="CY295" s="42">
        <f t="shared" ref="CY295" si="4452">CX295</f>
        <v>37108</v>
      </c>
      <c r="CZ295" s="42">
        <f t="shared" ref="CZ295" si="4453">CY295</f>
        <v>37108</v>
      </c>
      <c r="DA295" s="42">
        <f t="shared" ref="DA295" si="4454">CZ295</f>
        <v>37108</v>
      </c>
      <c r="DB295" s="44">
        <f>ROUND(DA295*(1+取值表!$D$14)*取值表!$H$14,0)</f>
        <v>36665</v>
      </c>
      <c r="DC295" s="42">
        <f t="shared" ref="DC295" si="4455">DB295</f>
        <v>36665</v>
      </c>
      <c r="DD295" s="42">
        <f t="shared" ref="DD295" si="4456">DC295</f>
        <v>36665</v>
      </c>
      <c r="DE295" s="42">
        <f t="shared" ref="DE295" si="4457">DD295</f>
        <v>36665</v>
      </c>
      <c r="DF295" s="45">
        <f t="shared" si="3929"/>
        <v>4250604</v>
      </c>
    </row>
    <row r="296" spans="1:110" s="52" customFormat="1" ht="12">
      <c r="A296" s="517"/>
      <c r="B296" s="456"/>
      <c r="C296" s="457"/>
      <c r="D296" s="458"/>
      <c r="E296" s="459"/>
      <c r="F296" s="453"/>
      <c r="G296" s="453"/>
      <c r="H296" s="447"/>
      <c r="I296" s="219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  <c r="DB296" s="42"/>
      <c r="DC296" s="42"/>
      <c r="DD296" s="42"/>
      <c r="DE296" s="42"/>
      <c r="DF296" s="45">
        <f t="shared" si="3929"/>
        <v>0</v>
      </c>
    </row>
    <row r="297" spans="1:110" s="40" customFormat="1" ht="12" customHeight="1">
      <c r="A297" s="516">
        <v>150</v>
      </c>
      <c r="B297" s="518" t="s">
        <v>284</v>
      </c>
      <c r="C297" s="450" t="s">
        <v>285</v>
      </c>
      <c r="D297" s="451" t="s">
        <v>524</v>
      </c>
      <c r="E297" s="452" t="s">
        <v>509</v>
      </c>
      <c r="F297" s="446">
        <v>112.94</v>
      </c>
      <c r="G297" s="446">
        <v>14.5</v>
      </c>
      <c r="H297" s="447">
        <f>F297*G297*365</f>
        <v>597734.94999999995</v>
      </c>
      <c r="I297" s="41">
        <v>149433.74</v>
      </c>
      <c r="J297" s="42">
        <f>ROUND(G297*F297*365/4,0)</f>
        <v>149434</v>
      </c>
      <c r="K297" s="44">
        <f t="shared" ref="K297:S297" si="4458">J297</f>
        <v>149434</v>
      </c>
      <c r="L297" s="44">
        <f t="shared" si="4458"/>
        <v>149434</v>
      </c>
      <c r="M297" s="44">
        <f t="shared" si="4458"/>
        <v>149434</v>
      </c>
      <c r="N297" s="44">
        <f t="shared" si="4458"/>
        <v>149434</v>
      </c>
      <c r="O297" s="44">
        <f t="shared" si="4458"/>
        <v>149434</v>
      </c>
      <c r="P297" s="44">
        <f t="shared" si="4458"/>
        <v>149434</v>
      </c>
      <c r="Q297" s="44">
        <f t="shared" si="4458"/>
        <v>149434</v>
      </c>
      <c r="R297" s="44">
        <f t="shared" si="4458"/>
        <v>149434</v>
      </c>
      <c r="S297" s="43">
        <f t="shared" si="4458"/>
        <v>149434</v>
      </c>
      <c r="T297" s="44">
        <f>S297</f>
        <v>149434</v>
      </c>
      <c r="U297" s="44">
        <f>T297</f>
        <v>149434</v>
      </c>
      <c r="V297" s="44">
        <f>ROUND(U297*(1+取值表!$D$14)*取值表!$H$14,0)</f>
        <v>147651</v>
      </c>
      <c r="W297" s="44">
        <f>V297</f>
        <v>147651</v>
      </c>
      <c r="X297" s="44">
        <f>W297</f>
        <v>147651</v>
      </c>
      <c r="Y297" s="44">
        <f>X297</f>
        <v>147651</v>
      </c>
      <c r="Z297" s="44">
        <f>ROUND(Y297*(1+取值表!$D$14)*取值表!$H$14,0)</f>
        <v>145889</v>
      </c>
      <c r="AA297" s="44">
        <f t="shared" ref="AA297:AC297" si="4459">Z297</f>
        <v>145889</v>
      </c>
      <c r="AB297" s="44">
        <f t="shared" si="4459"/>
        <v>145889</v>
      </c>
      <c r="AC297" s="44">
        <f t="shared" si="4459"/>
        <v>145889</v>
      </c>
      <c r="AD297" s="44">
        <f>ROUND(AC297*(1+取值表!$D$14)*取值表!$H$14,0)</f>
        <v>144148</v>
      </c>
      <c r="AE297" s="44">
        <f t="shared" ref="AE297:AG297" si="4460">AD297</f>
        <v>144148</v>
      </c>
      <c r="AF297" s="44">
        <f t="shared" si="4460"/>
        <v>144148</v>
      </c>
      <c r="AG297" s="44">
        <f t="shared" si="4460"/>
        <v>144148</v>
      </c>
      <c r="AH297" s="44">
        <f>ROUND(AG297*(1+取值表!$D$14)*取值表!$H$14,0)</f>
        <v>142428</v>
      </c>
      <c r="AI297" s="44">
        <f t="shared" ref="AI297:AK297" si="4461">AH297</f>
        <v>142428</v>
      </c>
      <c r="AJ297" s="44">
        <f t="shared" si="4461"/>
        <v>142428</v>
      </c>
      <c r="AK297" s="44">
        <f t="shared" si="4461"/>
        <v>142428</v>
      </c>
      <c r="AL297" s="44">
        <f>ROUND(AK297*(1+取值表!$D$14)*取值表!$H$14,0)</f>
        <v>140728</v>
      </c>
      <c r="AM297" s="44">
        <f t="shared" ref="AM297:AO297" si="4462">AL297</f>
        <v>140728</v>
      </c>
      <c r="AN297" s="44">
        <f t="shared" si="4462"/>
        <v>140728</v>
      </c>
      <c r="AO297" s="44">
        <f t="shared" si="4462"/>
        <v>140728</v>
      </c>
      <c r="AP297" s="44">
        <f>ROUND(AO297*(1+取值表!$D$14)*取值表!$H$14,0)</f>
        <v>139049</v>
      </c>
      <c r="AQ297" s="44">
        <f t="shared" ref="AQ297:AS297" si="4463">AP297</f>
        <v>139049</v>
      </c>
      <c r="AR297" s="44">
        <f t="shared" si="4463"/>
        <v>139049</v>
      </c>
      <c r="AS297" s="44">
        <f t="shared" si="4463"/>
        <v>139049</v>
      </c>
      <c r="AT297" s="44">
        <f>ROUND(AS297*(1+取值表!$D$14)*取值表!$H$14,0)</f>
        <v>137390</v>
      </c>
      <c r="AU297" s="44">
        <f t="shared" ref="AU297:AW297" si="4464">AT297</f>
        <v>137390</v>
      </c>
      <c r="AV297" s="44">
        <f t="shared" si="4464"/>
        <v>137390</v>
      </c>
      <c r="AW297" s="44">
        <f t="shared" si="4464"/>
        <v>137390</v>
      </c>
      <c r="AX297" s="44">
        <f>ROUND(AW297*(1+取值表!$D$14)*取值表!$H$14,0)</f>
        <v>135750</v>
      </c>
      <c r="AY297" s="44">
        <f t="shared" ref="AY297:BA297" si="4465">AX297</f>
        <v>135750</v>
      </c>
      <c r="AZ297" s="44">
        <f t="shared" si="4465"/>
        <v>135750</v>
      </c>
      <c r="BA297" s="44">
        <f t="shared" si="4465"/>
        <v>135750</v>
      </c>
      <c r="BB297" s="44">
        <f>ROUND(BA297*(1+取值表!$D$14)*取值表!$H$14,0)</f>
        <v>134130</v>
      </c>
      <c r="BC297" s="44">
        <f t="shared" ref="BC297:BE297" si="4466">BB297</f>
        <v>134130</v>
      </c>
      <c r="BD297" s="44">
        <f t="shared" si="4466"/>
        <v>134130</v>
      </c>
      <c r="BE297" s="44">
        <f t="shared" si="4466"/>
        <v>134130</v>
      </c>
      <c r="BF297" s="44">
        <f>ROUND(BE297*(1+取值表!$D$14)*取值表!$H$14,0)</f>
        <v>132529</v>
      </c>
      <c r="BG297" s="44">
        <f t="shared" ref="BG297:BI297" si="4467">BF297</f>
        <v>132529</v>
      </c>
      <c r="BH297" s="44">
        <f t="shared" si="4467"/>
        <v>132529</v>
      </c>
      <c r="BI297" s="44">
        <f t="shared" si="4467"/>
        <v>132529</v>
      </c>
      <c r="BJ297" s="44">
        <f>ROUND(BI297*(1+取值表!$D$14)*取值表!$H$14,0)</f>
        <v>130947</v>
      </c>
      <c r="BK297" s="44">
        <f t="shared" ref="BK297:BM297" si="4468">BJ297</f>
        <v>130947</v>
      </c>
      <c r="BL297" s="44">
        <f t="shared" si="4468"/>
        <v>130947</v>
      </c>
      <c r="BM297" s="44">
        <f t="shared" si="4468"/>
        <v>130947</v>
      </c>
      <c r="BN297" s="44">
        <f>ROUND(BM297*(1+取值表!$D$14)*取值表!$H$14,0)</f>
        <v>129384</v>
      </c>
      <c r="BO297" s="44">
        <f t="shared" ref="BO297:BQ297" si="4469">BN297</f>
        <v>129384</v>
      </c>
      <c r="BP297" s="44">
        <f t="shared" si="4469"/>
        <v>129384</v>
      </c>
      <c r="BQ297" s="44">
        <f t="shared" si="4469"/>
        <v>129384</v>
      </c>
      <c r="BR297" s="44">
        <f>ROUND(BQ297*(1+取值表!$D$14)*取值表!$H$14,0)</f>
        <v>127840</v>
      </c>
      <c r="BS297" s="44">
        <f t="shared" ref="BS297:BU297" si="4470">BR297</f>
        <v>127840</v>
      </c>
      <c r="BT297" s="44">
        <f t="shared" si="4470"/>
        <v>127840</v>
      </c>
      <c r="BU297" s="44">
        <f t="shared" si="4470"/>
        <v>127840</v>
      </c>
      <c r="BV297" s="44">
        <f>ROUND(BU297*(1+取值表!$D$14)*取值表!$H$14,0)</f>
        <v>126314</v>
      </c>
      <c r="BW297" s="44">
        <f t="shared" ref="BW297:BY297" si="4471">BV297</f>
        <v>126314</v>
      </c>
      <c r="BX297" s="44">
        <f t="shared" si="4471"/>
        <v>126314</v>
      </c>
      <c r="BY297" s="44">
        <f t="shared" si="4471"/>
        <v>126314</v>
      </c>
      <c r="BZ297" s="44">
        <f>ROUND(BY297*(1+取值表!$D$14)*取值表!$H$14,0)</f>
        <v>124807</v>
      </c>
      <c r="CA297" s="44">
        <f t="shared" ref="CA297:CC297" si="4472">BZ297</f>
        <v>124807</v>
      </c>
      <c r="CB297" s="44">
        <f t="shared" si="4472"/>
        <v>124807</v>
      </c>
      <c r="CC297" s="44">
        <f t="shared" si="4472"/>
        <v>124807</v>
      </c>
      <c r="CD297" s="44">
        <f>ROUND(CC297*(1+取值表!$D$14)*取值表!$H$14,0)</f>
        <v>123318</v>
      </c>
      <c r="CE297" s="44">
        <f t="shared" ref="CE297:CG297" si="4473">CD297</f>
        <v>123318</v>
      </c>
      <c r="CF297" s="44">
        <f t="shared" si="4473"/>
        <v>123318</v>
      </c>
      <c r="CG297" s="44">
        <f t="shared" si="4473"/>
        <v>123318</v>
      </c>
      <c r="CH297" s="44">
        <f>ROUND(CG297*(1+取值表!$D$14)*取值表!$H$14,0)</f>
        <v>121846</v>
      </c>
      <c r="CI297" s="44">
        <f t="shared" ref="CI297:CK297" si="4474">CH297</f>
        <v>121846</v>
      </c>
      <c r="CJ297" s="44">
        <f t="shared" si="4474"/>
        <v>121846</v>
      </c>
      <c r="CK297" s="44">
        <f t="shared" si="4474"/>
        <v>121846</v>
      </c>
      <c r="CL297" s="44">
        <f>ROUND(CK297*(1+取值表!$D$14)*取值表!$H$14,0)</f>
        <v>120392</v>
      </c>
      <c r="CM297" s="44">
        <f t="shared" ref="CM297:CO297" si="4475">CL297</f>
        <v>120392</v>
      </c>
      <c r="CN297" s="44">
        <f t="shared" si="4475"/>
        <v>120392</v>
      </c>
      <c r="CO297" s="44">
        <f t="shared" si="4475"/>
        <v>120392</v>
      </c>
      <c r="CP297" s="44">
        <f>ROUND(CO297*(1+取值表!$D$14)*取值表!$H$14,0)</f>
        <v>118955</v>
      </c>
      <c r="CQ297" s="44">
        <f t="shared" ref="CQ297" si="4476">CP297</f>
        <v>118955</v>
      </c>
      <c r="CR297" s="44">
        <f t="shared" ref="CR297" si="4477">CQ297</f>
        <v>118955</v>
      </c>
      <c r="CS297" s="44">
        <f t="shared" ref="CS297" si="4478">CR297</f>
        <v>118955</v>
      </c>
      <c r="CT297" s="44">
        <f>ROUND(CS297*(1+取值表!$D$14)*取值表!$H$14,0)</f>
        <v>117535</v>
      </c>
      <c r="CU297" s="44">
        <f t="shared" ref="CU297" si="4479">CT297</f>
        <v>117535</v>
      </c>
      <c r="CV297" s="44">
        <f t="shared" ref="CV297" si="4480">CU297</f>
        <v>117535</v>
      </c>
      <c r="CW297" s="44">
        <f t="shared" ref="CW297" si="4481">CV297</f>
        <v>117535</v>
      </c>
      <c r="CX297" s="44">
        <f>ROUND(CW297*(1+取值表!$D$14)*取值表!$H$14,0)</f>
        <v>116132</v>
      </c>
      <c r="CY297" s="44">
        <f t="shared" ref="CY297" si="4482">CX297</f>
        <v>116132</v>
      </c>
      <c r="CZ297" s="44">
        <f t="shared" ref="CZ297" si="4483">CY297</f>
        <v>116132</v>
      </c>
      <c r="DA297" s="44">
        <f t="shared" ref="DA297" si="4484">CZ297</f>
        <v>116132</v>
      </c>
      <c r="DB297" s="44">
        <f>ROUND(DA297*(1+取值表!$D$14)*取值表!$H$14,0)</f>
        <v>114746</v>
      </c>
      <c r="DC297" s="44">
        <f t="shared" ref="DC297" si="4485">DB297</f>
        <v>114746</v>
      </c>
      <c r="DD297" s="44">
        <f t="shared" ref="DD297" si="4486">DC297</f>
        <v>114746</v>
      </c>
      <c r="DE297" s="44">
        <f t="shared" ref="DE297" si="4487">DD297</f>
        <v>114746</v>
      </c>
      <c r="DF297" s="45">
        <f t="shared" si="3929"/>
        <v>13280840</v>
      </c>
    </row>
    <row r="298" spans="1:110" s="40" customFormat="1" ht="12">
      <c r="A298" s="517"/>
      <c r="B298" s="518"/>
      <c r="C298" s="450"/>
      <c r="D298" s="451"/>
      <c r="E298" s="452"/>
      <c r="F298" s="446"/>
      <c r="G298" s="446"/>
      <c r="H298" s="447"/>
      <c r="I298" s="41"/>
      <c r="J298" s="42"/>
      <c r="K298" s="44"/>
      <c r="L298" s="44"/>
      <c r="M298" s="44"/>
      <c r="N298" s="44"/>
      <c r="O298" s="44"/>
      <c r="P298" s="44"/>
      <c r="Q298" s="44"/>
      <c r="R298" s="44"/>
      <c r="S298" s="44"/>
      <c r="T298" s="44"/>
      <c r="U298" s="44"/>
      <c r="V298" s="44"/>
      <c r="W298" s="44"/>
      <c r="X298" s="44"/>
      <c r="Y298" s="44"/>
      <c r="Z298" s="44"/>
      <c r="AA298" s="44"/>
      <c r="AB298" s="44"/>
      <c r="AC298" s="44"/>
      <c r="AD298" s="44"/>
      <c r="AE298" s="44"/>
      <c r="AF298" s="44"/>
      <c r="AG298" s="44"/>
      <c r="AH298" s="44"/>
      <c r="AI298" s="44"/>
      <c r="AJ298" s="44"/>
      <c r="AK298" s="44"/>
      <c r="AL298" s="44"/>
      <c r="AM298" s="44"/>
      <c r="AN298" s="44"/>
      <c r="AO298" s="44"/>
      <c r="AP298" s="44"/>
      <c r="AQ298" s="44"/>
      <c r="AR298" s="44"/>
      <c r="AS298" s="44"/>
      <c r="AT298" s="44"/>
      <c r="AU298" s="44"/>
      <c r="AV298" s="44"/>
      <c r="AW298" s="44"/>
      <c r="AX298" s="44"/>
      <c r="AY298" s="44"/>
      <c r="AZ298" s="44"/>
      <c r="BA298" s="44"/>
      <c r="BB298" s="44"/>
      <c r="BC298" s="44"/>
      <c r="BD298" s="44"/>
      <c r="BE298" s="44"/>
      <c r="BF298" s="44"/>
      <c r="BG298" s="44"/>
      <c r="BH298" s="44"/>
      <c r="BI298" s="44"/>
      <c r="BJ298" s="44"/>
      <c r="BK298" s="44"/>
      <c r="BL298" s="44"/>
      <c r="BM298" s="44"/>
      <c r="BN298" s="44"/>
      <c r="BO298" s="44"/>
      <c r="BP298" s="44"/>
      <c r="BQ298" s="44"/>
      <c r="BR298" s="44"/>
      <c r="BS298" s="44"/>
      <c r="BT298" s="44"/>
      <c r="BU298" s="44"/>
      <c r="BV298" s="44"/>
      <c r="BW298" s="44"/>
      <c r="BX298" s="44"/>
      <c r="BY298" s="44"/>
      <c r="BZ298" s="44"/>
      <c r="CA298" s="44"/>
      <c r="CB298" s="44"/>
      <c r="CC298" s="44"/>
      <c r="CD298" s="44"/>
      <c r="CE298" s="44"/>
      <c r="CF298" s="44"/>
      <c r="CG298" s="44"/>
      <c r="CH298" s="44"/>
      <c r="CI298" s="44"/>
      <c r="CJ298" s="44"/>
      <c r="CK298" s="44"/>
      <c r="CL298" s="44"/>
      <c r="CM298" s="44"/>
      <c r="CN298" s="44"/>
      <c r="CO298" s="44"/>
      <c r="CP298" s="44"/>
      <c r="CQ298" s="44"/>
      <c r="CR298" s="44"/>
      <c r="CS298" s="44"/>
      <c r="CT298" s="44"/>
      <c r="CU298" s="44"/>
      <c r="CV298" s="44"/>
      <c r="CW298" s="44"/>
      <c r="CX298" s="44"/>
      <c r="CY298" s="44"/>
      <c r="CZ298" s="44"/>
      <c r="DA298" s="44"/>
      <c r="DB298" s="44"/>
      <c r="DC298" s="44"/>
      <c r="DD298" s="44"/>
      <c r="DE298" s="44"/>
      <c r="DF298" s="45">
        <f t="shared" si="3929"/>
        <v>0</v>
      </c>
    </row>
    <row r="299" spans="1:110" s="40" customFormat="1" ht="12" customHeight="1">
      <c r="A299" s="516">
        <v>151</v>
      </c>
      <c r="B299" s="518" t="s">
        <v>286</v>
      </c>
      <c r="C299" s="450" t="s">
        <v>285</v>
      </c>
      <c r="D299" s="451" t="s">
        <v>287</v>
      </c>
      <c r="E299" s="452" t="s">
        <v>509</v>
      </c>
      <c r="F299" s="446">
        <v>53.82</v>
      </c>
      <c r="G299" s="446">
        <v>15.5</v>
      </c>
      <c r="H299" s="447">
        <f>F299*G299*365</f>
        <v>304486.65000000002</v>
      </c>
      <c r="I299" s="41">
        <v>73666.13</v>
      </c>
      <c r="J299" s="42">
        <f>ROUND(G299*F299*365/4,0)</f>
        <v>76122</v>
      </c>
      <c r="K299" s="43">
        <f>J299</f>
        <v>76122</v>
      </c>
      <c r="L299" s="44">
        <f>K299</f>
        <v>76122</v>
      </c>
      <c r="M299" s="44">
        <f>L299</f>
        <v>76122</v>
      </c>
      <c r="N299" s="44">
        <f>ROUND(M299*(1+取值表!$D$14)*取值表!$H$14,0)</f>
        <v>75214</v>
      </c>
      <c r="O299" s="44">
        <f>N299</f>
        <v>75214</v>
      </c>
      <c r="P299" s="44">
        <f>O299</f>
        <v>75214</v>
      </c>
      <c r="Q299" s="44">
        <f>P299</f>
        <v>75214</v>
      </c>
      <c r="R299" s="44">
        <f>ROUND(Q299*(1+取值表!$D$14)*取值表!$H$14,0)</f>
        <v>74316</v>
      </c>
      <c r="S299" s="44">
        <f t="shared" ref="S299:U299" si="4488">R299</f>
        <v>74316</v>
      </c>
      <c r="T299" s="44">
        <f t="shared" si="4488"/>
        <v>74316</v>
      </c>
      <c r="U299" s="44">
        <f t="shared" si="4488"/>
        <v>74316</v>
      </c>
      <c r="V299" s="44">
        <f>ROUND(U299*(1+取值表!$D$14)*取值表!$H$14,0)</f>
        <v>73429</v>
      </c>
      <c r="W299" s="44">
        <f t="shared" ref="W299:Y299" si="4489">V299</f>
        <v>73429</v>
      </c>
      <c r="X299" s="44">
        <f t="shared" si="4489"/>
        <v>73429</v>
      </c>
      <c r="Y299" s="44">
        <f t="shared" si="4489"/>
        <v>73429</v>
      </c>
      <c r="Z299" s="44">
        <f>ROUND(Y299*(1+取值表!$D$14)*取值表!$H$14,0)</f>
        <v>72553</v>
      </c>
      <c r="AA299" s="44">
        <f t="shared" ref="AA299:AC299" si="4490">Z299</f>
        <v>72553</v>
      </c>
      <c r="AB299" s="44">
        <f t="shared" si="4490"/>
        <v>72553</v>
      </c>
      <c r="AC299" s="44">
        <f t="shared" si="4490"/>
        <v>72553</v>
      </c>
      <c r="AD299" s="44">
        <f>ROUND(AC299*(1+取值表!$D$14)*取值表!$H$14,0)</f>
        <v>71687</v>
      </c>
      <c r="AE299" s="44">
        <f t="shared" ref="AE299:AG299" si="4491">AD299</f>
        <v>71687</v>
      </c>
      <c r="AF299" s="44">
        <f t="shared" si="4491"/>
        <v>71687</v>
      </c>
      <c r="AG299" s="44">
        <f t="shared" si="4491"/>
        <v>71687</v>
      </c>
      <c r="AH299" s="44">
        <f>ROUND(AG299*(1+取值表!$D$14)*取值表!$H$14,0)</f>
        <v>70831</v>
      </c>
      <c r="AI299" s="44">
        <f t="shared" ref="AI299:AK299" si="4492">AH299</f>
        <v>70831</v>
      </c>
      <c r="AJ299" s="44">
        <f t="shared" si="4492"/>
        <v>70831</v>
      </c>
      <c r="AK299" s="44">
        <f t="shared" si="4492"/>
        <v>70831</v>
      </c>
      <c r="AL299" s="44">
        <f>ROUND(AK299*(1+取值表!$D$14)*取值表!$H$14,0)</f>
        <v>69986</v>
      </c>
      <c r="AM299" s="44">
        <f t="shared" ref="AM299:AO299" si="4493">AL299</f>
        <v>69986</v>
      </c>
      <c r="AN299" s="44">
        <f t="shared" si="4493"/>
        <v>69986</v>
      </c>
      <c r="AO299" s="44">
        <f t="shared" si="4493"/>
        <v>69986</v>
      </c>
      <c r="AP299" s="44">
        <f>ROUND(AO299*(1+取值表!$D$14)*取值表!$H$14,0)</f>
        <v>69151</v>
      </c>
      <c r="AQ299" s="44">
        <f t="shared" ref="AQ299:AS299" si="4494">AP299</f>
        <v>69151</v>
      </c>
      <c r="AR299" s="44">
        <f t="shared" si="4494"/>
        <v>69151</v>
      </c>
      <c r="AS299" s="44">
        <f t="shared" si="4494"/>
        <v>69151</v>
      </c>
      <c r="AT299" s="44">
        <f>ROUND(AS299*(1+取值表!$D$14)*取值表!$H$14,0)</f>
        <v>68326</v>
      </c>
      <c r="AU299" s="44">
        <f t="shared" ref="AU299:AW299" si="4495">AT299</f>
        <v>68326</v>
      </c>
      <c r="AV299" s="44">
        <f t="shared" si="4495"/>
        <v>68326</v>
      </c>
      <c r="AW299" s="44">
        <f t="shared" si="4495"/>
        <v>68326</v>
      </c>
      <c r="AX299" s="44">
        <f>ROUND(AW299*(1+取值表!$D$14)*取值表!$H$14,0)</f>
        <v>67511</v>
      </c>
      <c r="AY299" s="44">
        <f t="shared" ref="AY299:BA299" si="4496">AX299</f>
        <v>67511</v>
      </c>
      <c r="AZ299" s="44">
        <f t="shared" si="4496"/>
        <v>67511</v>
      </c>
      <c r="BA299" s="44">
        <f t="shared" si="4496"/>
        <v>67511</v>
      </c>
      <c r="BB299" s="44">
        <f>ROUND(BA299*(1+取值表!$D$14)*取值表!$H$14,0)</f>
        <v>66705</v>
      </c>
      <c r="BC299" s="44">
        <f t="shared" ref="BC299:BE299" si="4497">BB299</f>
        <v>66705</v>
      </c>
      <c r="BD299" s="44">
        <f t="shared" si="4497"/>
        <v>66705</v>
      </c>
      <c r="BE299" s="44">
        <f t="shared" si="4497"/>
        <v>66705</v>
      </c>
      <c r="BF299" s="44">
        <f>ROUND(BE299*(1+取值表!$D$14)*取值表!$H$14,0)</f>
        <v>65909</v>
      </c>
      <c r="BG299" s="44">
        <f t="shared" ref="BG299:BI299" si="4498">BF299</f>
        <v>65909</v>
      </c>
      <c r="BH299" s="44">
        <f t="shared" si="4498"/>
        <v>65909</v>
      </c>
      <c r="BI299" s="44">
        <f t="shared" si="4498"/>
        <v>65909</v>
      </c>
      <c r="BJ299" s="44">
        <f>ROUND(BI299*(1+取值表!$D$14)*取值表!$H$14,0)</f>
        <v>65122</v>
      </c>
      <c r="BK299" s="44">
        <f t="shared" ref="BK299:BM299" si="4499">BJ299</f>
        <v>65122</v>
      </c>
      <c r="BL299" s="44">
        <f t="shared" si="4499"/>
        <v>65122</v>
      </c>
      <c r="BM299" s="44">
        <f t="shared" si="4499"/>
        <v>65122</v>
      </c>
      <c r="BN299" s="44">
        <f>ROUND(BM299*(1+取值表!$D$14)*取值表!$H$14,0)</f>
        <v>64345</v>
      </c>
      <c r="BO299" s="44">
        <f t="shared" ref="BO299:BQ299" si="4500">BN299</f>
        <v>64345</v>
      </c>
      <c r="BP299" s="44">
        <f t="shared" si="4500"/>
        <v>64345</v>
      </c>
      <c r="BQ299" s="44">
        <f t="shared" si="4500"/>
        <v>64345</v>
      </c>
      <c r="BR299" s="44">
        <f>ROUND(BQ299*(1+取值表!$D$14)*取值表!$H$14,0)</f>
        <v>63577</v>
      </c>
      <c r="BS299" s="44">
        <f t="shared" ref="BS299:BU299" si="4501">BR299</f>
        <v>63577</v>
      </c>
      <c r="BT299" s="44">
        <f t="shared" si="4501"/>
        <v>63577</v>
      </c>
      <c r="BU299" s="44">
        <f t="shared" si="4501"/>
        <v>63577</v>
      </c>
      <c r="BV299" s="44">
        <f>ROUND(BU299*(1+取值表!$D$14)*取值表!$H$14,0)</f>
        <v>62818</v>
      </c>
      <c r="BW299" s="44">
        <f t="shared" ref="BW299:BY299" si="4502">BV299</f>
        <v>62818</v>
      </c>
      <c r="BX299" s="44">
        <f t="shared" si="4502"/>
        <v>62818</v>
      </c>
      <c r="BY299" s="44">
        <f t="shared" si="4502"/>
        <v>62818</v>
      </c>
      <c r="BZ299" s="44">
        <f>ROUND(BY299*(1+取值表!$D$14)*取值表!$H$14,0)</f>
        <v>62068</v>
      </c>
      <c r="CA299" s="44">
        <f t="shared" ref="CA299:CC299" si="4503">BZ299</f>
        <v>62068</v>
      </c>
      <c r="CB299" s="44">
        <f t="shared" si="4503"/>
        <v>62068</v>
      </c>
      <c r="CC299" s="44">
        <f t="shared" si="4503"/>
        <v>62068</v>
      </c>
      <c r="CD299" s="44">
        <f>ROUND(CC299*(1+取值表!$D$14)*取值表!$H$14,0)</f>
        <v>61327</v>
      </c>
      <c r="CE299" s="44">
        <f t="shared" ref="CE299:CG299" si="4504">CD299</f>
        <v>61327</v>
      </c>
      <c r="CF299" s="44">
        <f t="shared" si="4504"/>
        <v>61327</v>
      </c>
      <c r="CG299" s="44">
        <f t="shared" si="4504"/>
        <v>61327</v>
      </c>
      <c r="CH299" s="44">
        <f>ROUND(CG299*(1+取值表!$D$14)*取值表!$H$14,0)</f>
        <v>60595</v>
      </c>
      <c r="CI299" s="44">
        <f t="shared" ref="CI299:CK299" si="4505">CH299</f>
        <v>60595</v>
      </c>
      <c r="CJ299" s="44">
        <f t="shared" si="4505"/>
        <v>60595</v>
      </c>
      <c r="CK299" s="44">
        <f t="shared" si="4505"/>
        <v>60595</v>
      </c>
      <c r="CL299" s="44">
        <f>ROUND(CK299*(1+取值表!$D$14)*取值表!$H$14,0)</f>
        <v>59872</v>
      </c>
      <c r="CM299" s="44">
        <f t="shared" ref="CM299:CO299" si="4506">CL299</f>
        <v>59872</v>
      </c>
      <c r="CN299" s="44">
        <f t="shared" si="4506"/>
        <v>59872</v>
      </c>
      <c r="CO299" s="44">
        <f t="shared" si="4506"/>
        <v>59872</v>
      </c>
      <c r="CP299" s="44">
        <f>ROUND(CO299*(1+取值表!$D$14)*取值表!$H$14,0)</f>
        <v>59157</v>
      </c>
      <c r="CQ299" s="44">
        <f t="shared" ref="CQ299" si="4507">CP299</f>
        <v>59157</v>
      </c>
      <c r="CR299" s="44">
        <f t="shared" ref="CR299" si="4508">CQ299</f>
        <v>59157</v>
      </c>
      <c r="CS299" s="44">
        <f t="shared" ref="CS299" si="4509">CR299</f>
        <v>59157</v>
      </c>
      <c r="CT299" s="44">
        <f>ROUND(CS299*(1+取值表!$D$14)*取值表!$H$14,0)</f>
        <v>58451</v>
      </c>
      <c r="CU299" s="44">
        <f t="shared" ref="CU299" si="4510">CT299</f>
        <v>58451</v>
      </c>
      <c r="CV299" s="44">
        <f t="shared" ref="CV299" si="4511">CU299</f>
        <v>58451</v>
      </c>
      <c r="CW299" s="44">
        <f t="shared" ref="CW299" si="4512">CV299</f>
        <v>58451</v>
      </c>
      <c r="CX299" s="44">
        <f>ROUND(CW299*(1+取值表!$D$14)*取值表!$H$14,0)</f>
        <v>57753</v>
      </c>
      <c r="CY299" s="44">
        <f t="shared" ref="CY299" si="4513">CX299</f>
        <v>57753</v>
      </c>
      <c r="CZ299" s="44">
        <f t="shared" ref="CZ299" si="4514">CY299</f>
        <v>57753</v>
      </c>
      <c r="DA299" s="44">
        <f t="shared" ref="DA299" si="4515">CZ299</f>
        <v>57753</v>
      </c>
      <c r="DB299" s="44">
        <f>ROUND(DA299*(1+取值表!$D$14)*取值表!$H$14,0)</f>
        <v>57064</v>
      </c>
      <c r="DC299" s="44">
        <f t="shared" ref="DC299" si="4516">DB299</f>
        <v>57064</v>
      </c>
      <c r="DD299" s="44">
        <f t="shared" ref="DD299" si="4517">DC299</f>
        <v>57064</v>
      </c>
      <c r="DE299" s="44">
        <f t="shared" ref="DE299" si="4518">DD299</f>
        <v>57064</v>
      </c>
      <c r="DF299" s="45">
        <f t="shared" si="3929"/>
        <v>6615556</v>
      </c>
    </row>
    <row r="300" spans="1:110" s="40" customFormat="1" ht="12">
      <c r="A300" s="517"/>
      <c r="B300" s="518"/>
      <c r="C300" s="450"/>
      <c r="D300" s="451"/>
      <c r="E300" s="452"/>
      <c r="F300" s="446"/>
      <c r="G300" s="446"/>
      <c r="H300" s="447"/>
      <c r="I300" s="41"/>
      <c r="J300" s="42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44"/>
      <c r="Y300" s="44"/>
      <c r="Z300" s="44"/>
      <c r="AA300" s="44"/>
      <c r="AB300" s="44"/>
      <c r="AC300" s="44"/>
      <c r="AD300" s="44"/>
      <c r="AE300" s="44"/>
      <c r="AF300" s="44"/>
      <c r="AG300" s="44"/>
      <c r="AH300" s="44"/>
      <c r="AI300" s="44"/>
      <c r="AJ300" s="44"/>
      <c r="AK300" s="44"/>
      <c r="AL300" s="44"/>
      <c r="AM300" s="44"/>
      <c r="AN300" s="44"/>
      <c r="AO300" s="44"/>
      <c r="AP300" s="44"/>
      <c r="AQ300" s="44"/>
      <c r="AR300" s="44"/>
      <c r="AS300" s="44"/>
      <c r="AT300" s="44"/>
      <c r="AU300" s="44"/>
      <c r="AV300" s="44"/>
      <c r="AW300" s="44"/>
      <c r="AX300" s="44"/>
      <c r="AY300" s="44"/>
      <c r="AZ300" s="44"/>
      <c r="BA300" s="44"/>
      <c r="BB300" s="44"/>
      <c r="BC300" s="44"/>
      <c r="BD300" s="44"/>
      <c r="BE300" s="44"/>
      <c r="BF300" s="44"/>
      <c r="BG300" s="44"/>
      <c r="BH300" s="44"/>
      <c r="BI300" s="44"/>
      <c r="BJ300" s="44"/>
      <c r="BK300" s="44"/>
      <c r="BL300" s="44"/>
      <c r="BM300" s="44"/>
      <c r="BN300" s="44"/>
      <c r="BO300" s="44"/>
      <c r="BP300" s="44"/>
      <c r="BQ300" s="44"/>
      <c r="BR300" s="44"/>
      <c r="BS300" s="44"/>
      <c r="BT300" s="44"/>
      <c r="BU300" s="44"/>
      <c r="BV300" s="44"/>
      <c r="BW300" s="44"/>
      <c r="BX300" s="44"/>
      <c r="BY300" s="44"/>
      <c r="BZ300" s="44"/>
      <c r="CA300" s="44"/>
      <c r="CB300" s="44"/>
      <c r="CC300" s="44"/>
      <c r="CD300" s="44"/>
      <c r="CE300" s="44"/>
      <c r="CF300" s="44"/>
      <c r="CG300" s="44"/>
      <c r="CH300" s="44"/>
      <c r="CI300" s="44"/>
      <c r="CJ300" s="44"/>
      <c r="CK300" s="44"/>
      <c r="CL300" s="44"/>
      <c r="CM300" s="44"/>
      <c r="CN300" s="44"/>
      <c r="CO300" s="44"/>
      <c r="CP300" s="44"/>
      <c r="CQ300" s="44"/>
      <c r="CR300" s="44"/>
      <c r="CS300" s="44"/>
      <c r="CT300" s="44"/>
      <c r="CU300" s="44"/>
      <c r="CV300" s="44"/>
      <c r="CW300" s="44"/>
      <c r="CX300" s="44"/>
      <c r="CY300" s="44"/>
      <c r="CZ300" s="44"/>
      <c r="DA300" s="44"/>
      <c r="DB300" s="44"/>
      <c r="DC300" s="44"/>
      <c r="DD300" s="44"/>
      <c r="DE300" s="44"/>
      <c r="DF300" s="45">
        <f t="shared" si="3929"/>
        <v>0</v>
      </c>
    </row>
    <row r="301" spans="1:110" s="40" customFormat="1" ht="12">
      <c r="A301" s="516">
        <v>152</v>
      </c>
      <c r="B301" s="518" t="s">
        <v>288</v>
      </c>
      <c r="C301" s="450" t="s">
        <v>17</v>
      </c>
      <c r="D301" s="451" t="s">
        <v>188</v>
      </c>
      <c r="E301" s="452" t="s">
        <v>509</v>
      </c>
      <c r="F301" s="446">
        <v>27.63</v>
      </c>
      <c r="G301" s="446">
        <v>17</v>
      </c>
      <c r="H301" s="447">
        <f>F301*G301*365</f>
        <v>171444.15</v>
      </c>
      <c r="I301" s="41">
        <v>42861.04</v>
      </c>
      <c r="J301" s="42">
        <f>ROUND(G301*F301*365/4,0)</f>
        <v>42861</v>
      </c>
      <c r="K301" s="44">
        <f>J301</f>
        <v>42861</v>
      </c>
      <c r="L301" s="43">
        <f>K301</f>
        <v>42861</v>
      </c>
      <c r="M301" s="44">
        <f>L301</f>
        <v>42861</v>
      </c>
      <c r="N301" s="44">
        <f>ROUND(M301*(1+取值表!$D$14)*取值表!$H$14,0)</f>
        <v>42349</v>
      </c>
      <c r="O301" s="44">
        <f>N301</f>
        <v>42349</v>
      </c>
      <c r="P301" s="44">
        <f>O301</f>
        <v>42349</v>
      </c>
      <c r="Q301" s="44">
        <f>P301</f>
        <v>42349</v>
      </c>
      <c r="R301" s="44">
        <f>ROUND(Q301*(1+取值表!$D$14)*取值表!$H$14,0)</f>
        <v>41844</v>
      </c>
      <c r="S301" s="44">
        <f t="shared" ref="S301:U301" si="4519">R301</f>
        <v>41844</v>
      </c>
      <c r="T301" s="44">
        <f t="shared" si="4519"/>
        <v>41844</v>
      </c>
      <c r="U301" s="44">
        <f t="shared" si="4519"/>
        <v>41844</v>
      </c>
      <c r="V301" s="44">
        <f>ROUND(U301*(1+取值表!$D$14)*取值表!$H$14,0)</f>
        <v>41345</v>
      </c>
      <c r="W301" s="44">
        <f t="shared" ref="W301:Y301" si="4520">V301</f>
        <v>41345</v>
      </c>
      <c r="X301" s="44">
        <f t="shared" si="4520"/>
        <v>41345</v>
      </c>
      <c r="Y301" s="44">
        <f t="shared" si="4520"/>
        <v>41345</v>
      </c>
      <c r="Z301" s="44">
        <f>ROUND(Y301*(1+取值表!$D$14)*取值表!$H$14,0)</f>
        <v>40852</v>
      </c>
      <c r="AA301" s="44">
        <f t="shared" ref="AA301:AC301" si="4521">Z301</f>
        <v>40852</v>
      </c>
      <c r="AB301" s="44">
        <f t="shared" si="4521"/>
        <v>40852</v>
      </c>
      <c r="AC301" s="44">
        <f t="shared" si="4521"/>
        <v>40852</v>
      </c>
      <c r="AD301" s="44">
        <f>ROUND(AC301*(1+取值表!$D$14)*取值表!$H$14,0)</f>
        <v>40364</v>
      </c>
      <c r="AE301" s="44">
        <f t="shared" ref="AE301:AG301" si="4522">AD301</f>
        <v>40364</v>
      </c>
      <c r="AF301" s="44">
        <f t="shared" si="4522"/>
        <v>40364</v>
      </c>
      <c r="AG301" s="44">
        <f t="shared" si="4522"/>
        <v>40364</v>
      </c>
      <c r="AH301" s="44">
        <f>ROUND(AG301*(1+取值表!$D$14)*取值表!$H$14,0)</f>
        <v>39882</v>
      </c>
      <c r="AI301" s="44">
        <f t="shared" ref="AI301:AK301" si="4523">AH301</f>
        <v>39882</v>
      </c>
      <c r="AJ301" s="44">
        <f t="shared" si="4523"/>
        <v>39882</v>
      </c>
      <c r="AK301" s="44">
        <f t="shared" si="4523"/>
        <v>39882</v>
      </c>
      <c r="AL301" s="44">
        <f>ROUND(AK301*(1+取值表!$D$14)*取值表!$H$14,0)</f>
        <v>39406</v>
      </c>
      <c r="AM301" s="44">
        <f t="shared" ref="AM301:AO301" si="4524">AL301</f>
        <v>39406</v>
      </c>
      <c r="AN301" s="44">
        <f t="shared" si="4524"/>
        <v>39406</v>
      </c>
      <c r="AO301" s="44">
        <f t="shared" si="4524"/>
        <v>39406</v>
      </c>
      <c r="AP301" s="44">
        <f>ROUND(AO301*(1+取值表!$D$14)*取值表!$H$14,0)</f>
        <v>38936</v>
      </c>
      <c r="AQ301" s="44">
        <f t="shared" ref="AQ301:AS301" si="4525">AP301</f>
        <v>38936</v>
      </c>
      <c r="AR301" s="44">
        <f t="shared" si="4525"/>
        <v>38936</v>
      </c>
      <c r="AS301" s="44">
        <f t="shared" si="4525"/>
        <v>38936</v>
      </c>
      <c r="AT301" s="44">
        <f>ROUND(AS301*(1+取值表!$D$14)*取值表!$H$14,0)</f>
        <v>38471</v>
      </c>
      <c r="AU301" s="44">
        <f t="shared" ref="AU301:AW301" si="4526">AT301</f>
        <v>38471</v>
      </c>
      <c r="AV301" s="44">
        <f t="shared" si="4526"/>
        <v>38471</v>
      </c>
      <c r="AW301" s="44">
        <f t="shared" si="4526"/>
        <v>38471</v>
      </c>
      <c r="AX301" s="44">
        <f>ROUND(AW301*(1+取值表!$D$14)*取值表!$H$14,0)</f>
        <v>38012</v>
      </c>
      <c r="AY301" s="44">
        <f t="shared" ref="AY301:BA301" si="4527">AX301</f>
        <v>38012</v>
      </c>
      <c r="AZ301" s="44">
        <f t="shared" si="4527"/>
        <v>38012</v>
      </c>
      <c r="BA301" s="44">
        <f t="shared" si="4527"/>
        <v>38012</v>
      </c>
      <c r="BB301" s="44">
        <f>ROUND(BA301*(1+取值表!$D$14)*取值表!$H$14,0)</f>
        <v>37558</v>
      </c>
      <c r="BC301" s="44">
        <f t="shared" ref="BC301:BE301" si="4528">BB301</f>
        <v>37558</v>
      </c>
      <c r="BD301" s="44">
        <f t="shared" si="4528"/>
        <v>37558</v>
      </c>
      <c r="BE301" s="44">
        <f t="shared" si="4528"/>
        <v>37558</v>
      </c>
      <c r="BF301" s="44">
        <f>ROUND(BE301*(1+取值表!$D$14)*取值表!$H$14,0)</f>
        <v>37110</v>
      </c>
      <c r="BG301" s="44">
        <f t="shared" ref="BG301:BI301" si="4529">BF301</f>
        <v>37110</v>
      </c>
      <c r="BH301" s="44">
        <f t="shared" si="4529"/>
        <v>37110</v>
      </c>
      <c r="BI301" s="44">
        <f t="shared" si="4529"/>
        <v>37110</v>
      </c>
      <c r="BJ301" s="44">
        <f>ROUND(BI301*(1+取值表!$D$14)*取值表!$H$14,0)</f>
        <v>36667</v>
      </c>
      <c r="BK301" s="44">
        <f t="shared" ref="BK301:BM301" si="4530">BJ301</f>
        <v>36667</v>
      </c>
      <c r="BL301" s="44">
        <f t="shared" si="4530"/>
        <v>36667</v>
      </c>
      <c r="BM301" s="44">
        <f t="shared" si="4530"/>
        <v>36667</v>
      </c>
      <c r="BN301" s="44">
        <f>ROUND(BM301*(1+取值表!$D$14)*取值表!$H$14,0)</f>
        <v>36229</v>
      </c>
      <c r="BO301" s="44">
        <f t="shared" ref="BO301:BQ301" si="4531">BN301</f>
        <v>36229</v>
      </c>
      <c r="BP301" s="44">
        <f t="shared" si="4531"/>
        <v>36229</v>
      </c>
      <c r="BQ301" s="44">
        <f t="shared" si="4531"/>
        <v>36229</v>
      </c>
      <c r="BR301" s="44">
        <f>ROUND(BQ301*(1+取值表!$D$14)*取值表!$H$14,0)</f>
        <v>35797</v>
      </c>
      <c r="BS301" s="44">
        <f t="shared" ref="BS301:BU301" si="4532">BR301</f>
        <v>35797</v>
      </c>
      <c r="BT301" s="44">
        <f t="shared" si="4532"/>
        <v>35797</v>
      </c>
      <c r="BU301" s="44">
        <f t="shared" si="4532"/>
        <v>35797</v>
      </c>
      <c r="BV301" s="44">
        <f>ROUND(BU301*(1+取值表!$D$14)*取值表!$H$14,0)</f>
        <v>35370</v>
      </c>
      <c r="BW301" s="44">
        <f t="shared" ref="BW301:BY301" si="4533">BV301</f>
        <v>35370</v>
      </c>
      <c r="BX301" s="44">
        <f t="shared" si="4533"/>
        <v>35370</v>
      </c>
      <c r="BY301" s="44">
        <f t="shared" si="4533"/>
        <v>35370</v>
      </c>
      <c r="BZ301" s="44">
        <f>ROUND(BY301*(1+取值表!$D$14)*取值表!$H$14,0)</f>
        <v>34948</v>
      </c>
      <c r="CA301" s="44">
        <f t="shared" ref="CA301:CC301" si="4534">BZ301</f>
        <v>34948</v>
      </c>
      <c r="CB301" s="44">
        <f t="shared" si="4534"/>
        <v>34948</v>
      </c>
      <c r="CC301" s="44">
        <f t="shared" si="4534"/>
        <v>34948</v>
      </c>
      <c r="CD301" s="44">
        <f>ROUND(CC301*(1+取值表!$D$14)*取值表!$H$14,0)</f>
        <v>34531</v>
      </c>
      <c r="CE301" s="44">
        <f t="shared" ref="CE301:CG301" si="4535">CD301</f>
        <v>34531</v>
      </c>
      <c r="CF301" s="44">
        <f t="shared" si="4535"/>
        <v>34531</v>
      </c>
      <c r="CG301" s="44">
        <f t="shared" si="4535"/>
        <v>34531</v>
      </c>
      <c r="CH301" s="44">
        <f>ROUND(CG301*(1+取值表!$D$14)*取值表!$H$14,0)</f>
        <v>34119</v>
      </c>
      <c r="CI301" s="44">
        <f t="shared" ref="CI301:CK301" si="4536">CH301</f>
        <v>34119</v>
      </c>
      <c r="CJ301" s="44">
        <f t="shared" si="4536"/>
        <v>34119</v>
      </c>
      <c r="CK301" s="44">
        <f t="shared" si="4536"/>
        <v>34119</v>
      </c>
      <c r="CL301" s="44">
        <f>ROUND(CK301*(1+取值表!$D$14)*取值表!$H$14,0)</f>
        <v>33712</v>
      </c>
      <c r="CM301" s="44">
        <f t="shared" ref="CM301:CO301" si="4537">CL301</f>
        <v>33712</v>
      </c>
      <c r="CN301" s="44">
        <f t="shared" si="4537"/>
        <v>33712</v>
      </c>
      <c r="CO301" s="44">
        <f t="shared" si="4537"/>
        <v>33712</v>
      </c>
      <c r="CP301" s="44">
        <f>ROUND(CO301*(1+取值表!$D$14)*取值表!$H$14,0)</f>
        <v>33310</v>
      </c>
      <c r="CQ301" s="44">
        <f t="shared" ref="CQ301" si="4538">CP301</f>
        <v>33310</v>
      </c>
      <c r="CR301" s="44">
        <f t="shared" ref="CR301" si="4539">CQ301</f>
        <v>33310</v>
      </c>
      <c r="CS301" s="44">
        <f t="shared" ref="CS301" si="4540">CR301</f>
        <v>33310</v>
      </c>
      <c r="CT301" s="44">
        <f>ROUND(CS301*(1+取值表!$D$14)*取值表!$H$14,0)</f>
        <v>32912</v>
      </c>
      <c r="CU301" s="44">
        <f t="shared" ref="CU301" si="4541">CT301</f>
        <v>32912</v>
      </c>
      <c r="CV301" s="44">
        <f t="shared" ref="CV301" si="4542">CU301</f>
        <v>32912</v>
      </c>
      <c r="CW301" s="44">
        <f t="shared" ref="CW301" si="4543">CV301</f>
        <v>32912</v>
      </c>
      <c r="CX301" s="44">
        <f>ROUND(CW301*(1+取值表!$D$14)*取值表!$H$14,0)</f>
        <v>32519</v>
      </c>
      <c r="CY301" s="44">
        <f t="shared" ref="CY301" si="4544">CX301</f>
        <v>32519</v>
      </c>
      <c r="CZ301" s="44">
        <f t="shared" ref="CZ301" si="4545">CY301</f>
        <v>32519</v>
      </c>
      <c r="DA301" s="44">
        <f t="shared" ref="DA301" si="4546">CZ301</f>
        <v>32519</v>
      </c>
      <c r="DB301" s="44">
        <f>ROUND(DA301*(1+取值表!$D$14)*取值表!$H$14,0)</f>
        <v>32131</v>
      </c>
      <c r="DC301" s="44">
        <f t="shared" ref="DC301" si="4547">DB301</f>
        <v>32131</v>
      </c>
      <c r="DD301" s="44">
        <f t="shared" ref="DD301" si="4548">DC301</f>
        <v>32131</v>
      </c>
      <c r="DE301" s="44">
        <f t="shared" ref="DE301" si="4549">DD301</f>
        <v>32131</v>
      </c>
      <c r="DF301" s="45">
        <f t="shared" si="3929"/>
        <v>3724940</v>
      </c>
    </row>
    <row r="302" spans="1:110" s="40" customFormat="1" ht="12">
      <c r="A302" s="517"/>
      <c r="B302" s="518"/>
      <c r="C302" s="450"/>
      <c r="D302" s="451"/>
      <c r="E302" s="452"/>
      <c r="F302" s="446"/>
      <c r="G302" s="446"/>
      <c r="H302" s="447"/>
      <c r="I302" s="41"/>
      <c r="J302" s="42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44"/>
      <c r="Y302" s="44"/>
      <c r="Z302" s="44"/>
      <c r="AA302" s="44"/>
      <c r="AB302" s="44"/>
      <c r="AC302" s="44"/>
      <c r="AD302" s="44"/>
      <c r="AE302" s="44"/>
      <c r="AF302" s="44"/>
      <c r="AG302" s="44"/>
      <c r="AH302" s="44"/>
      <c r="AI302" s="44"/>
      <c r="AJ302" s="44"/>
      <c r="AK302" s="44"/>
      <c r="AL302" s="44"/>
      <c r="AM302" s="44"/>
      <c r="AN302" s="44"/>
      <c r="AO302" s="44"/>
      <c r="AP302" s="44"/>
      <c r="AQ302" s="44"/>
      <c r="AR302" s="44"/>
      <c r="AS302" s="44"/>
      <c r="AT302" s="44"/>
      <c r="AU302" s="44"/>
      <c r="AV302" s="44"/>
      <c r="AW302" s="44"/>
      <c r="AX302" s="44"/>
      <c r="AY302" s="44"/>
      <c r="AZ302" s="44"/>
      <c r="BA302" s="44"/>
      <c r="BB302" s="44"/>
      <c r="BC302" s="44"/>
      <c r="BD302" s="44"/>
      <c r="BE302" s="44"/>
      <c r="BF302" s="44"/>
      <c r="BG302" s="44"/>
      <c r="BH302" s="44"/>
      <c r="BI302" s="44"/>
      <c r="BJ302" s="44"/>
      <c r="BK302" s="44"/>
      <c r="BL302" s="44"/>
      <c r="BM302" s="44"/>
      <c r="BN302" s="44"/>
      <c r="BO302" s="44"/>
      <c r="BP302" s="44"/>
      <c r="BQ302" s="44"/>
      <c r="BR302" s="44"/>
      <c r="BS302" s="44"/>
      <c r="BT302" s="44"/>
      <c r="BU302" s="44"/>
      <c r="BV302" s="44"/>
      <c r="BW302" s="44"/>
      <c r="BX302" s="44"/>
      <c r="BY302" s="44"/>
      <c r="BZ302" s="44"/>
      <c r="CA302" s="44"/>
      <c r="CB302" s="44"/>
      <c r="CC302" s="44"/>
      <c r="CD302" s="44"/>
      <c r="CE302" s="44"/>
      <c r="CF302" s="44"/>
      <c r="CG302" s="44"/>
      <c r="CH302" s="44"/>
      <c r="CI302" s="44"/>
      <c r="CJ302" s="44"/>
      <c r="CK302" s="44"/>
      <c r="CL302" s="44"/>
      <c r="CM302" s="44"/>
      <c r="CN302" s="44"/>
      <c r="CO302" s="44"/>
      <c r="CP302" s="44"/>
      <c r="CQ302" s="44"/>
      <c r="CR302" s="44"/>
      <c r="CS302" s="44"/>
      <c r="CT302" s="44"/>
      <c r="CU302" s="44"/>
      <c r="CV302" s="44"/>
      <c r="CW302" s="44"/>
      <c r="CX302" s="44"/>
      <c r="CY302" s="44"/>
      <c r="CZ302" s="44"/>
      <c r="DA302" s="44"/>
      <c r="DB302" s="44"/>
      <c r="DC302" s="44"/>
      <c r="DD302" s="44"/>
      <c r="DE302" s="44"/>
      <c r="DF302" s="45">
        <f t="shared" si="3929"/>
        <v>0</v>
      </c>
    </row>
    <row r="303" spans="1:110" s="40" customFormat="1" ht="12">
      <c r="A303" s="516">
        <v>153</v>
      </c>
      <c r="B303" s="518" t="s">
        <v>289</v>
      </c>
      <c r="C303" s="450" t="s">
        <v>755</v>
      </c>
      <c r="D303" s="451" t="s">
        <v>525</v>
      </c>
      <c r="E303" s="452" t="s">
        <v>509</v>
      </c>
      <c r="F303" s="446">
        <v>210.6</v>
      </c>
      <c r="G303" s="446">
        <v>9.5</v>
      </c>
      <c r="H303" s="447">
        <f>F303*G303*365</f>
        <v>730255.5</v>
      </c>
      <c r="I303" s="41">
        <v>182563.88</v>
      </c>
      <c r="J303" s="42">
        <f>ROUND(G303*F303*365/4,0)</f>
        <v>182564</v>
      </c>
      <c r="K303" s="44">
        <f>J303</f>
        <v>182564</v>
      </c>
      <c r="L303" s="44">
        <f>K303</f>
        <v>182564</v>
      </c>
      <c r="M303" s="43">
        <f>L303</f>
        <v>182564</v>
      </c>
      <c r="N303" s="44">
        <f>ROUND(M303*(1+取值表!$D$14)*取值表!$H$14,0)</f>
        <v>180385</v>
      </c>
      <c r="O303" s="44">
        <f>N303</f>
        <v>180385</v>
      </c>
      <c r="P303" s="44">
        <f>O303</f>
        <v>180385</v>
      </c>
      <c r="Q303" s="44">
        <f>P303</f>
        <v>180385</v>
      </c>
      <c r="R303" s="44">
        <f>ROUND(Q303*(1+取值表!$D$14)*取值表!$H$14,0)</f>
        <v>178232</v>
      </c>
      <c r="S303" s="44">
        <f t="shared" ref="S303:U303" si="4550">R303</f>
        <v>178232</v>
      </c>
      <c r="T303" s="44">
        <f t="shared" si="4550"/>
        <v>178232</v>
      </c>
      <c r="U303" s="44">
        <f t="shared" si="4550"/>
        <v>178232</v>
      </c>
      <c r="V303" s="44">
        <f>ROUND(U303*(1+取值表!$D$14)*取值表!$H$14,0)</f>
        <v>176105</v>
      </c>
      <c r="W303" s="44">
        <f t="shared" ref="W303:Y303" si="4551">V303</f>
        <v>176105</v>
      </c>
      <c r="X303" s="44">
        <f t="shared" si="4551"/>
        <v>176105</v>
      </c>
      <c r="Y303" s="44">
        <f t="shared" si="4551"/>
        <v>176105</v>
      </c>
      <c r="Z303" s="44">
        <f>ROUND(Y303*(1+取值表!$D$14)*取值表!$H$14,0)</f>
        <v>174003</v>
      </c>
      <c r="AA303" s="44">
        <f t="shared" ref="AA303:AC303" si="4552">Z303</f>
        <v>174003</v>
      </c>
      <c r="AB303" s="44">
        <f t="shared" si="4552"/>
        <v>174003</v>
      </c>
      <c r="AC303" s="44">
        <f t="shared" si="4552"/>
        <v>174003</v>
      </c>
      <c r="AD303" s="44">
        <f>ROUND(AC303*(1+取值表!$D$14)*取值表!$H$14,0)</f>
        <v>171926</v>
      </c>
      <c r="AE303" s="44">
        <f t="shared" ref="AE303:AG303" si="4553">AD303</f>
        <v>171926</v>
      </c>
      <c r="AF303" s="44">
        <f t="shared" si="4553"/>
        <v>171926</v>
      </c>
      <c r="AG303" s="44">
        <f t="shared" si="4553"/>
        <v>171926</v>
      </c>
      <c r="AH303" s="44">
        <f>ROUND(AG303*(1+取值表!$D$14)*取值表!$H$14,0)</f>
        <v>169874</v>
      </c>
      <c r="AI303" s="44">
        <f t="shared" ref="AI303:AK303" si="4554">AH303</f>
        <v>169874</v>
      </c>
      <c r="AJ303" s="44">
        <f t="shared" si="4554"/>
        <v>169874</v>
      </c>
      <c r="AK303" s="44">
        <f t="shared" si="4554"/>
        <v>169874</v>
      </c>
      <c r="AL303" s="44">
        <f>ROUND(AK303*(1+取值表!$D$14)*取值表!$H$14,0)</f>
        <v>167847</v>
      </c>
      <c r="AM303" s="44">
        <f t="shared" ref="AM303:AO303" si="4555">AL303</f>
        <v>167847</v>
      </c>
      <c r="AN303" s="44">
        <f t="shared" si="4555"/>
        <v>167847</v>
      </c>
      <c r="AO303" s="44">
        <f t="shared" si="4555"/>
        <v>167847</v>
      </c>
      <c r="AP303" s="44">
        <f>ROUND(AO303*(1+取值表!$D$14)*取值表!$H$14,0)</f>
        <v>165844</v>
      </c>
      <c r="AQ303" s="44">
        <f t="shared" ref="AQ303:AS303" si="4556">AP303</f>
        <v>165844</v>
      </c>
      <c r="AR303" s="44">
        <f t="shared" si="4556"/>
        <v>165844</v>
      </c>
      <c r="AS303" s="44">
        <f t="shared" si="4556"/>
        <v>165844</v>
      </c>
      <c r="AT303" s="44">
        <f>ROUND(AS303*(1+取值表!$D$14)*取值表!$H$14,0)</f>
        <v>163865</v>
      </c>
      <c r="AU303" s="44">
        <f t="shared" ref="AU303:AW303" si="4557">AT303</f>
        <v>163865</v>
      </c>
      <c r="AV303" s="44">
        <f t="shared" si="4557"/>
        <v>163865</v>
      </c>
      <c r="AW303" s="44">
        <f t="shared" si="4557"/>
        <v>163865</v>
      </c>
      <c r="AX303" s="44">
        <f>ROUND(AW303*(1+取值表!$D$14)*取值表!$H$14,0)</f>
        <v>161909</v>
      </c>
      <c r="AY303" s="44">
        <f t="shared" ref="AY303:BA303" si="4558">AX303</f>
        <v>161909</v>
      </c>
      <c r="AZ303" s="44">
        <f t="shared" si="4558"/>
        <v>161909</v>
      </c>
      <c r="BA303" s="44">
        <f t="shared" si="4558"/>
        <v>161909</v>
      </c>
      <c r="BB303" s="44">
        <f>ROUND(BA303*(1+取值表!$D$14)*取值表!$H$14,0)</f>
        <v>159977</v>
      </c>
      <c r="BC303" s="44">
        <f t="shared" ref="BC303:BE303" si="4559">BB303</f>
        <v>159977</v>
      </c>
      <c r="BD303" s="44">
        <f t="shared" si="4559"/>
        <v>159977</v>
      </c>
      <c r="BE303" s="44">
        <f t="shared" si="4559"/>
        <v>159977</v>
      </c>
      <c r="BF303" s="44">
        <f>ROUND(BE303*(1+取值表!$D$14)*取值表!$H$14,0)</f>
        <v>158068</v>
      </c>
      <c r="BG303" s="44">
        <f t="shared" ref="BG303:BI303" si="4560">BF303</f>
        <v>158068</v>
      </c>
      <c r="BH303" s="44">
        <f t="shared" si="4560"/>
        <v>158068</v>
      </c>
      <c r="BI303" s="44">
        <f t="shared" si="4560"/>
        <v>158068</v>
      </c>
      <c r="BJ303" s="44">
        <f>ROUND(BI303*(1+取值表!$D$14)*取值表!$H$14,0)</f>
        <v>156182</v>
      </c>
      <c r="BK303" s="44">
        <f t="shared" ref="BK303:BM303" si="4561">BJ303</f>
        <v>156182</v>
      </c>
      <c r="BL303" s="44">
        <f t="shared" si="4561"/>
        <v>156182</v>
      </c>
      <c r="BM303" s="44">
        <f t="shared" si="4561"/>
        <v>156182</v>
      </c>
      <c r="BN303" s="44">
        <f>ROUND(BM303*(1+取值表!$D$14)*取值表!$H$14,0)</f>
        <v>154318</v>
      </c>
      <c r="BO303" s="44">
        <f t="shared" ref="BO303:BQ303" si="4562">BN303</f>
        <v>154318</v>
      </c>
      <c r="BP303" s="44">
        <f t="shared" si="4562"/>
        <v>154318</v>
      </c>
      <c r="BQ303" s="44">
        <f t="shared" si="4562"/>
        <v>154318</v>
      </c>
      <c r="BR303" s="44">
        <f>ROUND(BQ303*(1+取值表!$D$14)*取值表!$H$14,0)</f>
        <v>152476</v>
      </c>
      <c r="BS303" s="44">
        <f t="shared" ref="BS303:BU303" si="4563">BR303</f>
        <v>152476</v>
      </c>
      <c r="BT303" s="44">
        <f t="shared" si="4563"/>
        <v>152476</v>
      </c>
      <c r="BU303" s="44">
        <f t="shared" si="4563"/>
        <v>152476</v>
      </c>
      <c r="BV303" s="44">
        <f>ROUND(BU303*(1+取值表!$D$14)*取值表!$H$14,0)</f>
        <v>150656</v>
      </c>
      <c r="BW303" s="44">
        <f t="shared" ref="BW303:BY303" si="4564">BV303</f>
        <v>150656</v>
      </c>
      <c r="BX303" s="44">
        <f t="shared" si="4564"/>
        <v>150656</v>
      </c>
      <c r="BY303" s="44">
        <f t="shared" si="4564"/>
        <v>150656</v>
      </c>
      <c r="BZ303" s="44">
        <f>ROUND(BY303*(1+取值表!$D$14)*取值表!$H$14,0)</f>
        <v>148858</v>
      </c>
      <c r="CA303" s="44">
        <f t="shared" ref="CA303:CC303" si="4565">BZ303</f>
        <v>148858</v>
      </c>
      <c r="CB303" s="44">
        <f t="shared" si="4565"/>
        <v>148858</v>
      </c>
      <c r="CC303" s="44">
        <f t="shared" si="4565"/>
        <v>148858</v>
      </c>
      <c r="CD303" s="44">
        <f>ROUND(CC303*(1+取值表!$D$14)*取值表!$H$14,0)</f>
        <v>147081</v>
      </c>
      <c r="CE303" s="44">
        <f t="shared" ref="CE303:CG303" si="4566">CD303</f>
        <v>147081</v>
      </c>
      <c r="CF303" s="44">
        <f t="shared" si="4566"/>
        <v>147081</v>
      </c>
      <c r="CG303" s="44">
        <f t="shared" si="4566"/>
        <v>147081</v>
      </c>
      <c r="CH303" s="44">
        <f>ROUND(CG303*(1+取值表!$D$14)*取值表!$H$14,0)</f>
        <v>145326</v>
      </c>
      <c r="CI303" s="44">
        <f t="shared" ref="CI303:CK303" si="4567">CH303</f>
        <v>145326</v>
      </c>
      <c r="CJ303" s="44">
        <f t="shared" si="4567"/>
        <v>145326</v>
      </c>
      <c r="CK303" s="44">
        <f t="shared" si="4567"/>
        <v>145326</v>
      </c>
      <c r="CL303" s="44">
        <f>ROUND(CK303*(1+取值表!$D$14)*取值表!$H$14,0)</f>
        <v>143592</v>
      </c>
      <c r="CM303" s="44">
        <f t="shared" ref="CM303:CO303" si="4568">CL303</f>
        <v>143592</v>
      </c>
      <c r="CN303" s="44">
        <f t="shared" si="4568"/>
        <v>143592</v>
      </c>
      <c r="CO303" s="44">
        <f t="shared" si="4568"/>
        <v>143592</v>
      </c>
      <c r="CP303" s="44">
        <f>ROUND(CO303*(1+取值表!$D$14)*取值表!$H$14,0)</f>
        <v>141878</v>
      </c>
      <c r="CQ303" s="44">
        <f t="shared" ref="CQ303" si="4569">CP303</f>
        <v>141878</v>
      </c>
      <c r="CR303" s="44">
        <f t="shared" ref="CR303" si="4570">CQ303</f>
        <v>141878</v>
      </c>
      <c r="CS303" s="44">
        <f t="shared" ref="CS303" si="4571">CR303</f>
        <v>141878</v>
      </c>
      <c r="CT303" s="44">
        <f>ROUND(CS303*(1+取值表!$D$14)*取值表!$H$14,0)</f>
        <v>140185</v>
      </c>
      <c r="CU303" s="44">
        <f t="shared" ref="CU303" si="4572">CT303</f>
        <v>140185</v>
      </c>
      <c r="CV303" s="44">
        <f t="shared" ref="CV303" si="4573">CU303</f>
        <v>140185</v>
      </c>
      <c r="CW303" s="44">
        <f t="shared" ref="CW303" si="4574">CV303</f>
        <v>140185</v>
      </c>
      <c r="CX303" s="44">
        <f>ROUND(CW303*(1+取值表!$D$14)*取值表!$H$14,0)</f>
        <v>138512</v>
      </c>
      <c r="CY303" s="44">
        <f t="shared" ref="CY303" si="4575">CX303</f>
        <v>138512</v>
      </c>
      <c r="CZ303" s="44">
        <f t="shared" ref="CZ303" si="4576">CY303</f>
        <v>138512</v>
      </c>
      <c r="DA303" s="44">
        <f t="shared" ref="DA303" si="4577">CZ303</f>
        <v>138512</v>
      </c>
      <c r="DB303" s="44">
        <f>ROUND(DA303*(1+取值表!$D$14)*取值表!$H$14,0)</f>
        <v>136859</v>
      </c>
      <c r="DC303" s="44">
        <f t="shared" ref="DC303" si="4578">DB303</f>
        <v>136859</v>
      </c>
      <c r="DD303" s="44">
        <f t="shared" ref="DD303" si="4579">DC303</f>
        <v>136859</v>
      </c>
      <c r="DE303" s="44">
        <f t="shared" ref="DE303" si="4580">DD303</f>
        <v>136859</v>
      </c>
      <c r="DF303" s="45">
        <f t="shared" si="3929"/>
        <v>15866088</v>
      </c>
    </row>
    <row r="304" spans="1:110" s="40" customFormat="1" ht="12">
      <c r="A304" s="517"/>
      <c r="B304" s="518"/>
      <c r="C304" s="450"/>
      <c r="D304" s="451"/>
      <c r="E304" s="452"/>
      <c r="F304" s="446"/>
      <c r="G304" s="446"/>
      <c r="H304" s="447"/>
      <c r="I304" s="41"/>
      <c r="J304" s="42"/>
      <c r="K304" s="44"/>
      <c r="L304" s="44"/>
      <c r="M304" s="44"/>
      <c r="N304" s="44"/>
      <c r="O304" s="44"/>
      <c r="P304" s="44"/>
      <c r="Q304" s="44"/>
      <c r="R304" s="44"/>
      <c r="S304" s="44"/>
      <c r="T304" s="44"/>
      <c r="U304" s="44"/>
      <c r="V304" s="44"/>
      <c r="W304" s="44"/>
      <c r="X304" s="44"/>
      <c r="Y304" s="44"/>
      <c r="Z304" s="44"/>
      <c r="AA304" s="44"/>
      <c r="AB304" s="44"/>
      <c r="AC304" s="44"/>
      <c r="AD304" s="44"/>
      <c r="AE304" s="44"/>
      <c r="AF304" s="44"/>
      <c r="AG304" s="44"/>
      <c r="AH304" s="44"/>
      <c r="AI304" s="44"/>
      <c r="AJ304" s="44"/>
      <c r="AK304" s="44"/>
      <c r="AL304" s="44"/>
      <c r="AM304" s="44"/>
      <c r="AN304" s="44"/>
      <c r="AO304" s="44"/>
      <c r="AP304" s="44"/>
      <c r="AQ304" s="44"/>
      <c r="AR304" s="44"/>
      <c r="AS304" s="44"/>
      <c r="AT304" s="44"/>
      <c r="AU304" s="44"/>
      <c r="AV304" s="44"/>
      <c r="AW304" s="44"/>
      <c r="AX304" s="44"/>
      <c r="AY304" s="44"/>
      <c r="AZ304" s="44"/>
      <c r="BA304" s="44"/>
      <c r="BB304" s="44"/>
      <c r="BC304" s="44"/>
      <c r="BD304" s="44"/>
      <c r="BE304" s="44"/>
      <c r="BF304" s="44"/>
      <c r="BG304" s="44"/>
      <c r="BH304" s="44"/>
      <c r="BI304" s="44"/>
      <c r="BJ304" s="44"/>
      <c r="BK304" s="44"/>
      <c r="BL304" s="44"/>
      <c r="BM304" s="44"/>
      <c r="BN304" s="44"/>
      <c r="BO304" s="44"/>
      <c r="BP304" s="44"/>
      <c r="BQ304" s="44"/>
      <c r="BR304" s="44"/>
      <c r="BS304" s="44"/>
      <c r="BT304" s="44"/>
      <c r="BU304" s="44"/>
      <c r="BV304" s="44"/>
      <c r="BW304" s="44"/>
      <c r="BX304" s="44"/>
      <c r="BY304" s="44"/>
      <c r="BZ304" s="44"/>
      <c r="CA304" s="44"/>
      <c r="CB304" s="44"/>
      <c r="CC304" s="44"/>
      <c r="CD304" s="44"/>
      <c r="CE304" s="44"/>
      <c r="CF304" s="44"/>
      <c r="CG304" s="44"/>
      <c r="CH304" s="44"/>
      <c r="CI304" s="44"/>
      <c r="CJ304" s="44"/>
      <c r="CK304" s="44"/>
      <c r="CL304" s="44"/>
      <c r="CM304" s="44"/>
      <c r="CN304" s="44"/>
      <c r="CO304" s="44"/>
      <c r="CP304" s="44"/>
      <c r="CQ304" s="44"/>
      <c r="CR304" s="44"/>
      <c r="CS304" s="44"/>
      <c r="CT304" s="44"/>
      <c r="CU304" s="44"/>
      <c r="CV304" s="44"/>
      <c r="CW304" s="44"/>
      <c r="CX304" s="44"/>
      <c r="CY304" s="44"/>
      <c r="CZ304" s="44"/>
      <c r="DA304" s="44"/>
      <c r="DB304" s="44"/>
      <c r="DC304" s="44"/>
      <c r="DD304" s="44"/>
      <c r="DE304" s="44"/>
      <c r="DF304" s="45">
        <f t="shared" si="3929"/>
        <v>0</v>
      </c>
    </row>
    <row r="305" spans="1:228" ht="21" customHeight="1">
      <c r="A305" s="254">
        <v>154</v>
      </c>
      <c r="B305" s="3" t="s">
        <v>346</v>
      </c>
      <c r="C305" s="3" t="s">
        <v>347</v>
      </c>
      <c r="D305" s="255" t="s">
        <v>348</v>
      </c>
      <c r="E305" s="256" t="s">
        <v>509</v>
      </c>
      <c r="F305" s="257">
        <v>18.899999999999999</v>
      </c>
      <c r="G305" s="257">
        <v>20</v>
      </c>
      <c r="H305" s="241">
        <f t="shared" ref="H305:H307" si="4581">G305*F305*365</f>
        <v>137970</v>
      </c>
      <c r="I305" s="41">
        <v>34492.5</v>
      </c>
      <c r="J305" s="225">
        <f>ROUND(G305*F305*365/4,0)</f>
        <v>34493</v>
      </c>
      <c r="K305" s="55">
        <f t="shared" ref="K305:K306" si="4582">J305</f>
        <v>34493</v>
      </c>
      <c r="L305" s="244">
        <f>K305</f>
        <v>34493</v>
      </c>
      <c r="M305" s="55">
        <f>L305</f>
        <v>34493</v>
      </c>
      <c r="N305" s="44">
        <f>ROUND(M305*(1+取值表!$D$14)*取值表!$H$14,0)</f>
        <v>34081</v>
      </c>
      <c r="O305" s="55">
        <f>N305</f>
        <v>34081</v>
      </c>
      <c r="P305" s="55">
        <f>O305</f>
        <v>34081</v>
      </c>
      <c r="Q305" s="55">
        <f>P305</f>
        <v>34081</v>
      </c>
      <c r="R305" s="44">
        <f>ROUND(Q305*(1+取值表!$D$14)*取值表!$H$14,0)</f>
        <v>33674</v>
      </c>
      <c r="S305" s="55">
        <f t="shared" ref="S305:U308" si="4583">R305</f>
        <v>33674</v>
      </c>
      <c r="T305" s="258">
        <f t="shared" si="4583"/>
        <v>33674</v>
      </c>
      <c r="U305" s="259">
        <f t="shared" si="4583"/>
        <v>33674</v>
      </c>
      <c r="V305" s="44">
        <f>ROUND(U305*(1+取值表!$D$14)*取值表!$H$14,0)</f>
        <v>33272</v>
      </c>
      <c r="W305" s="55">
        <f t="shared" ref="W305:Y305" si="4584">V305</f>
        <v>33272</v>
      </c>
      <c r="X305" s="258">
        <f t="shared" si="4584"/>
        <v>33272</v>
      </c>
      <c r="Y305" s="259">
        <f t="shared" si="4584"/>
        <v>33272</v>
      </c>
      <c r="Z305" s="44">
        <f>ROUND(Y305*(1+取值表!$D$14)*取值表!$H$14,0)</f>
        <v>32875</v>
      </c>
      <c r="AA305" s="55">
        <f t="shared" ref="AA305:AC305" si="4585">Z305</f>
        <v>32875</v>
      </c>
      <c r="AB305" s="258">
        <f t="shared" si="4585"/>
        <v>32875</v>
      </c>
      <c r="AC305" s="259">
        <f t="shared" si="4585"/>
        <v>32875</v>
      </c>
      <c r="AD305" s="44">
        <f>ROUND(AC305*(1+取值表!$D$14)*取值表!$H$14,0)</f>
        <v>32483</v>
      </c>
      <c r="AE305" s="55">
        <f t="shared" ref="AE305:AG305" si="4586">AD305</f>
        <v>32483</v>
      </c>
      <c r="AF305" s="258">
        <f t="shared" si="4586"/>
        <v>32483</v>
      </c>
      <c r="AG305" s="259">
        <f t="shared" si="4586"/>
        <v>32483</v>
      </c>
      <c r="AH305" s="44">
        <f>ROUND(AG305*(1+取值表!$D$14)*取值表!$H$14,0)</f>
        <v>32095</v>
      </c>
      <c r="AI305" s="55">
        <f t="shared" ref="AI305:AK305" si="4587">AH305</f>
        <v>32095</v>
      </c>
      <c r="AJ305" s="258">
        <f t="shared" si="4587"/>
        <v>32095</v>
      </c>
      <c r="AK305" s="259">
        <f t="shared" si="4587"/>
        <v>32095</v>
      </c>
      <c r="AL305" s="44">
        <f>ROUND(AK305*(1+取值表!$D$14)*取值表!$H$14,0)</f>
        <v>31712</v>
      </c>
      <c r="AM305" s="55">
        <f t="shared" ref="AM305:AO305" si="4588">AL305</f>
        <v>31712</v>
      </c>
      <c r="AN305" s="258">
        <f t="shared" si="4588"/>
        <v>31712</v>
      </c>
      <c r="AO305" s="259">
        <f t="shared" si="4588"/>
        <v>31712</v>
      </c>
      <c r="AP305" s="44">
        <f>ROUND(AO305*(1+取值表!$D$14)*取值表!$H$14,0)</f>
        <v>31334</v>
      </c>
      <c r="AQ305" s="55">
        <f t="shared" ref="AQ305:AS305" si="4589">AP305</f>
        <v>31334</v>
      </c>
      <c r="AR305" s="258">
        <f t="shared" si="4589"/>
        <v>31334</v>
      </c>
      <c r="AS305" s="259">
        <f t="shared" si="4589"/>
        <v>31334</v>
      </c>
      <c r="AT305" s="44">
        <f>ROUND(AS305*(1+取值表!$D$14)*取值表!$H$14,0)</f>
        <v>30960</v>
      </c>
      <c r="AU305" s="55">
        <f t="shared" ref="AU305:AW305" si="4590">AT305</f>
        <v>30960</v>
      </c>
      <c r="AV305" s="258">
        <f t="shared" si="4590"/>
        <v>30960</v>
      </c>
      <c r="AW305" s="259">
        <f t="shared" si="4590"/>
        <v>30960</v>
      </c>
      <c r="AX305" s="44">
        <f>ROUND(AW305*(1+取值表!$D$14)*取值表!$H$14,0)</f>
        <v>30591</v>
      </c>
      <c r="AY305" s="55">
        <f t="shared" ref="AY305:BA305" si="4591">AX305</f>
        <v>30591</v>
      </c>
      <c r="AZ305" s="258">
        <f t="shared" si="4591"/>
        <v>30591</v>
      </c>
      <c r="BA305" s="259">
        <f t="shared" si="4591"/>
        <v>30591</v>
      </c>
      <c r="BB305" s="44">
        <f>ROUND(BA305*(1+取值表!$D$14)*取值表!$H$14,0)</f>
        <v>30226</v>
      </c>
      <c r="BC305" s="55">
        <f t="shared" ref="BC305:BE305" si="4592">BB305</f>
        <v>30226</v>
      </c>
      <c r="BD305" s="258">
        <f t="shared" si="4592"/>
        <v>30226</v>
      </c>
      <c r="BE305" s="259">
        <f t="shared" si="4592"/>
        <v>30226</v>
      </c>
      <c r="BF305" s="44">
        <f>ROUND(BE305*(1+取值表!$D$14)*取值表!$H$14,0)</f>
        <v>29865</v>
      </c>
      <c r="BG305" s="55">
        <f t="shared" ref="BG305:BI305" si="4593">BF305</f>
        <v>29865</v>
      </c>
      <c r="BH305" s="258">
        <f t="shared" si="4593"/>
        <v>29865</v>
      </c>
      <c r="BI305" s="259">
        <f t="shared" si="4593"/>
        <v>29865</v>
      </c>
      <c r="BJ305" s="44">
        <f>ROUND(BI305*(1+取值表!$D$14)*取值表!$H$14,0)</f>
        <v>29509</v>
      </c>
      <c r="BK305" s="55">
        <f t="shared" ref="BK305:BM305" si="4594">BJ305</f>
        <v>29509</v>
      </c>
      <c r="BL305" s="258">
        <f t="shared" si="4594"/>
        <v>29509</v>
      </c>
      <c r="BM305" s="259">
        <f t="shared" si="4594"/>
        <v>29509</v>
      </c>
      <c r="BN305" s="44">
        <f>ROUND(BM305*(1+取值表!$D$14)*取值表!$H$14,0)</f>
        <v>29157</v>
      </c>
      <c r="BO305" s="55">
        <f t="shared" ref="BO305:BQ305" si="4595">BN305</f>
        <v>29157</v>
      </c>
      <c r="BP305" s="258">
        <f t="shared" si="4595"/>
        <v>29157</v>
      </c>
      <c r="BQ305" s="259">
        <f t="shared" si="4595"/>
        <v>29157</v>
      </c>
      <c r="BR305" s="44">
        <f>ROUND(BQ305*(1+取值表!$D$14)*取值表!$H$14,0)</f>
        <v>28809</v>
      </c>
      <c r="BS305" s="55">
        <f t="shared" ref="BS305:BU305" si="4596">BR305</f>
        <v>28809</v>
      </c>
      <c r="BT305" s="258">
        <f t="shared" si="4596"/>
        <v>28809</v>
      </c>
      <c r="BU305" s="259">
        <f t="shared" si="4596"/>
        <v>28809</v>
      </c>
      <c r="BV305" s="44">
        <f>ROUND(BU305*(1+取值表!$D$14)*取值表!$H$14,0)</f>
        <v>28465</v>
      </c>
      <c r="BW305" s="55">
        <f t="shared" ref="BW305:BY305" si="4597">BV305</f>
        <v>28465</v>
      </c>
      <c r="BX305" s="258">
        <f t="shared" si="4597"/>
        <v>28465</v>
      </c>
      <c r="BY305" s="259">
        <f t="shared" si="4597"/>
        <v>28465</v>
      </c>
      <c r="BZ305" s="44">
        <f>ROUND(BY305*(1+取值表!$D$14)*取值表!$H$14,0)</f>
        <v>28125</v>
      </c>
      <c r="CA305" s="55">
        <f t="shared" ref="CA305:CC305" si="4598">BZ305</f>
        <v>28125</v>
      </c>
      <c r="CB305" s="258">
        <f t="shared" si="4598"/>
        <v>28125</v>
      </c>
      <c r="CC305" s="259">
        <f t="shared" si="4598"/>
        <v>28125</v>
      </c>
      <c r="CD305" s="44">
        <f>ROUND(CC305*(1+取值表!$D$14)*取值表!$H$14,0)</f>
        <v>27789</v>
      </c>
      <c r="CE305" s="55">
        <f t="shared" ref="CE305:CG305" si="4599">CD305</f>
        <v>27789</v>
      </c>
      <c r="CF305" s="258">
        <f t="shared" si="4599"/>
        <v>27789</v>
      </c>
      <c r="CG305" s="259">
        <f t="shared" si="4599"/>
        <v>27789</v>
      </c>
      <c r="CH305" s="44">
        <f>ROUND(CG305*(1+取值表!$D$14)*取值表!$H$14,0)</f>
        <v>27457</v>
      </c>
      <c r="CI305" s="55">
        <f t="shared" ref="CI305:CK305" si="4600">CH305</f>
        <v>27457</v>
      </c>
      <c r="CJ305" s="258">
        <f t="shared" si="4600"/>
        <v>27457</v>
      </c>
      <c r="CK305" s="259">
        <f t="shared" si="4600"/>
        <v>27457</v>
      </c>
      <c r="CL305" s="44">
        <f>ROUND(CK305*(1+取值表!$D$14)*取值表!$H$14,0)</f>
        <v>27129</v>
      </c>
      <c r="CM305" s="55">
        <f t="shared" ref="CM305:CO305" si="4601">CL305</f>
        <v>27129</v>
      </c>
      <c r="CN305" s="258">
        <f t="shared" si="4601"/>
        <v>27129</v>
      </c>
      <c r="CO305" s="259">
        <f t="shared" si="4601"/>
        <v>27129</v>
      </c>
      <c r="CP305" s="44">
        <f>ROUND(CO305*(1+取值表!$D$14)*取值表!$H$14,0)</f>
        <v>26805</v>
      </c>
      <c r="CQ305" s="55">
        <f t="shared" ref="CQ305:CQ310" si="4602">CP305</f>
        <v>26805</v>
      </c>
      <c r="CR305" s="258">
        <f t="shared" ref="CR305:CR310" si="4603">CQ305</f>
        <v>26805</v>
      </c>
      <c r="CS305" s="259">
        <f t="shared" ref="CS305:CS310" si="4604">CR305</f>
        <v>26805</v>
      </c>
      <c r="CT305" s="44">
        <f>ROUND(CS305*(1+取值表!$D$14)*取值表!$H$14,0)</f>
        <v>26485</v>
      </c>
      <c r="CU305" s="55">
        <f t="shared" ref="CU305:CU310" si="4605">CT305</f>
        <v>26485</v>
      </c>
      <c r="CV305" s="258">
        <f t="shared" ref="CV305:CV310" si="4606">CU305</f>
        <v>26485</v>
      </c>
      <c r="CW305" s="259">
        <f t="shared" ref="CW305:CW310" si="4607">CV305</f>
        <v>26485</v>
      </c>
      <c r="CX305" s="44">
        <f>ROUND(CW305*(1+取值表!$D$14)*取值表!$H$14,0)</f>
        <v>26169</v>
      </c>
      <c r="CY305" s="55">
        <f t="shared" ref="CY305:CY310" si="4608">CX305</f>
        <v>26169</v>
      </c>
      <c r="CZ305" s="258">
        <f t="shared" ref="CZ305:CZ310" si="4609">CY305</f>
        <v>26169</v>
      </c>
      <c r="DA305" s="259">
        <f t="shared" ref="DA305:DA310" si="4610">CZ305</f>
        <v>26169</v>
      </c>
      <c r="DB305" s="44">
        <f>ROUND(DA305*(1+取值表!$D$14)*取值表!$H$14,0)</f>
        <v>25857</v>
      </c>
      <c r="DC305" s="55">
        <f t="shared" ref="DC305:DC310" si="4611">DB305</f>
        <v>25857</v>
      </c>
      <c r="DD305" s="258">
        <f t="shared" ref="DD305:DD310" si="4612">DC305</f>
        <v>25857</v>
      </c>
      <c r="DE305" s="259">
        <f t="shared" ref="DE305:DE310" si="4613">DD305</f>
        <v>25857</v>
      </c>
      <c r="DF305" s="45">
        <f t="shared" si="3929"/>
        <v>2997668</v>
      </c>
      <c r="DG305" s="40"/>
    </row>
    <row r="306" spans="1:228" ht="21" customHeight="1">
      <c r="A306" s="238">
        <v>155</v>
      </c>
      <c r="B306" s="3" t="s">
        <v>345</v>
      </c>
      <c r="C306" s="3" t="s">
        <v>1167</v>
      </c>
      <c r="D306" s="260" t="s">
        <v>350</v>
      </c>
      <c r="E306" s="54" t="s">
        <v>509</v>
      </c>
      <c r="F306" s="41">
        <v>90</v>
      </c>
      <c r="G306" s="55">
        <v>6.75</v>
      </c>
      <c r="H306" s="232">
        <f t="shared" si="4581"/>
        <v>221737.5</v>
      </c>
      <c r="I306" s="224">
        <v>55434.375</v>
      </c>
      <c r="J306" s="225">
        <f>ROUND(G306*F306*365/4,0)</f>
        <v>55434</v>
      </c>
      <c r="K306" s="261">
        <f t="shared" si="4582"/>
        <v>55434</v>
      </c>
      <c r="L306" s="261">
        <f>K306</f>
        <v>55434</v>
      </c>
      <c r="M306" s="261">
        <f t="shared" ref="M306" si="4614">L306</f>
        <v>55434</v>
      </c>
      <c r="N306" s="261">
        <f t="shared" ref="N306" si="4615">M306</f>
        <v>55434</v>
      </c>
      <c r="O306" s="261">
        <f t="shared" ref="O306" si="4616">N306</f>
        <v>55434</v>
      </c>
      <c r="P306" s="262">
        <f t="shared" ref="P306" si="4617">O306</f>
        <v>55434</v>
      </c>
      <c r="Q306" s="261">
        <f>P306</f>
        <v>55434</v>
      </c>
      <c r="R306" s="44">
        <f>ROUND(Q306*(1+取值表!$D$14)*取值表!$H$14,0)</f>
        <v>54772</v>
      </c>
      <c r="S306" s="56">
        <f t="shared" si="4583"/>
        <v>54772</v>
      </c>
      <c r="T306" s="56">
        <f t="shared" si="4583"/>
        <v>54772</v>
      </c>
      <c r="U306" s="56">
        <f t="shared" si="4583"/>
        <v>54772</v>
      </c>
      <c r="V306" s="44">
        <f>ROUND(U306*(1+取值表!$D$14)*取值表!$H$14,0)</f>
        <v>54118</v>
      </c>
      <c r="W306" s="56">
        <f t="shared" ref="W306:Y306" si="4618">V306</f>
        <v>54118</v>
      </c>
      <c r="X306" s="56">
        <f t="shared" si="4618"/>
        <v>54118</v>
      </c>
      <c r="Y306" s="56">
        <f t="shared" si="4618"/>
        <v>54118</v>
      </c>
      <c r="Z306" s="44">
        <f>ROUND(Y306*(1+取值表!$D$14)*取值表!$H$14,0)</f>
        <v>53472</v>
      </c>
      <c r="AA306" s="56">
        <f t="shared" ref="AA306:AC306" si="4619">Z306</f>
        <v>53472</v>
      </c>
      <c r="AB306" s="56">
        <f t="shared" si="4619"/>
        <v>53472</v>
      </c>
      <c r="AC306" s="56">
        <f t="shared" si="4619"/>
        <v>53472</v>
      </c>
      <c r="AD306" s="44">
        <f>ROUND(AC306*(1+取值表!$D$14)*取值表!$H$14,0)</f>
        <v>52834</v>
      </c>
      <c r="AE306" s="56">
        <f t="shared" ref="AE306:AG306" si="4620">AD306</f>
        <v>52834</v>
      </c>
      <c r="AF306" s="56">
        <f t="shared" si="4620"/>
        <v>52834</v>
      </c>
      <c r="AG306" s="56">
        <f t="shared" si="4620"/>
        <v>52834</v>
      </c>
      <c r="AH306" s="44">
        <f>ROUND(AG306*(1+取值表!$D$14)*取值表!$H$14,0)</f>
        <v>52203</v>
      </c>
      <c r="AI306" s="56">
        <f t="shared" ref="AI306:AK306" si="4621">AH306</f>
        <v>52203</v>
      </c>
      <c r="AJ306" s="56">
        <f t="shared" si="4621"/>
        <v>52203</v>
      </c>
      <c r="AK306" s="56">
        <f t="shared" si="4621"/>
        <v>52203</v>
      </c>
      <c r="AL306" s="44">
        <f>ROUND(AK306*(1+取值表!$D$14)*取值表!$H$14,0)</f>
        <v>51580</v>
      </c>
      <c r="AM306" s="56">
        <f t="shared" ref="AM306:AO306" si="4622">AL306</f>
        <v>51580</v>
      </c>
      <c r="AN306" s="56">
        <f t="shared" si="4622"/>
        <v>51580</v>
      </c>
      <c r="AO306" s="56">
        <f t="shared" si="4622"/>
        <v>51580</v>
      </c>
      <c r="AP306" s="44">
        <f>ROUND(AO306*(1+取值表!$D$14)*取值表!$H$14,0)</f>
        <v>50964</v>
      </c>
      <c r="AQ306" s="56">
        <f t="shared" ref="AQ306:AS306" si="4623">AP306</f>
        <v>50964</v>
      </c>
      <c r="AR306" s="56">
        <f t="shared" si="4623"/>
        <v>50964</v>
      </c>
      <c r="AS306" s="56">
        <f t="shared" si="4623"/>
        <v>50964</v>
      </c>
      <c r="AT306" s="44">
        <f>ROUND(AS306*(1+取值表!$D$14)*取值表!$H$14,0)</f>
        <v>50356</v>
      </c>
      <c r="AU306" s="56">
        <f t="shared" ref="AU306:AW306" si="4624">AT306</f>
        <v>50356</v>
      </c>
      <c r="AV306" s="56">
        <f t="shared" si="4624"/>
        <v>50356</v>
      </c>
      <c r="AW306" s="56">
        <f t="shared" si="4624"/>
        <v>50356</v>
      </c>
      <c r="AX306" s="44">
        <f>ROUND(AW306*(1+取值表!$D$14)*取值表!$H$14,0)</f>
        <v>49755</v>
      </c>
      <c r="AY306" s="56">
        <f t="shared" ref="AY306:BA306" si="4625">AX306</f>
        <v>49755</v>
      </c>
      <c r="AZ306" s="56">
        <f t="shared" si="4625"/>
        <v>49755</v>
      </c>
      <c r="BA306" s="56">
        <f t="shared" si="4625"/>
        <v>49755</v>
      </c>
      <c r="BB306" s="44">
        <f>ROUND(BA306*(1+取值表!$D$14)*取值表!$H$14,0)</f>
        <v>49161</v>
      </c>
      <c r="BC306" s="56">
        <f t="shared" ref="BC306:BE306" si="4626">BB306</f>
        <v>49161</v>
      </c>
      <c r="BD306" s="56">
        <f t="shared" si="4626"/>
        <v>49161</v>
      </c>
      <c r="BE306" s="56">
        <f t="shared" si="4626"/>
        <v>49161</v>
      </c>
      <c r="BF306" s="44">
        <f>ROUND(BE306*(1+取值表!$D$14)*取值表!$H$14,0)</f>
        <v>48574</v>
      </c>
      <c r="BG306" s="56">
        <f t="shared" ref="BG306:BI306" si="4627">BF306</f>
        <v>48574</v>
      </c>
      <c r="BH306" s="56">
        <f t="shared" si="4627"/>
        <v>48574</v>
      </c>
      <c r="BI306" s="56">
        <f t="shared" si="4627"/>
        <v>48574</v>
      </c>
      <c r="BJ306" s="44">
        <f>ROUND(BI306*(1+取值表!$D$14)*取值表!$H$14,0)</f>
        <v>47994</v>
      </c>
      <c r="BK306" s="56">
        <f t="shared" ref="BK306:BM306" si="4628">BJ306</f>
        <v>47994</v>
      </c>
      <c r="BL306" s="56">
        <f t="shared" si="4628"/>
        <v>47994</v>
      </c>
      <c r="BM306" s="56">
        <f t="shared" si="4628"/>
        <v>47994</v>
      </c>
      <c r="BN306" s="44">
        <f>ROUND(BM306*(1+取值表!$D$14)*取值表!$H$14,0)</f>
        <v>47421</v>
      </c>
      <c r="BO306" s="56">
        <f t="shared" ref="BO306:BQ306" si="4629">BN306</f>
        <v>47421</v>
      </c>
      <c r="BP306" s="56">
        <f t="shared" si="4629"/>
        <v>47421</v>
      </c>
      <c r="BQ306" s="56">
        <f t="shared" si="4629"/>
        <v>47421</v>
      </c>
      <c r="BR306" s="44">
        <f>ROUND(BQ306*(1+取值表!$D$14)*取值表!$H$14,0)</f>
        <v>46855</v>
      </c>
      <c r="BS306" s="56">
        <f t="shared" ref="BS306:BU306" si="4630">BR306</f>
        <v>46855</v>
      </c>
      <c r="BT306" s="56">
        <f t="shared" si="4630"/>
        <v>46855</v>
      </c>
      <c r="BU306" s="56">
        <f t="shared" si="4630"/>
        <v>46855</v>
      </c>
      <c r="BV306" s="44">
        <f>ROUND(BU306*(1+取值表!$D$14)*取值表!$H$14,0)</f>
        <v>46296</v>
      </c>
      <c r="BW306" s="56">
        <f t="shared" ref="BW306:BY306" si="4631">BV306</f>
        <v>46296</v>
      </c>
      <c r="BX306" s="56">
        <f t="shared" si="4631"/>
        <v>46296</v>
      </c>
      <c r="BY306" s="56">
        <f t="shared" si="4631"/>
        <v>46296</v>
      </c>
      <c r="BZ306" s="44">
        <f>ROUND(BY306*(1+取值表!$D$14)*取值表!$H$14,0)</f>
        <v>45743</v>
      </c>
      <c r="CA306" s="56">
        <f t="shared" ref="CA306:CC306" si="4632">BZ306</f>
        <v>45743</v>
      </c>
      <c r="CB306" s="56">
        <f t="shared" si="4632"/>
        <v>45743</v>
      </c>
      <c r="CC306" s="56">
        <f t="shared" si="4632"/>
        <v>45743</v>
      </c>
      <c r="CD306" s="44">
        <f>ROUND(CC306*(1+取值表!$D$14)*取值表!$H$14,0)</f>
        <v>45197</v>
      </c>
      <c r="CE306" s="56">
        <f t="shared" ref="CE306:CG306" si="4633">CD306</f>
        <v>45197</v>
      </c>
      <c r="CF306" s="56">
        <f t="shared" si="4633"/>
        <v>45197</v>
      </c>
      <c r="CG306" s="56">
        <f t="shared" si="4633"/>
        <v>45197</v>
      </c>
      <c r="CH306" s="44">
        <f>ROUND(CG306*(1+取值表!$D$14)*取值表!$H$14,0)</f>
        <v>44658</v>
      </c>
      <c r="CI306" s="56">
        <f t="shared" ref="CI306:CK306" si="4634">CH306</f>
        <v>44658</v>
      </c>
      <c r="CJ306" s="56">
        <f t="shared" si="4634"/>
        <v>44658</v>
      </c>
      <c r="CK306" s="56">
        <f t="shared" si="4634"/>
        <v>44658</v>
      </c>
      <c r="CL306" s="44">
        <f>ROUND(CK306*(1+取值表!$D$14)*取值表!$H$14,0)</f>
        <v>44125</v>
      </c>
      <c r="CM306" s="56">
        <f t="shared" ref="CM306:CO306" si="4635">CL306</f>
        <v>44125</v>
      </c>
      <c r="CN306" s="56">
        <f t="shared" si="4635"/>
        <v>44125</v>
      </c>
      <c r="CO306" s="56">
        <f t="shared" si="4635"/>
        <v>44125</v>
      </c>
      <c r="CP306" s="44">
        <f>ROUND(CO306*(1+取值表!$D$14)*取值表!$H$14,0)</f>
        <v>43598</v>
      </c>
      <c r="CQ306" s="56">
        <f t="shared" si="4602"/>
        <v>43598</v>
      </c>
      <c r="CR306" s="56">
        <f t="shared" si="4603"/>
        <v>43598</v>
      </c>
      <c r="CS306" s="56">
        <f t="shared" si="4604"/>
        <v>43598</v>
      </c>
      <c r="CT306" s="44">
        <f>ROUND(CS306*(1+取值表!$D$14)*取值表!$H$14,0)</f>
        <v>43078</v>
      </c>
      <c r="CU306" s="56">
        <f t="shared" si="4605"/>
        <v>43078</v>
      </c>
      <c r="CV306" s="56">
        <f t="shared" si="4606"/>
        <v>43078</v>
      </c>
      <c r="CW306" s="56">
        <f t="shared" si="4607"/>
        <v>43078</v>
      </c>
      <c r="CX306" s="44">
        <f>ROUND(CW306*(1+取值表!$D$14)*取值表!$H$14,0)</f>
        <v>42564</v>
      </c>
      <c r="CY306" s="56">
        <f t="shared" si="4608"/>
        <v>42564</v>
      </c>
      <c r="CZ306" s="56">
        <f t="shared" si="4609"/>
        <v>42564</v>
      </c>
      <c r="DA306" s="56">
        <f t="shared" si="4610"/>
        <v>42564</v>
      </c>
      <c r="DB306" s="44">
        <f>ROUND(DA306*(1+取值表!$D$14)*取值表!$H$14,0)</f>
        <v>42056</v>
      </c>
      <c r="DC306" s="56">
        <f t="shared" si="4611"/>
        <v>42056</v>
      </c>
      <c r="DD306" s="56">
        <f t="shared" si="4612"/>
        <v>42056</v>
      </c>
      <c r="DE306" s="56">
        <f t="shared" si="4613"/>
        <v>42056</v>
      </c>
      <c r="DF306" s="45">
        <f t="shared" si="3929"/>
        <v>4872968</v>
      </c>
      <c r="DG306" s="40"/>
    </row>
    <row r="307" spans="1:228" ht="21" customHeight="1">
      <c r="A307" s="254">
        <v>156</v>
      </c>
      <c r="B307" s="3" t="s">
        <v>351</v>
      </c>
      <c r="C307" s="3" t="s">
        <v>1176</v>
      </c>
      <c r="D307" s="263" t="s">
        <v>353</v>
      </c>
      <c r="E307" s="256" t="s">
        <v>509</v>
      </c>
      <c r="F307" s="264">
        <v>166.37</v>
      </c>
      <c r="G307" s="265">
        <v>5.5</v>
      </c>
      <c r="H307" s="241">
        <f t="shared" si="4581"/>
        <v>333987.77500000002</v>
      </c>
      <c r="I307" s="41">
        <v>83496.94</v>
      </c>
      <c r="J307" s="225">
        <f>ROUND(G307*F307*365/4,0)</f>
        <v>83497</v>
      </c>
      <c r="K307" s="262">
        <f>J307</f>
        <v>83497</v>
      </c>
      <c r="L307" s="261">
        <f>K307</f>
        <v>83497</v>
      </c>
      <c r="M307" s="55">
        <f>L307</f>
        <v>83497</v>
      </c>
      <c r="N307" s="44">
        <f>ROUND(M307*(1+取值表!$D$14)*取值表!$H$14,0)</f>
        <v>82501</v>
      </c>
      <c r="O307" s="56">
        <f>N307</f>
        <v>82501</v>
      </c>
      <c r="P307" s="56">
        <f>O307</f>
        <v>82501</v>
      </c>
      <c r="Q307" s="56">
        <f>P307</f>
        <v>82501</v>
      </c>
      <c r="R307" s="44">
        <f>ROUND(Q307*(1+取值表!$D$14)*取值表!$H$14,0)</f>
        <v>81516</v>
      </c>
      <c r="S307" s="56">
        <f t="shared" si="4583"/>
        <v>81516</v>
      </c>
      <c r="T307" s="56">
        <f t="shared" si="4583"/>
        <v>81516</v>
      </c>
      <c r="U307" s="56">
        <f t="shared" si="4583"/>
        <v>81516</v>
      </c>
      <c r="V307" s="44">
        <f>ROUND(U307*(1+取值表!$D$14)*取值表!$H$14,0)</f>
        <v>80543</v>
      </c>
      <c r="W307" s="56">
        <f t="shared" ref="W307:Y307" si="4636">V307</f>
        <v>80543</v>
      </c>
      <c r="X307" s="56">
        <f t="shared" si="4636"/>
        <v>80543</v>
      </c>
      <c r="Y307" s="56">
        <f t="shared" si="4636"/>
        <v>80543</v>
      </c>
      <c r="Z307" s="44">
        <f>ROUND(Y307*(1+取值表!$D$14)*取值表!$H$14,0)</f>
        <v>79582</v>
      </c>
      <c r="AA307" s="56">
        <f t="shared" ref="AA307:AC307" si="4637">Z307</f>
        <v>79582</v>
      </c>
      <c r="AB307" s="56">
        <f t="shared" si="4637"/>
        <v>79582</v>
      </c>
      <c r="AC307" s="56">
        <f t="shared" si="4637"/>
        <v>79582</v>
      </c>
      <c r="AD307" s="44">
        <f>ROUND(AC307*(1+取值表!$D$14)*取值表!$H$14,0)</f>
        <v>78632</v>
      </c>
      <c r="AE307" s="56">
        <f t="shared" ref="AE307:AG307" si="4638">AD307</f>
        <v>78632</v>
      </c>
      <c r="AF307" s="56">
        <f t="shared" si="4638"/>
        <v>78632</v>
      </c>
      <c r="AG307" s="56">
        <f t="shared" si="4638"/>
        <v>78632</v>
      </c>
      <c r="AH307" s="44">
        <f>ROUND(AG307*(1+取值表!$D$14)*取值表!$H$14,0)</f>
        <v>77694</v>
      </c>
      <c r="AI307" s="56">
        <f t="shared" ref="AI307:AK307" si="4639">AH307</f>
        <v>77694</v>
      </c>
      <c r="AJ307" s="56">
        <f t="shared" si="4639"/>
        <v>77694</v>
      </c>
      <c r="AK307" s="56">
        <f t="shared" si="4639"/>
        <v>77694</v>
      </c>
      <c r="AL307" s="44">
        <f>ROUND(AK307*(1+取值表!$D$14)*取值表!$H$14,0)</f>
        <v>76767</v>
      </c>
      <c r="AM307" s="56">
        <f t="shared" ref="AM307:AO307" si="4640">AL307</f>
        <v>76767</v>
      </c>
      <c r="AN307" s="56">
        <f t="shared" si="4640"/>
        <v>76767</v>
      </c>
      <c r="AO307" s="56">
        <f t="shared" si="4640"/>
        <v>76767</v>
      </c>
      <c r="AP307" s="44">
        <f>ROUND(AO307*(1+取值表!$D$14)*取值表!$H$14,0)</f>
        <v>75851</v>
      </c>
      <c r="AQ307" s="56">
        <f t="shared" ref="AQ307:AS307" si="4641">AP307</f>
        <v>75851</v>
      </c>
      <c r="AR307" s="56">
        <f t="shared" si="4641"/>
        <v>75851</v>
      </c>
      <c r="AS307" s="56">
        <f t="shared" si="4641"/>
        <v>75851</v>
      </c>
      <c r="AT307" s="44">
        <f>ROUND(AS307*(1+取值表!$D$14)*取值表!$H$14,0)</f>
        <v>74946</v>
      </c>
      <c r="AU307" s="56">
        <f t="shared" ref="AU307:AW307" si="4642">AT307</f>
        <v>74946</v>
      </c>
      <c r="AV307" s="56">
        <f t="shared" si="4642"/>
        <v>74946</v>
      </c>
      <c r="AW307" s="56">
        <f t="shared" si="4642"/>
        <v>74946</v>
      </c>
      <c r="AX307" s="44">
        <f>ROUND(AW307*(1+取值表!$D$14)*取值表!$H$14,0)</f>
        <v>74052</v>
      </c>
      <c r="AY307" s="56">
        <f t="shared" ref="AY307:BA307" si="4643">AX307</f>
        <v>74052</v>
      </c>
      <c r="AZ307" s="56">
        <f t="shared" si="4643"/>
        <v>74052</v>
      </c>
      <c r="BA307" s="56">
        <f t="shared" si="4643"/>
        <v>74052</v>
      </c>
      <c r="BB307" s="44">
        <f>ROUND(BA307*(1+取值表!$D$14)*取值表!$H$14,0)</f>
        <v>73168</v>
      </c>
      <c r="BC307" s="56">
        <f t="shared" ref="BC307:BE307" si="4644">BB307</f>
        <v>73168</v>
      </c>
      <c r="BD307" s="56">
        <f t="shared" si="4644"/>
        <v>73168</v>
      </c>
      <c r="BE307" s="56">
        <f t="shared" si="4644"/>
        <v>73168</v>
      </c>
      <c r="BF307" s="44">
        <f>ROUND(BE307*(1+取值表!$D$14)*取值表!$H$14,0)</f>
        <v>72295</v>
      </c>
      <c r="BG307" s="56">
        <f t="shared" ref="BG307:BI307" si="4645">BF307</f>
        <v>72295</v>
      </c>
      <c r="BH307" s="56">
        <f t="shared" si="4645"/>
        <v>72295</v>
      </c>
      <c r="BI307" s="56">
        <f t="shared" si="4645"/>
        <v>72295</v>
      </c>
      <c r="BJ307" s="44">
        <f>ROUND(BI307*(1+取值表!$D$14)*取值表!$H$14,0)</f>
        <v>71432</v>
      </c>
      <c r="BK307" s="56">
        <f t="shared" ref="BK307:BM307" si="4646">BJ307</f>
        <v>71432</v>
      </c>
      <c r="BL307" s="56">
        <f t="shared" si="4646"/>
        <v>71432</v>
      </c>
      <c r="BM307" s="56">
        <f t="shared" si="4646"/>
        <v>71432</v>
      </c>
      <c r="BN307" s="44">
        <f>ROUND(BM307*(1+取值表!$D$14)*取值表!$H$14,0)</f>
        <v>70580</v>
      </c>
      <c r="BO307" s="56">
        <f t="shared" ref="BO307:BQ307" si="4647">BN307</f>
        <v>70580</v>
      </c>
      <c r="BP307" s="56">
        <f t="shared" si="4647"/>
        <v>70580</v>
      </c>
      <c r="BQ307" s="56">
        <f t="shared" si="4647"/>
        <v>70580</v>
      </c>
      <c r="BR307" s="44">
        <f>ROUND(BQ307*(1+取值表!$D$14)*取值表!$H$14,0)</f>
        <v>69738</v>
      </c>
      <c r="BS307" s="56">
        <f t="shared" ref="BS307:BU307" si="4648">BR307</f>
        <v>69738</v>
      </c>
      <c r="BT307" s="56">
        <f t="shared" si="4648"/>
        <v>69738</v>
      </c>
      <c r="BU307" s="56">
        <f t="shared" si="4648"/>
        <v>69738</v>
      </c>
      <c r="BV307" s="44">
        <f>ROUND(BU307*(1+取值表!$D$14)*取值表!$H$14,0)</f>
        <v>68906</v>
      </c>
      <c r="BW307" s="56">
        <f t="shared" ref="BW307:BY307" si="4649">BV307</f>
        <v>68906</v>
      </c>
      <c r="BX307" s="56">
        <f t="shared" si="4649"/>
        <v>68906</v>
      </c>
      <c r="BY307" s="56">
        <f t="shared" si="4649"/>
        <v>68906</v>
      </c>
      <c r="BZ307" s="44">
        <f>ROUND(BY307*(1+取值表!$D$14)*取值表!$H$14,0)</f>
        <v>68084</v>
      </c>
      <c r="CA307" s="56">
        <f t="shared" ref="CA307:CC307" si="4650">BZ307</f>
        <v>68084</v>
      </c>
      <c r="CB307" s="56">
        <f t="shared" si="4650"/>
        <v>68084</v>
      </c>
      <c r="CC307" s="56">
        <f t="shared" si="4650"/>
        <v>68084</v>
      </c>
      <c r="CD307" s="44">
        <f>ROUND(CC307*(1+取值表!$D$14)*取值表!$H$14,0)</f>
        <v>67271</v>
      </c>
      <c r="CE307" s="56">
        <f t="shared" ref="CE307:CG307" si="4651">CD307</f>
        <v>67271</v>
      </c>
      <c r="CF307" s="56">
        <f t="shared" si="4651"/>
        <v>67271</v>
      </c>
      <c r="CG307" s="56">
        <f t="shared" si="4651"/>
        <v>67271</v>
      </c>
      <c r="CH307" s="44">
        <f>ROUND(CG307*(1+取值表!$D$14)*取值表!$H$14,0)</f>
        <v>66468</v>
      </c>
      <c r="CI307" s="56">
        <f t="shared" ref="CI307:CK307" si="4652">CH307</f>
        <v>66468</v>
      </c>
      <c r="CJ307" s="56">
        <f t="shared" si="4652"/>
        <v>66468</v>
      </c>
      <c r="CK307" s="56">
        <f t="shared" si="4652"/>
        <v>66468</v>
      </c>
      <c r="CL307" s="44">
        <f>ROUND(CK307*(1+取值表!$D$14)*取值表!$H$14,0)</f>
        <v>65675</v>
      </c>
      <c r="CM307" s="56">
        <f t="shared" ref="CM307:CO307" si="4653">CL307</f>
        <v>65675</v>
      </c>
      <c r="CN307" s="56">
        <f t="shared" si="4653"/>
        <v>65675</v>
      </c>
      <c r="CO307" s="56">
        <f t="shared" si="4653"/>
        <v>65675</v>
      </c>
      <c r="CP307" s="44">
        <f>ROUND(CO307*(1+取值表!$D$14)*取值表!$H$14,0)</f>
        <v>64891</v>
      </c>
      <c r="CQ307" s="56">
        <f t="shared" si="4602"/>
        <v>64891</v>
      </c>
      <c r="CR307" s="56">
        <f t="shared" si="4603"/>
        <v>64891</v>
      </c>
      <c r="CS307" s="56">
        <f t="shared" si="4604"/>
        <v>64891</v>
      </c>
      <c r="CT307" s="44">
        <f>ROUND(CS307*(1+取值表!$D$14)*取值表!$H$14,0)</f>
        <v>64117</v>
      </c>
      <c r="CU307" s="56">
        <f t="shared" si="4605"/>
        <v>64117</v>
      </c>
      <c r="CV307" s="56">
        <f t="shared" si="4606"/>
        <v>64117</v>
      </c>
      <c r="CW307" s="56">
        <f t="shared" si="4607"/>
        <v>64117</v>
      </c>
      <c r="CX307" s="44">
        <f>ROUND(CW307*(1+取值表!$D$14)*取值表!$H$14,0)</f>
        <v>63352</v>
      </c>
      <c r="CY307" s="56">
        <f t="shared" si="4608"/>
        <v>63352</v>
      </c>
      <c r="CZ307" s="56">
        <f t="shared" si="4609"/>
        <v>63352</v>
      </c>
      <c r="DA307" s="56">
        <f t="shared" si="4610"/>
        <v>63352</v>
      </c>
      <c r="DB307" s="44">
        <f>ROUND(DA307*(1+取值表!$D$14)*取值表!$H$14,0)</f>
        <v>62596</v>
      </c>
      <c r="DC307" s="56">
        <f t="shared" si="4611"/>
        <v>62596</v>
      </c>
      <c r="DD307" s="56">
        <f t="shared" si="4612"/>
        <v>62596</v>
      </c>
      <c r="DE307" s="56">
        <f t="shared" si="4613"/>
        <v>62596</v>
      </c>
      <c r="DF307" s="45">
        <f t="shared" si="3929"/>
        <v>7256616</v>
      </c>
      <c r="DG307" s="40"/>
    </row>
    <row r="308" spans="1:228" ht="21" customHeight="1">
      <c r="A308" s="238">
        <v>157</v>
      </c>
      <c r="B308" s="3" t="s">
        <v>354</v>
      </c>
      <c r="C308" s="3" t="s">
        <v>352</v>
      </c>
      <c r="D308" s="247" t="s">
        <v>1177</v>
      </c>
      <c r="E308" s="240" t="s">
        <v>1178</v>
      </c>
      <c r="F308" s="41">
        <v>246.71</v>
      </c>
      <c r="G308" s="55">
        <v>5.5</v>
      </c>
      <c r="H308" s="241">
        <f>G308*F308*365</f>
        <v>495270.32500000001</v>
      </c>
      <c r="I308" s="41">
        <v>123817.58</v>
      </c>
      <c r="J308" s="225">
        <f>ROUND(G308*F308*365/4,0)</f>
        <v>123818</v>
      </c>
      <c r="K308" s="262">
        <f>J308</f>
        <v>123818</v>
      </c>
      <c r="L308" s="261">
        <f>K308</f>
        <v>123818</v>
      </c>
      <c r="M308" s="55">
        <f>L308</f>
        <v>123818</v>
      </c>
      <c r="N308" s="44">
        <f>ROUND(M308*(1+取值表!$D$14)*取值表!$H$14,0)</f>
        <v>122340</v>
      </c>
      <c r="O308" s="56">
        <f>N308</f>
        <v>122340</v>
      </c>
      <c r="P308" s="115">
        <f>O308</f>
        <v>122340</v>
      </c>
      <c r="Q308" s="115">
        <f>P308</f>
        <v>122340</v>
      </c>
      <c r="R308" s="44">
        <f>ROUND(Q308*(1+取值表!$D$14)*取值表!$H$14,0)</f>
        <v>120880</v>
      </c>
      <c r="S308" s="56">
        <f t="shared" si="4583"/>
        <v>120880</v>
      </c>
      <c r="T308" s="115">
        <f t="shared" si="4583"/>
        <v>120880</v>
      </c>
      <c r="U308" s="115">
        <f t="shared" si="4583"/>
        <v>120880</v>
      </c>
      <c r="V308" s="44">
        <f>ROUND(U308*(1+取值表!$D$14)*取值表!$H$14,0)</f>
        <v>119437</v>
      </c>
      <c r="W308" s="56">
        <f t="shared" ref="W308:BA310" si="4654">V308</f>
        <v>119437</v>
      </c>
      <c r="X308" s="115">
        <f t="shared" si="4654"/>
        <v>119437</v>
      </c>
      <c r="Y308" s="115">
        <f t="shared" si="4654"/>
        <v>119437</v>
      </c>
      <c r="Z308" s="44">
        <f>ROUND(Y308*(1+取值表!$D$14)*取值表!$H$14,0)</f>
        <v>118012</v>
      </c>
      <c r="AA308" s="56">
        <f t="shared" ref="AA308:AC308" si="4655">Z308</f>
        <v>118012</v>
      </c>
      <c r="AB308" s="115">
        <f t="shared" si="4655"/>
        <v>118012</v>
      </c>
      <c r="AC308" s="115">
        <f t="shared" si="4655"/>
        <v>118012</v>
      </c>
      <c r="AD308" s="44">
        <f>ROUND(AC308*(1+取值表!$D$14)*取值表!$H$14,0)</f>
        <v>116604</v>
      </c>
      <c r="AE308" s="56">
        <f t="shared" ref="AE308:AG308" si="4656">AD308</f>
        <v>116604</v>
      </c>
      <c r="AF308" s="115">
        <f t="shared" si="4656"/>
        <v>116604</v>
      </c>
      <c r="AG308" s="115">
        <f t="shared" si="4656"/>
        <v>116604</v>
      </c>
      <c r="AH308" s="44">
        <f>ROUND(AG308*(1+取值表!$D$14)*取值表!$H$14,0)</f>
        <v>115212</v>
      </c>
      <c r="AI308" s="56">
        <f t="shared" ref="AI308:AK308" si="4657">AH308</f>
        <v>115212</v>
      </c>
      <c r="AJ308" s="115">
        <f t="shared" si="4657"/>
        <v>115212</v>
      </c>
      <c r="AK308" s="115">
        <f t="shared" si="4657"/>
        <v>115212</v>
      </c>
      <c r="AL308" s="44">
        <f>ROUND(AK308*(1+取值表!$D$14)*取值表!$H$14,0)</f>
        <v>113837</v>
      </c>
      <c r="AM308" s="56">
        <f t="shared" ref="AM308:AO308" si="4658">AL308</f>
        <v>113837</v>
      </c>
      <c r="AN308" s="115">
        <f t="shared" si="4658"/>
        <v>113837</v>
      </c>
      <c r="AO308" s="115">
        <f t="shared" si="4658"/>
        <v>113837</v>
      </c>
      <c r="AP308" s="44">
        <f>ROUND(AO308*(1+取值表!$D$14)*取值表!$H$14,0)</f>
        <v>112478</v>
      </c>
      <c r="AQ308" s="56">
        <f t="shared" ref="AQ308:AS308" si="4659">AP308</f>
        <v>112478</v>
      </c>
      <c r="AR308" s="115">
        <f t="shared" si="4659"/>
        <v>112478</v>
      </c>
      <c r="AS308" s="115">
        <f t="shared" si="4659"/>
        <v>112478</v>
      </c>
      <c r="AT308" s="44">
        <f>ROUND(AS308*(1+取值表!$D$14)*取值表!$H$14,0)</f>
        <v>111136</v>
      </c>
      <c r="AU308" s="56">
        <f t="shared" ref="AU308:AW308" si="4660">AT308</f>
        <v>111136</v>
      </c>
      <c r="AV308" s="115">
        <f t="shared" si="4660"/>
        <v>111136</v>
      </c>
      <c r="AW308" s="115">
        <f t="shared" si="4660"/>
        <v>111136</v>
      </c>
      <c r="AX308" s="44">
        <f>ROUND(AW308*(1+取值表!$D$14)*取值表!$H$14,0)</f>
        <v>109810</v>
      </c>
      <c r="AY308" s="56">
        <f t="shared" ref="AY308:BA308" si="4661">AX308</f>
        <v>109810</v>
      </c>
      <c r="AZ308" s="115">
        <f t="shared" si="4661"/>
        <v>109810</v>
      </c>
      <c r="BA308" s="115">
        <f t="shared" si="4661"/>
        <v>109810</v>
      </c>
      <c r="BB308" s="44">
        <f>ROUND(BA308*(1+取值表!$D$14)*取值表!$H$14,0)</f>
        <v>108500</v>
      </c>
      <c r="BC308" s="56">
        <f t="shared" ref="BC308:CO310" si="4662">BB308</f>
        <v>108500</v>
      </c>
      <c r="BD308" s="115">
        <f t="shared" si="4662"/>
        <v>108500</v>
      </c>
      <c r="BE308" s="115">
        <f t="shared" si="4662"/>
        <v>108500</v>
      </c>
      <c r="BF308" s="44">
        <f>ROUND(BE308*(1+取值表!$D$14)*取值表!$H$14,0)</f>
        <v>107205</v>
      </c>
      <c r="BG308" s="56">
        <f t="shared" ref="BG308:BI308" si="4663">BF308</f>
        <v>107205</v>
      </c>
      <c r="BH308" s="115">
        <f t="shared" si="4663"/>
        <v>107205</v>
      </c>
      <c r="BI308" s="115">
        <f t="shared" si="4663"/>
        <v>107205</v>
      </c>
      <c r="BJ308" s="44">
        <f>ROUND(BI308*(1+取值表!$D$14)*取值表!$H$14,0)</f>
        <v>105926</v>
      </c>
      <c r="BK308" s="56">
        <f t="shared" ref="BK308:BM308" si="4664">BJ308</f>
        <v>105926</v>
      </c>
      <c r="BL308" s="115">
        <f t="shared" si="4664"/>
        <v>105926</v>
      </c>
      <c r="BM308" s="115">
        <f t="shared" si="4664"/>
        <v>105926</v>
      </c>
      <c r="BN308" s="44">
        <f>ROUND(BM308*(1+取值表!$D$14)*取值表!$H$14,0)</f>
        <v>104662</v>
      </c>
      <c r="BO308" s="56">
        <f t="shared" ref="BO308:BQ308" si="4665">BN308</f>
        <v>104662</v>
      </c>
      <c r="BP308" s="115">
        <f t="shared" si="4665"/>
        <v>104662</v>
      </c>
      <c r="BQ308" s="115">
        <f t="shared" si="4665"/>
        <v>104662</v>
      </c>
      <c r="BR308" s="44">
        <f>ROUND(BQ308*(1+取值表!$D$14)*取值表!$H$14,0)</f>
        <v>103413</v>
      </c>
      <c r="BS308" s="56">
        <f t="shared" ref="BS308:BU308" si="4666">BR308</f>
        <v>103413</v>
      </c>
      <c r="BT308" s="115">
        <f t="shared" si="4666"/>
        <v>103413</v>
      </c>
      <c r="BU308" s="115">
        <f t="shared" si="4666"/>
        <v>103413</v>
      </c>
      <c r="BV308" s="44">
        <f>ROUND(BU308*(1+取值表!$D$14)*取值表!$H$14,0)</f>
        <v>102179</v>
      </c>
      <c r="BW308" s="56">
        <f t="shared" ref="BW308:BY308" si="4667">BV308</f>
        <v>102179</v>
      </c>
      <c r="BX308" s="115">
        <f t="shared" si="4667"/>
        <v>102179</v>
      </c>
      <c r="BY308" s="115">
        <f t="shared" si="4667"/>
        <v>102179</v>
      </c>
      <c r="BZ308" s="44">
        <f>ROUND(BY308*(1+取值表!$D$14)*取值表!$H$14,0)</f>
        <v>100960</v>
      </c>
      <c r="CA308" s="56">
        <f t="shared" ref="CA308:CC308" si="4668">BZ308</f>
        <v>100960</v>
      </c>
      <c r="CB308" s="115">
        <f t="shared" si="4668"/>
        <v>100960</v>
      </c>
      <c r="CC308" s="115">
        <f t="shared" si="4668"/>
        <v>100960</v>
      </c>
      <c r="CD308" s="44">
        <f>ROUND(CC308*(1+取值表!$D$14)*取值表!$H$14,0)</f>
        <v>99755</v>
      </c>
      <c r="CE308" s="56">
        <f t="shared" ref="CE308:CG308" si="4669">CD308</f>
        <v>99755</v>
      </c>
      <c r="CF308" s="115">
        <f t="shared" si="4669"/>
        <v>99755</v>
      </c>
      <c r="CG308" s="115">
        <f t="shared" si="4669"/>
        <v>99755</v>
      </c>
      <c r="CH308" s="44">
        <f>ROUND(CG308*(1+取值表!$D$14)*取值表!$H$14,0)</f>
        <v>98565</v>
      </c>
      <c r="CI308" s="56">
        <f t="shared" ref="CI308:CK308" si="4670">CH308</f>
        <v>98565</v>
      </c>
      <c r="CJ308" s="115">
        <f t="shared" si="4670"/>
        <v>98565</v>
      </c>
      <c r="CK308" s="115">
        <f t="shared" si="4670"/>
        <v>98565</v>
      </c>
      <c r="CL308" s="44">
        <f>ROUND(CK308*(1+取值表!$D$14)*取值表!$H$14,0)</f>
        <v>97389</v>
      </c>
      <c r="CM308" s="56">
        <f t="shared" ref="CM308:CO308" si="4671">CL308</f>
        <v>97389</v>
      </c>
      <c r="CN308" s="115">
        <f t="shared" si="4671"/>
        <v>97389</v>
      </c>
      <c r="CO308" s="115">
        <f t="shared" si="4671"/>
        <v>97389</v>
      </c>
      <c r="CP308" s="44">
        <f>ROUND(CO308*(1+取值表!$D$14)*取值表!$H$14,0)</f>
        <v>96227</v>
      </c>
      <c r="CQ308" s="56">
        <f t="shared" si="4602"/>
        <v>96227</v>
      </c>
      <c r="CR308" s="345">
        <f t="shared" si="4603"/>
        <v>96227</v>
      </c>
      <c r="CS308" s="345">
        <f t="shared" si="4604"/>
        <v>96227</v>
      </c>
      <c r="CT308" s="44">
        <f>ROUND(CS308*(1+取值表!$D$14)*取值表!$H$14,0)</f>
        <v>95079</v>
      </c>
      <c r="CU308" s="56">
        <f t="shared" si="4605"/>
        <v>95079</v>
      </c>
      <c r="CV308" s="345">
        <f t="shared" si="4606"/>
        <v>95079</v>
      </c>
      <c r="CW308" s="345">
        <f t="shared" si="4607"/>
        <v>95079</v>
      </c>
      <c r="CX308" s="44">
        <f>ROUND(CW308*(1+取值表!$D$14)*取值表!$H$14,0)</f>
        <v>93944</v>
      </c>
      <c r="CY308" s="56">
        <f t="shared" si="4608"/>
        <v>93944</v>
      </c>
      <c r="CZ308" s="345">
        <f t="shared" si="4609"/>
        <v>93944</v>
      </c>
      <c r="DA308" s="345">
        <f t="shared" si="4610"/>
        <v>93944</v>
      </c>
      <c r="DB308" s="44">
        <f>ROUND(DA308*(1+取值表!$D$14)*取值表!$H$14,0)</f>
        <v>92823</v>
      </c>
      <c r="DC308" s="56">
        <f t="shared" si="4611"/>
        <v>92823</v>
      </c>
      <c r="DD308" s="345">
        <f t="shared" si="4612"/>
        <v>92823</v>
      </c>
      <c r="DE308" s="345">
        <f t="shared" si="4613"/>
        <v>92823</v>
      </c>
      <c r="DF308" s="45">
        <f t="shared" si="3929"/>
        <v>10760764</v>
      </c>
      <c r="DG308" s="40"/>
    </row>
    <row r="309" spans="1:228" ht="21" customHeight="1">
      <c r="A309" s="115">
        <v>158</v>
      </c>
      <c r="B309" s="3" t="s">
        <v>356</v>
      </c>
      <c r="C309" s="4" t="s">
        <v>1168</v>
      </c>
      <c r="D309" s="263" t="s">
        <v>357</v>
      </c>
      <c r="E309" s="256" t="s">
        <v>509</v>
      </c>
      <c r="F309" s="264">
        <v>166.76</v>
      </c>
      <c r="G309" s="265">
        <v>16.5</v>
      </c>
      <c r="H309" s="241">
        <f>G309*F309*365</f>
        <v>1004312.1</v>
      </c>
      <c r="I309" s="41">
        <v>251078.03</v>
      </c>
      <c r="J309" s="225">
        <f t="shared" ref="J309" si="4672">ROUND(G309*F309*365/4,0)</f>
        <v>251078</v>
      </c>
      <c r="K309" s="261">
        <f>J309</f>
        <v>251078</v>
      </c>
      <c r="L309" s="261">
        <f t="shared" ref="L309" si="4673">K309</f>
        <v>251078</v>
      </c>
      <c r="M309" s="261">
        <f t="shared" ref="M309" si="4674">L309</f>
        <v>251078</v>
      </c>
      <c r="N309" s="261">
        <f t="shared" ref="N309" si="4675">M309</f>
        <v>251078</v>
      </c>
      <c r="O309" s="261">
        <f t="shared" ref="O309" si="4676">N309</f>
        <v>251078</v>
      </c>
      <c r="P309" s="261">
        <f t="shared" ref="P309" si="4677">O309</f>
        <v>251078</v>
      </c>
      <c r="Q309" s="261">
        <f t="shared" ref="Q309" si="4678">P309</f>
        <v>251078</v>
      </c>
      <c r="R309" s="261">
        <f t="shared" ref="R309:R310" si="4679">Q309</f>
        <v>251078</v>
      </c>
      <c r="S309" s="262">
        <f t="shared" ref="S309" si="4680">R309</f>
        <v>251078</v>
      </c>
      <c r="T309" s="261">
        <f>S309</f>
        <v>251078</v>
      </c>
      <c r="U309" s="261">
        <f>T309</f>
        <v>251078</v>
      </c>
      <c r="V309" s="44">
        <f>ROUND(U309*(1+取值表!$D$14)*取值表!$H$14,0)</f>
        <v>248082</v>
      </c>
      <c r="W309" s="56">
        <f>V309</f>
        <v>248082</v>
      </c>
      <c r="X309" s="115">
        <f t="shared" si="4654"/>
        <v>248082</v>
      </c>
      <c r="Y309" s="115">
        <f t="shared" si="4654"/>
        <v>248082</v>
      </c>
      <c r="Z309" s="44">
        <f>ROUND(Y309*(1+取值表!$D$14)*取值表!$H$14,0)</f>
        <v>245121</v>
      </c>
      <c r="AA309" s="56">
        <f t="shared" ref="AA309" si="4681">Z309</f>
        <v>245121</v>
      </c>
      <c r="AB309" s="115">
        <f t="shared" si="4654"/>
        <v>245121</v>
      </c>
      <c r="AC309" s="115">
        <f t="shared" si="4654"/>
        <v>245121</v>
      </c>
      <c r="AD309" s="44">
        <f>ROUND(AC309*(1+取值表!$D$14)*取值表!$H$14,0)</f>
        <v>242196</v>
      </c>
      <c r="AE309" s="56">
        <f t="shared" ref="AE309" si="4682">AD309</f>
        <v>242196</v>
      </c>
      <c r="AF309" s="115">
        <f t="shared" si="4654"/>
        <v>242196</v>
      </c>
      <c r="AG309" s="115">
        <f t="shared" si="4654"/>
        <v>242196</v>
      </c>
      <c r="AH309" s="44">
        <f>ROUND(AG309*(1+取值表!$D$14)*取值表!$H$14,0)</f>
        <v>239306</v>
      </c>
      <c r="AI309" s="56">
        <f t="shared" ref="AI309" si="4683">AH309</f>
        <v>239306</v>
      </c>
      <c r="AJ309" s="115">
        <f t="shared" si="4654"/>
        <v>239306</v>
      </c>
      <c r="AK309" s="115">
        <f t="shared" si="4654"/>
        <v>239306</v>
      </c>
      <c r="AL309" s="44">
        <f>ROUND(AK309*(1+取值表!$D$14)*取值表!$H$14,0)</f>
        <v>236450</v>
      </c>
      <c r="AM309" s="56">
        <f t="shared" ref="AM309" si="4684">AL309</f>
        <v>236450</v>
      </c>
      <c r="AN309" s="115">
        <f t="shared" si="4654"/>
        <v>236450</v>
      </c>
      <c r="AO309" s="115">
        <f t="shared" si="4654"/>
        <v>236450</v>
      </c>
      <c r="AP309" s="44">
        <f>ROUND(AO309*(1+取值表!$D$14)*取值表!$H$14,0)</f>
        <v>233628</v>
      </c>
      <c r="AQ309" s="56">
        <f t="shared" ref="AQ309:AQ310" si="4685">AP309</f>
        <v>233628</v>
      </c>
      <c r="AR309" s="115">
        <f t="shared" si="4654"/>
        <v>233628</v>
      </c>
      <c r="AS309" s="115">
        <f t="shared" si="4654"/>
        <v>233628</v>
      </c>
      <c r="AT309" s="44">
        <f>ROUND(AS309*(1+取值表!$D$14)*取值表!$H$14,0)</f>
        <v>230840</v>
      </c>
      <c r="AU309" s="56">
        <f t="shared" ref="AU309" si="4686">AT309</f>
        <v>230840</v>
      </c>
      <c r="AV309" s="115">
        <f t="shared" si="4654"/>
        <v>230840</v>
      </c>
      <c r="AW309" s="115">
        <f t="shared" si="4654"/>
        <v>230840</v>
      </c>
      <c r="AX309" s="44">
        <f>ROUND(AW309*(1+取值表!$D$14)*取值表!$H$14,0)</f>
        <v>228085</v>
      </c>
      <c r="AY309" s="56">
        <f t="shared" ref="AY309" si="4687">AX309</f>
        <v>228085</v>
      </c>
      <c r="AZ309" s="115">
        <f t="shared" si="4654"/>
        <v>228085</v>
      </c>
      <c r="BA309" s="115">
        <f t="shared" si="4654"/>
        <v>228085</v>
      </c>
      <c r="BB309" s="44">
        <f>ROUND(BA309*(1+取值表!$D$14)*取值表!$H$14,0)</f>
        <v>225363</v>
      </c>
      <c r="BC309" s="56">
        <f t="shared" ref="BC309" si="4688">BB309</f>
        <v>225363</v>
      </c>
      <c r="BD309" s="115">
        <f t="shared" si="4662"/>
        <v>225363</v>
      </c>
      <c r="BE309" s="115">
        <f t="shared" si="4662"/>
        <v>225363</v>
      </c>
      <c r="BF309" s="44">
        <f>ROUND(BE309*(1+取值表!$D$14)*取值表!$H$14,0)</f>
        <v>222673</v>
      </c>
      <c r="BG309" s="56">
        <f t="shared" ref="BG309" si="4689">BF309</f>
        <v>222673</v>
      </c>
      <c r="BH309" s="115">
        <f t="shared" si="4662"/>
        <v>222673</v>
      </c>
      <c r="BI309" s="115">
        <f t="shared" si="4662"/>
        <v>222673</v>
      </c>
      <c r="BJ309" s="44">
        <f>ROUND(BI309*(1+取值表!$D$14)*取值表!$H$14,0)</f>
        <v>220016</v>
      </c>
      <c r="BK309" s="56">
        <f t="shared" ref="BK309:BK310" si="4690">BJ309</f>
        <v>220016</v>
      </c>
      <c r="BL309" s="115">
        <f t="shared" si="4662"/>
        <v>220016</v>
      </c>
      <c r="BM309" s="115">
        <f t="shared" si="4662"/>
        <v>220016</v>
      </c>
      <c r="BN309" s="44">
        <f>ROUND(BM309*(1+取值表!$D$14)*取值表!$H$14,0)</f>
        <v>217390</v>
      </c>
      <c r="BO309" s="56">
        <f t="shared" ref="BO309" si="4691">BN309</f>
        <v>217390</v>
      </c>
      <c r="BP309" s="115">
        <f t="shared" si="4662"/>
        <v>217390</v>
      </c>
      <c r="BQ309" s="115">
        <f t="shared" si="4662"/>
        <v>217390</v>
      </c>
      <c r="BR309" s="44">
        <f>ROUND(BQ309*(1+取值表!$D$14)*取值表!$H$14,0)</f>
        <v>214796</v>
      </c>
      <c r="BS309" s="56">
        <f t="shared" ref="BS309" si="4692">BR309</f>
        <v>214796</v>
      </c>
      <c r="BT309" s="115">
        <f t="shared" si="4662"/>
        <v>214796</v>
      </c>
      <c r="BU309" s="115">
        <f t="shared" si="4662"/>
        <v>214796</v>
      </c>
      <c r="BV309" s="44">
        <f>ROUND(BU309*(1+取值表!$D$14)*取值表!$H$14,0)</f>
        <v>212233</v>
      </c>
      <c r="BW309" s="56">
        <f t="shared" ref="BW309" si="4693">BV309</f>
        <v>212233</v>
      </c>
      <c r="BX309" s="115">
        <f t="shared" si="4662"/>
        <v>212233</v>
      </c>
      <c r="BY309" s="115">
        <f t="shared" si="4662"/>
        <v>212233</v>
      </c>
      <c r="BZ309" s="44">
        <f>ROUND(BY309*(1+取值表!$D$14)*取值表!$H$14,0)</f>
        <v>209700</v>
      </c>
      <c r="CA309" s="56">
        <f t="shared" ref="CA309" si="4694">BZ309</f>
        <v>209700</v>
      </c>
      <c r="CB309" s="115">
        <f t="shared" si="4662"/>
        <v>209700</v>
      </c>
      <c r="CC309" s="115">
        <f t="shared" si="4662"/>
        <v>209700</v>
      </c>
      <c r="CD309" s="44">
        <f>ROUND(CC309*(1+取值表!$D$14)*取值表!$H$14,0)</f>
        <v>207197</v>
      </c>
      <c r="CE309" s="56">
        <f t="shared" ref="CE309:CE310" si="4695">CD309</f>
        <v>207197</v>
      </c>
      <c r="CF309" s="115">
        <f t="shared" si="4662"/>
        <v>207197</v>
      </c>
      <c r="CG309" s="115">
        <f t="shared" si="4662"/>
        <v>207197</v>
      </c>
      <c r="CH309" s="44">
        <f>ROUND(CG309*(1+取值表!$D$14)*取值表!$H$14,0)</f>
        <v>204724</v>
      </c>
      <c r="CI309" s="56">
        <f t="shared" ref="CI309" si="4696">CH309</f>
        <v>204724</v>
      </c>
      <c r="CJ309" s="115">
        <f t="shared" si="4662"/>
        <v>204724</v>
      </c>
      <c r="CK309" s="115">
        <f t="shared" si="4662"/>
        <v>204724</v>
      </c>
      <c r="CL309" s="44">
        <f>ROUND(CK309*(1+取值表!$D$14)*取值表!$H$14,0)</f>
        <v>202281</v>
      </c>
      <c r="CM309" s="56">
        <f t="shared" ref="CM309" si="4697">CL309</f>
        <v>202281</v>
      </c>
      <c r="CN309" s="115">
        <f t="shared" si="4662"/>
        <v>202281</v>
      </c>
      <c r="CO309" s="115">
        <f t="shared" si="4662"/>
        <v>202281</v>
      </c>
      <c r="CP309" s="44">
        <f>ROUND(CO309*(1+取值表!$D$14)*取值表!$H$14,0)</f>
        <v>199867</v>
      </c>
      <c r="CQ309" s="56">
        <f t="shared" si="4602"/>
        <v>199867</v>
      </c>
      <c r="CR309" s="345">
        <f t="shared" si="4603"/>
        <v>199867</v>
      </c>
      <c r="CS309" s="345">
        <f t="shared" si="4604"/>
        <v>199867</v>
      </c>
      <c r="CT309" s="44">
        <f>ROUND(CS309*(1+取值表!$D$14)*取值表!$H$14,0)</f>
        <v>197482</v>
      </c>
      <c r="CU309" s="56">
        <f t="shared" si="4605"/>
        <v>197482</v>
      </c>
      <c r="CV309" s="345">
        <f t="shared" si="4606"/>
        <v>197482</v>
      </c>
      <c r="CW309" s="345">
        <f t="shared" si="4607"/>
        <v>197482</v>
      </c>
      <c r="CX309" s="44">
        <f>ROUND(CW309*(1+取值表!$D$14)*取值表!$H$14,0)</f>
        <v>195125</v>
      </c>
      <c r="CY309" s="56">
        <f t="shared" si="4608"/>
        <v>195125</v>
      </c>
      <c r="CZ309" s="345">
        <f t="shared" si="4609"/>
        <v>195125</v>
      </c>
      <c r="DA309" s="345">
        <f t="shared" si="4610"/>
        <v>195125</v>
      </c>
      <c r="DB309" s="44">
        <f>ROUND(DA309*(1+取值表!$D$14)*取值表!$H$14,0)</f>
        <v>192796</v>
      </c>
      <c r="DC309" s="56">
        <f t="shared" si="4611"/>
        <v>192796</v>
      </c>
      <c r="DD309" s="345">
        <f t="shared" si="4612"/>
        <v>192796</v>
      </c>
      <c r="DE309" s="345">
        <f t="shared" si="4613"/>
        <v>192796</v>
      </c>
      <c r="DF309" s="45">
        <f t="shared" si="3929"/>
        <v>22314340</v>
      </c>
      <c r="DG309" s="40"/>
    </row>
    <row r="310" spans="1:228" s="52" customFormat="1" ht="12" customHeight="1">
      <c r="A310" s="504">
        <v>159</v>
      </c>
      <c r="B310" s="506" t="s">
        <v>247</v>
      </c>
      <c r="C310" s="508" t="s">
        <v>715</v>
      </c>
      <c r="D310" s="510" t="s">
        <v>705</v>
      </c>
      <c r="E310" s="512" t="s">
        <v>509</v>
      </c>
      <c r="F310" s="500">
        <v>71.430000000000007</v>
      </c>
      <c r="G310" s="500">
        <v>9</v>
      </c>
      <c r="H310" s="502">
        <f>F310*G310*365</f>
        <v>234647.55000000005</v>
      </c>
      <c r="I310" s="228">
        <v>58661.89</v>
      </c>
      <c r="J310" s="42">
        <f>ROUND(G310*F310*365/4,0)</f>
        <v>58662</v>
      </c>
      <c r="K310" s="42">
        <f>J310</f>
        <v>58662</v>
      </c>
      <c r="L310" s="42">
        <f>K310</f>
        <v>58662</v>
      </c>
      <c r="M310" s="43">
        <f>L310</f>
        <v>58662</v>
      </c>
      <c r="N310" s="44">
        <f>ROUND(M310*(1+取值表!$D$14)*取值表!$H$14,0)</f>
        <v>57962</v>
      </c>
      <c r="O310" s="42">
        <f>N310</f>
        <v>57962</v>
      </c>
      <c r="P310" s="42">
        <f>O310</f>
        <v>57962</v>
      </c>
      <c r="Q310" s="42">
        <f>P310</f>
        <v>57962</v>
      </c>
      <c r="R310" s="261">
        <f t="shared" si="4679"/>
        <v>57962</v>
      </c>
      <c r="S310" s="44">
        <f>ROUND(R310*(1+取值表!$D$14)*取值表!$H$14,0)</f>
        <v>57270</v>
      </c>
      <c r="T310" s="42">
        <f t="shared" ref="T310:V310" si="4698">S310</f>
        <v>57270</v>
      </c>
      <c r="U310" s="42">
        <f t="shared" si="4698"/>
        <v>57270</v>
      </c>
      <c r="V310" s="42">
        <f t="shared" si="4698"/>
        <v>57270</v>
      </c>
      <c r="W310" s="261">
        <f t="shared" ref="W310" si="4699">V310</f>
        <v>57270</v>
      </c>
      <c r="X310" s="44">
        <f>ROUND(W310*(1+取值表!$D$14)*取值表!$H$14,0)</f>
        <v>56587</v>
      </c>
      <c r="Y310" s="42">
        <f t="shared" ref="Y310:AA310" si="4700">X310</f>
        <v>56587</v>
      </c>
      <c r="Z310" s="42">
        <f t="shared" si="4700"/>
        <v>56587</v>
      </c>
      <c r="AA310" s="42">
        <f t="shared" si="4700"/>
        <v>56587</v>
      </c>
      <c r="AB310" s="261">
        <f t="shared" si="4654"/>
        <v>56587</v>
      </c>
      <c r="AC310" s="44">
        <f>ROUND(AB310*(1+取值表!$D$14)*取值表!$H$14,0)</f>
        <v>55912</v>
      </c>
      <c r="AD310" s="42">
        <f t="shared" ref="AD310:AF310" si="4701">AC310</f>
        <v>55912</v>
      </c>
      <c r="AE310" s="42">
        <f t="shared" si="4701"/>
        <v>55912</v>
      </c>
      <c r="AF310" s="42">
        <f t="shared" si="4701"/>
        <v>55912</v>
      </c>
      <c r="AG310" s="261">
        <f t="shared" si="4654"/>
        <v>55912</v>
      </c>
      <c r="AH310" s="44">
        <f>ROUND(AG310*(1+取值表!$D$14)*取值表!$H$14,0)</f>
        <v>55245</v>
      </c>
      <c r="AI310" s="42">
        <f t="shared" ref="AI310:AK310" si="4702">AH310</f>
        <v>55245</v>
      </c>
      <c r="AJ310" s="42">
        <f t="shared" si="4702"/>
        <v>55245</v>
      </c>
      <c r="AK310" s="42">
        <f t="shared" si="4702"/>
        <v>55245</v>
      </c>
      <c r="AL310" s="261">
        <f t="shared" ref="AL310" si="4703">AK310</f>
        <v>55245</v>
      </c>
      <c r="AM310" s="44">
        <f>ROUND(AL310*(1+取值表!$D$14)*取值表!$H$14,0)</f>
        <v>54586</v>
      </c>
      <c r="AN310" s="42">
        <f t="shared" ref="AN310:AP310" si="4704">AM310</f>
        <v>54586</v>
      </c>
      <c r="AO310" s="42">
        <f t="shared" si="4704"/>
        <v>54586</v>
      </c>
      <c r="AP310" s="42">
        <f t="shared" si="4704"/>
        <v>54586</v>
      </c>
      <c r="AQ310" s="261">
        <f t="shared" si="4685"/>
        <v>54586</v>
      </c>
      <c r="AR310" s="44">
        <f>ROUND(AQ310*(1+取值表!$D$14)*取值表!$H$14,0)</f>
        <v>53935</v>
      </c>
      <c r="AS310" s="42">
        <f t="shared" ref="AS310:AU310" si="4705">AR310</f>
        <v>53935</v>
      </c>
      <c r="AT310" s="42">
        <f t="shared" si="4705"/>
        <v>53935</v>
      </c>
      <c r="AU310" s="42">
        <f t="shared" si="4705"/>
        <v>53935</v>
      </c>
      <c r="AV310" s="261">
        <f t="shared" si="4654"/>
        <v>53935</v>
      </c>
      <c r="AW310" s="44">
        <f>ROUND(AV310*(1+取值表!$D$14)*取值表!$H$14,0)</f>
        <v>53291</v>
      </c>
      <c r="AX310" s="42">
        <f t="shared" ref="AX310:AZ310" si="4706">AW310</f>
        <v>53291</v>
      </c>
      <c r="AY310" s="42">
        <f t="shared" si="4706"/>
        <v>53291</v>
      </c>
      <c r="AZ310" s="42">
        <f t="shared" si="4706"/>
        <v>53291</v>
      </c>
      <c r="BA310" s="261">
        <f t="shared" si="4654"/>
        <v>53291</v>
      </c>
      <c r="BB310" s="44">
        <f>ROUND(BA310*(1+取值表!$D$14)*取值表!$H$14,0)</f>
        <v>52655</v>
      </c>
      <c r="BC310" s="42">
        <f t="shared" ref="BC310:BE310" si="4707">BB310</f>
        <v>52655</v>
      </c>
      <c r="BD310" s="42">
        <f t="shared" si="4707"/>
        <v>52655</v>
      </c>
      <c r="BE310" s="42">
        <f t="shared" si="4707"/>
        <v>52655</v>
      </c>
      <c r="BF310" s="261">
        <f t="shared" ref="BF310" si="4708">BE310</f>
        <v>52655</v>
      </c>
      <c r="BG310" s="44">
        <f>ROUND(BF310*(1+取值表!$D$14)*取值表!$H$14,0)</f>
        <v>52027</v>
      </c>
      <c r="BH310" s="42">
        <f t="shared" ref="BH310:BJ310" si="4709">BG310</f>
        <v>52027</v>
      </c>
      <c r="BI310" s="42">
        <f t="shared" si="4709"/>
        <v>52027</v>
      </c>
      <c r="BJ310" s="42">
        <f t="shared" si="4709"/>
        <v>52027</v>
      </c>
      <c r="BK310" s="261">
        <f t="shared" si="4690"/>
        <v>52027</v>
      </c>
      <c r="BL310" s="44">
        <f>ROUND(BK310*(1+取值表!$D$14)*取值表!$H$14,0)</f>
        <v>51406</v>
      </c>
      <c r="BM310" s="42">
        <f t="shared" ref="BM310:BO310" si="4710">BL310</f>
        <v>51406</v>
      </c>
      <c r="BN310" s="42">
        <f t="shared" si="4710"/>
        <v>51406</v>
      </c>
      <c r="BO310" s="42">
        <f t="shared" si="4710"/>
        <v>51406</v>
      </c>
      <c r="BP310" s="261">
        <f t="shared" si="4662"/>
        <v>51406</v>
      </c>
      <c r="BQ310" s="44">
        <f>ROUND(BP310*(1+取值表!$D$14)*取值表!$H$14,0)</f>
        <v>50793</v>
      </c>
      <c r="BR310" s="42">
        <f t="shared" ref="BR310:BT310" si="4711">BQ310</f>
        <v>50793</v>
      </c>
      <c r="BS310" s="42">
        <f t="shared" si="4711"/>
        <v>50793</v>
      </c>
      <c r="BT310" s="42">
        <f t="shared" si="4711"/>
        <v>50793</v>
      </c>
      <c r="BU310" s="261">
        <f t="shared" si="4662"/>
        <v>50793</v>
      </c>
      <c r="BV310" s="44">
        <f>ROUND(BU310*(1+取值表!$D$14)*取值表!$H$14,0)</f>
        <v>50187</v>
      </c>
      <c r="BW310" s="42">
        <f t="shared" ref="BW310:BY310" si="4712">BV310</f>
        <v>50187</v>
      </c>
      <c r="BX310" s="42">
        <f t="shared" si="4712"/>
        <v>50187</v>
      </c>
      <c r="BY310" s="42">
        <f t="shared" si="4712"/>
        <v>50187</v>
      </c>
      <c r="BZ310" s="261">
        <f t="shared" ref="BZ310" si="4713">BY310</f>
        <v>50187</v>
      </c>
      <c r="CA310" s="44">
        <f>ROUND(BZ310*(1+取值表!$D$14)*取值表!$H$14,0)</f>
        <v>49588</v>
      </c>
      <c r="CB310" s="42">
        <f t="shared" ref="CB310:CD310" si="4714">CA310</f>
        <v>49588</v>
      </c>
      <c r="CC310" s="42">
        <f t="shared" si="4714"/>
        <v>49588</v>
      </c>
      <c r="CD310" s="42">
        <f t="shared" si="4714"/>
        <v>49588</v>
      </c>
      <c r="CE310" s="261">
        <f t="shared" si="4695"/>
        <v>49588</v>
      </c>
      <c r="CF310" s="44">
        <f>ROUND(CE310*(1+取值表!$D$14)*取值表!$H$14,0)</f>
        <v>48996</v>
      </c>
      <c r="CG310" s="42">
        <f t="shared" ref="CG310:CI310" si="4715">CF310</f>
        <v>48996</v>
      </c>
      <c r="CH310" s="42">
        <f t="shared" si="4715"/>
        <v>48996</v>
      </c>
      <c r="CI310" s="42">
        <f t="shared" si="4715"/>
        <v>48996</v>
      </c>
      <c r="CJ310" s="261">
        <f t="shared" si="4662"/>
        <v>48996</v>
      </c>
      <c r="CK310" s="44">
        <f>ROUND(CJ310*(1+取值表!$D$14)*取值表!$H$14,0)</f>
        <v>48411</v>
      </c>
      <c r="CL310" s="42">
        <f t="shared" ref="CL310" si="4716">CK310</f>
        <v>48411</v>
      </c>
      <c r="CM310" s="42">
        <f t="shared" ref="CM310:CO310" si="4717">CL310</f>
        <v>48411</v>
      </c>
      <c r="CN310" s="42">
        <f t="shared" si="4717"/>
        <v>48411</v>
      </c>
      <c r="CO310" s="42">
        <f t="shared" si="4717"/>
        <v>48411</v>
      </c>
      <c r="CP310" s="42">
        <f t="shared" ref="CP310" si="4718">CO310</f>
        <v>48411</v>
      </c>
      <c r="CQ310" s="42">
        <f t="shared" si="4602"/>
        <v>48411</v>
      </c>
      <c r="CR310" s="42">
        <f t="shared" si="4603"/>
        <v>48411</v>
      </c>
      <c r="CS310" s="42">
        <f t="shared" si="4604"/>
        <v>48411</v>
      </c>
      <c r="CT310" s="42">
        <f t="shared" ref="CT310" si="4719">CS310</f>
        <v>48411</v>
      </c>
      <c r="CU310" s="42">
        <f t="shared" si="4605"/>
        <v>48411</v>
      </c>
      <c r="CV310" s="42">
        <f t="shared" si="4606"/>
        <v>48411</v>
      </c>
      <c r="CW310" s="42">
        <f t="shared" si="4607"/>
        <v>48411</v>
      </c>
      <c r="CX310" s="42">
        <f t="shared" ref="CX310" si="4720">CW310</f>
        <v>48411</v>
      </c>
      <c r="CY310" s="42">
        <f t="shared" si="4608"/>
        <v>48411</v>
      </c>
      <c r="CZ310" s="42">
        <f t="shared" si="4609"/>
        <v>48411</v>
      </c>
      <c r="DA310" s="42">
        <f t="shared" si="4610"/>
        <v>48411</v>
      </c>
      <c r="DB310" s="42">
        <f t="shared" ref="DB310" si="4721">DA310</f>
        <v>48411</v>
      </c>
      <c r="DC310" s="42">
        <f t="shared" si="4611"/>
        <v>48411</v>
      </c>
      <c r="DD310" s="42">
        <f t="shared" si="4612"/>
        <v>48411</v>
      </c>
      <c r="DE310" s="42">
        <f t="shared" si="4613"/>
        <v>48411</v>
      </c>
      <c r="DF310" s="45">
        <f t="shared" si="3929"/>
        <v>5253479</v>
      </c>
      <c r="DG310" s="229"/>
      <c r="DH310" s="229"/>
      <c r="DI310" s="229"/>
      <c r="DJ310" s="229"/>
      <c r="DK310" s="229"/>
      <c r="DL310" s="229"/>
      <c r="DM310" s="229"/>
      <c r="DN310" s="229"/>
      <c r="DO310" s="229"/>
      <c r="DP310" s="229"/>
      <c r="DQ310" s="229"/>
      <c r="DR310" s="229"/>
      <c r="DS310" s="229"/>
      <c r="DT310" s="229"/>
      <c r="DU310" s="229"/>
      <c r="DV310" s="229"/>
      <c r="DW310" s="229"/>
      <c r="DX310" s="229"/>
      <c r="DY310" s="229"/>
      <c r="DZ310" s="229"/>
      <c r="EA310" s="229"/>
      <c r="EB310" s="229"/>
      <c r="EC310" s="229"/>
      <c r="ED310" s="229"/>
      <c r="EE310" s="229"/>
      <c r="EF310" s="229"/>
      <c r="EG310" s="229"/>
      <c r="EH310" s="229"/>
      <c r="EI310" s="229"/>
      <c r="EJ310" s="229"/>
      <c r="EK310" s="229"/>
      <c r="EL310" s="229"/>
      <c r="EM310" s="229"/>
      <c r="EN310" s="229"/>
      <c r="EO310" s="229"/>
      <c r="EP310" s="229"/>
      <c r="EQ310" s="229"/>
      <c r="ER310" s="229"/>
      <c r="ES310" s="229"/>
      <c r="ET310" s="229"/>
      <c r="EU310" s="229"/>
      <c r="EV310" s="229"/>
      <c r="EW310" s="229"/>
      <c r="EX310" s="229"/>
      <c r="EY310" s="229"/>
      <c r="EZ310" s="229"/>
      <c r="FA310" s="229"/>
      <c r="FB310" s="229"/>
      <c r="FC310" s="229"/>
      <c r="FD310" s="229"/>
      <c r="FE310" s="229"/>
      <c r="FF310" s="229"/>
      <c r="FG310" s="229"/>
      <c r="FH310" s="229"/>
      <c r="FI310" s="229"/>
      <c r="FJ310" s="229"/>
      <c r="FK310" s="229"/>
      <c r="FL310" s="229"/>
      <c r="FM310" s="229"/>
      <c r="FN310" s="229"/>
      <c r="FO310" s="229"/>
      <c r="FP310" s="229"/>
      <c r="FQ310" s="229"/>
      <c r="FR310" s="229"/>
      <c r="FS310" s="229"/>
      <c r="FT310" s="229"/>
      <c r="FU310" s="229"/>
      <c r="FV310" s="229"/>
      <c r="FW310" s="229"/>
      <c r="FX310" s="229"/>
      <c r="FY310" s="229"/>
      <c r="FZ310" s="229"/>
      <c r="GA310" s="229"/>
      <c r="GB310" s="229"/>
      <c r="GC310" s="229"/>
      <c r="GD310" s="229"/>
      <c r="GE310" s="229"/>
      <c r="GF310" s="229"/>
      <c r="GG310" s="229"/>
      <c r="GH310" s="229"/>
      <c r="GI310" s="229"/>
      <c r="GJ310" s="229"/>
      <c r="GK310" s="229"/>
      <c r="GL310" s="229"/>
      <c r="GM310" s="229"/>
      <c r="GN310" s="229"/>
      <c r="GO310" s="229"/>
      <c r="GP310" s="229"/>
      <c r="GQ310" s="229"/>
      <c r="GR310" s="229"/>
      <c r="GS310" s="229"/>
      <c r="GT310" s="229"/>
      <c r="GU310" s="229"/>
      <c r="GV310" s="229"/>
      <c r="GW310" s="229"/>
      <c r="GX310" s="229"/>
      <c r="GY310" s="229"/>
      <c r="GZ310" s="229"/>
      <c r="HA310" s="229"/>
      <c r="HB310" s="229"/>
      <c r="HC310" s="229"/>
      <c r="HD310" s="229"/>
      <c r="HE310" s="229"/>
      <c r="HF310" s="229"/>
      <c r="HG310" s="229"/>
      <c r="HH310" s="229"/>
      <c r="HI310" s="229"/>
      <c r="HJ310" s="229"/>
      <c r="HK310" s="229"/>
      <c r="HL310" s="229"/>
      <c r="HM310" s="229"/>
      <c r="HN310" s="229"/>
      <c r="HO310" s="229"/>
      <c r="HP310" s="229"/>
      <c r="HQ310" s="48">
        <f t="shared" ref="HQ310:HQ323" si="4722">SUM(J310:HP310)</f>
        <v>10506958</v>
      </c>
      <c r="HR310" s="49"/>
      <c r="HS310" s="50"/>
      <c r="HT310" s="51">
        <v>544428.683333333</v>
      </c>
    </row>
    <row r="311" spans="1:228" s="52" customFormat="1" ht="12">
      <c r="A311" s="505"/>
      <c r="B311" s="507"/>
      <c r="C311" s="509"/>
      <c r="D311" s="511"/>
      <c r="E311" s="513"/>
      <c r="F311" s="501"/>
      <c r="G311" s="501"/>
      <c r="H311" s="503"/>
      <c r="I311" s="233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5">
        <f t="shared" si="3929"/>
        <v>0</v>
      </c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47"/>
      <c r="DX311" s="47"/>
      <c r="DY311" s="47"/>
      <c r="DZ311" s="47"/>
      <c r="EA311" s="47"/>
      <c r="EB311" s="47"/>
      <c r="EC311" s="47"/>
      <c r="ED311" s="47"/>
      <c r="EE311" s="47"/>
      <c r="EF311" s="47"/>
      <c r="EG311" s="47"/>
      <c r="EH311" s="47"/>
      <c r="EI311" s="47"/>
      <c r="EJ311" s="47"/>
      <c r="EK311" s="47"/>
      <c r="EL311" s="47"/>
      <c r="EM311" s="47"/>
      <c r="EN311" s="47"/>
      <c r="EO311" s="47"/>
      <c r="EP311" s="47"/>
      <c r="EQ311" s="47"/>
      <c r="ER311" s="47"/>
      <c r="ES311" s="47"/>
      <c r="ET311" s="47"/>
      <c r="EU311" s="47"/>
      <c r="EV311" s="47"/>
      <c r="EW311" s="47"/>
      <c r="EX311" s="47"/>
      <c r="EY311" s="47"/>
      <c r="EZ311" s="47"/>
      <c r="FA311" s="47"/>
      <c r="FB311" s="47"/>
      <c r="FC311" s="47"/>
      <c r="FD311" s="47"/>
      <c r="FE311" s="47"/>
      <c r="FF311" s="47"/>
      <c r="FG311" s="47"/>
      <c r="FH311" s="47"/>
      <c r="FI311" s="47"/>
      <c r="FJ311" s="47"/>
      <c r="FK311" s="47"/>
      <c r="FL311" s="47"/>
      <c r="FM311" s="47"/>
      <c r="FN311" s="47"/>
      <c r="FO311" s="47"/>
      <c r="FP311" s="47"/>
      <c r="FQ311" s="47"/>
      <c r="FR311" s="47"/>
      <c r="FS311" s="47"/>
      <c r="FT311" s="47"/>
      <c r="FU311" s="47"/>
      <c r="FV311" s="47"/>
      <c r="FW311" s="47"/>
      <c r="FX311" s="47"/>
      <c r="FY311" s="47"/>
      <c r="FZ311" s="47"/>
      <c r="GA311" s="47"/>
      <c r="GB311" s="47"/>
      <c r="GC311" s="47"/>
      <c r="GD311" s="47"/>
      <c r="GE311" s="47"/>
      <c r="GF311" s="47"/>
      <c r="GG311" s="47"/>
      <c r="GH311" s="47"/>
      <c r="GI311" s="47"/>
      <c r="GJ311" s="47"/>
      <c r="GK311" s="47"/>
      <c r="GL311" s="47"/>
      <c r="GM311" s="47"/>
      <c r="GN311" s="47"/>
      <c r="GO311" s="47"/>
      <c r="GP311" s="47"/>
      <c r="GQ311" s="47"/>
      <c r="GR311" s="47"/>
      <c r="GS311" s="47"/>
      <c r="GT311" s="47"/>
      <c r="GU311" s="47"/>
      <c r="GV311" s="47"/>
      <c r="GW311" s="47"/>
      <c r="GX311" s="47"/>
      <c r="GY311" s="47"/>
      <c r="GZ311" s="47"/>
      <c r="HA311" s="47"/>
      <c r="HB311" s="47"/>
      <c r="HC311" s="47"/>
      <c r="HD311" s="47"/>
      <c r="HE311" s="47"/>
      <c r="HF311" s="47"/>
      <c r="HG311" s="47"/>
      <c r="HH311" s="47"/>
      <c r="HI311" s="47"/>
      <c r="HJ311" s="47"/>
      <c r="HK311" s="47"/>
      <c r="HL311" s="47"/>
      <c r="HM311" s="47"/>
      <c r="HN311" s="47"/>
      <c r="HO311" s="47"/>
      <c r="HP311" s="47"/>
      <c r="HQ311" s="53">
        <f t="shared" si="4722"/>
        <v>0</v>
      </c>
      <c r="HR311" s="49"/>
      <c r="HS311" s="50"/>
      <c r="HT311" s="51">
        <v>503346.23</v>
      </c>
    </row>
    <row r="312" spans="1:228" s="52" customFormat="1" ht="12" customHeight="1">
      <c r="A312" s="504">
        <v>160</v>
      </c>
      <c r="B312" s="506" t="s">
        <v>568</v>
      </c>
      <c r="C312" s="508" t="s">
        <v>716</v>
      </c>
      <c r="D312" s="510" t="s">
        <v>647</v>
      </c>
      <c r="E312" s="512" t="s">
        <v>509</v>
      </c>
      <c r="F312" s="500">
        <v>145.87</v>
      </c>
      <c r="G312" s="500">
        <v>10.5</v>
      </c>
      <c r="H312" s="502">
        <f>F312*G312*365</f>
        <v>559046.77500000002</v>
      </c>
      <c r="I312" s="228">
        <v>195767.7</v>
      </c>
      <c r="J312" s="43">
        <f>ROUND(G312*F312*365/4,0)</f>
        <v>139762</v>
      </c>
      <c r="K312" s="42">
        <f>J312</f>
        <v>139762</v>
      </c>
      <c r="L312" s="42">
        <f>K312</f>
        <v>139762</v>
      </c>
      <c r="M312" s="42">
        <f>L312</f>
        <v>139762</v>
      </c>
      <c r="N312" s="44">
        <f>ROUND(M312*(1+取值表!$D$14)*取值表!$H$14,0)</f>
        <v>138094</v>
      </c>
      <c r="O312" s="42">
        <f>N312</f>
        <v>138094</v>
      </c>
      <c r="P312" s="42">
        <f>O312</f>
        <v>138094</v>
      </c>
      <c r="Q312" s="42">
        <f>P312</f>
        <v>138094</v>
      </c>
      <c r="R312" s="44">
        <f>ROUND(Q312*(1+取值表!$D$14)*取值表!$H$14,0)</f>
        <v>136446</v>
      </c>
      <c r="S312" s="42">
        <f t="shared" ref="S312:U312" si="4723">R312</f>
        <v>136446</v>
      </c>
      <c r="T312" s="42">
        <f t="shared" si="4723"/>
        <v>136446</v>
      </c>
      <c r="U312" s="42">
        <f t="shared" si="4723"/>
        <v>136446</v>
      </c>
      <c r="V312" s="44">
        <f>ROUND(U312*(1+取值表!$D$14)*取值表!$H$14,0)</f>
        <v>134818</v>
      </c>
      <c r="W312" s="42">
        <f t="shared" ref="W312:Y312" si="4724">V312</f>
        <v>134818</v>
      </c>
      <c r="X312" s="42">
        <f t="shared" si="4724"/>
        <v>134818</v>
      </c>
      <c r="Y312" s="42">
        <f t="shared" si="4724"/>
        <v>134818</v>
      </c>
      <c r="Z312" s="44">
        <f>ROUND(Y312*(1+取值表!$D$14)*取值表!$H$14,0)</f>
        <v>133209</v>
      </c>
      <c r="AA312" s="42">
        <f t="shared" ref="AA312:AC312" si="4725">Z312</f>
        <v>133209</v>
      </c>
      <c r="AB312" s="42">
        <f t="shared" si="4725"/>
        <v>133209</v>
      </c>
      <c r="AC312" s="42">
        <f t="shared" si="4725"/>
        <v>133209</v>
      </c>
      <c r="AD312" s="44">
        <f>ROUND(AC312*(1+取值表!$D$14)*取值表!$H$14,0)</f>
        <v>131619</v>
      </c>
      <c r="AE312" s="42">
        <f t="shared" ref="AE312:AG312" si="4726">AD312</f>
        <v>131619</v>
      </c>
      <c r="AF312" s="42">
        <f t="shared" si="4726"/>
        <v>131619</v>
      </c>
      <c r="AG312" s="42">
        <f t="shared" si="4726"/>
        <v>131619</v>
      </c>
      <c r="AH312" s="44">
        <f>ROUND(AG312*(1+取值表!$D$14)*取值表!$H$14,0)</f>
        <v>130048</v>
      </c>
      <c r="AI312" s="42">
        <f t="shared" ref="AI312:AK312" si="4727">AH312</f>
        <v>130048</v>
      </c>
      <c r="AJ312" s="42">
        <f t="shared" si="4727"/>
        <v>130048</v>
      </c>
      <c r="AK312" s="42">
        <f t="shared" si="4727"/>
        <v>130048</v>
      </c>
      <c r="AL312" s="44">
        <f>ROUND(AK312*(1+取值表!$D$14)*取值表!$H$14,0)</f>
        <v>128496</v>
      </c>
      <c r="AM312" s="42">
        <f t="shared" ref="AM312:AO312" si="4728">AL312</f>
        <v>128496</v>
      </c>
      <c r="AN312" s="42">
        <f t="shared" si="4728"/>
        <v>128496</v>
      </c>
      <c r="AO312" s="42">
        <f t="shared" si="4728"/>
        <v>128496</v>
      </c>
      <c r="AP312" s="44">
        <f>ROUND(AO312*(1+取值表!$D$14)*取值表!$H$14,0)</f>
        <v>126963</v>
      </c>
      <c r="AQ312" s="42">
        <f t="shared" ref="AQ312:AS312" si="4729">AP312</f>
        <v>126963</v>
      </c>
      <c r="AR312" s="42">
        <f t="shared" si="4729"/>
        <v>126963</v>
      </c>
      <c r="AS312" s="42">
        <f t="shared" si="4729"/>
        <v>126963</v>
      </c>
      <c r="AT312" s="44">
        <f>ROUND(AS312*(1+取值表!$D$14)*取值表!$H$14,0)</f>
        <v>125448</v>
      </c>
      <c r="AU312" s="42">
        <f t="shared" ref="AU312:AW312" si="4730">AT312</f>
        <v>125448</v>
      </c>
      <c r="AV312" s="42">
        <f t="shared" si="4730"/>
        <v>125448</v>
      </c>
      <c r="AW312" s="42">
        <f t="shared" si="4730"/>
        <v>125448</v>
      </c>
      <c r="AX312" s="44">
        <f>ROUND(AW312*(1+取值表!$D$14)*取值表!$H$14,0)</f>
        <v>123951</v>
      </c>
      <c r="AY312" s="42">
        <f t="shared" ref="AY312:BA312" si="4731">AX312</f>
        <v>123951</v>
      </c>
      <c r="AZ312" s="42">
        <f t="shared" si="4731"/>
        <v>123951</v>
      </c>
      <c r="BA312" s="42">
        <f t="shared" si="4731"/>
        <v>123951</v>
      </c>
      <c r="BB312" s="44">
        <f>ROUND(BA312*(1+取值表!$D$14)*取值表!$H$14,0)</f>
        <v>122472</v>
      </c>
      <c r="BC312" s="42">
        <f t="shared" ref="BC312:BE312" si="4732">BB312</f>
        <v>122472</v>
      </c>
      <c r="BD312" s="42">
        <f t="shared" si="4732"/>
        <v>122472</v>
      </c>
      <c r="BE312" s="42">
        <f t="shared" si="4732"/>
        <v>122472</v>
      </c>
      <c r="BF312" s="44">
        <f>ROUND(BE312*(1+取值表!$D$14)*取值表!$H$14,0)</f>
        <v>121010</v>
      </c>
      <c r="BG312" s="42">
        <f t="shared" ref="BG312:BI312" si="4733">BF312</f>
        <v>121010</v>
      </c>
      <c r="BH312" s="42">
        <f t="shared" si="4733"/>
        <v>121010</v>
      </c>
      <c r="BI312" s="42">
        <f t="shared" si="4733"/>
        <v>121010</v>
      </c>
      <c r="BJ312" s="44">
        <f>ROUND(BI312*(1+取值表!$D$14)*取值表!$H$14,0)</f>
        <v>119566</v>
      </c>
      <c r="BK312" s="42">
        <f t="shared" ref="BK312:BM312" si="4734">BJ312</f>
        <v>119566</v>
      </c>
      <c r="BL312" s="42">
        <f t="shared" si="4734"/>
        <v>119566</v>
      </c>
      <c r="BM312" s="42">
        <f t="shared" si="4734"/>
        <v>119566</v>
      </c>
      <c r="BN312" s="44">
        <f>ROUND(BM312*(1+取值表!$D$14)*取值表!$H$14,0)</f>
        <v>118139</v>
      </c>
      <c r="BO312" s="42">
        <f t="shared" ref="BO312:BQ312" si="4735">BN312</f>
        <v>118139</v>
      </c>
      <c r="BP312" s="42">
        <f t="shared" si="4735"/>
        <v>118139</v>
      </c>
      <c r="BQ312" s="42">
        <f t="shared" si="4735"/>
        <v>118139</v>
      </c>
      <c r="BR312" s="44">
        <f>ROUND(BQ312*(1+取值表!$D$14)*取值表!$H$14,0)</f>
        <v>116729</v>
      </c>
      <c r="BS312" s="42">
        <f t="shared" ref="BS312:BU312" si="4736">BR312</f>
        <v>116729</v>
      </c>
      <c r="BT312" s="42">
        <f t="shared" si="4736"/>
        <v>116729</v>
      </c>
      <c r="BU312" s="42">
        <f t="shared" si="4736"/>
        <v>116729</v>
      </c>
      <c r="BV312" s="44">
        <f>ROUND(BU312*(1+取值表!$D$14)*取值表!$H$14,0)</f>
        <v>115336</v>
      </c>
      <c r="BW312" s="42">
        <f t="shared" ref="BW312:BY312" si="4737">BV312</f>
        <v>115336</v>
      </c>
      <c r="BX312" s="42">
        <f t="shared" si="4737"/>
        <v>115336</v>
      </c>
      <c r="BY312" s="42">
        <f t="shared" si="4737"/>
        <v>115336</v>
      </c>
      <c r="BZ312" s="44">
        <f>ROUND(BY312*(1+取值表!$D$14)*取值表!$H$14,0)</f>
        <v>113960</v>
      </c>
      <c r="CA312" s="42">
        <f t="shared" ref="CA312:CC312" si="4738">BZ312</f>
        <v>113960</v>
      </c>
      <c r="CB312" s="42">
        <f t="shared" si="4738"/>
        <v>113960</v>
      </c>
      <c r="CC312" s="42">
        <f t="shared" si="4738"/>
        <v>113960</v>
      </c>
      <c r="CD312" s="44">
        <f>ROUND(CC312*(1+取值表!$D$14)*取值表!$H$14,0)</f>
        <v>112600</v>
      </c>
      <c r="CE312" s="42">
        <f t="shared" ref="CE312:CG312" si="4739">CD312</f>
        <v>112600</v>
      </c>
      <c r="CF312" s="42">
        <f t="shared" si="4739"/>
        <v>112600</v>
      </c>
      <c r="CG312" s="42">
        <f t="shared" si="4739"/>
        <v>112600</v>
      </c>
      <c r="CH312" s="44">
        <f>ROUND(CG312*(1+取值表!$D$14)*取值表!$H$14,0)</f>
        <v>111256</v>
      </c>
      <c r="CI312" s="42">
        <f t="shared" ref="CI312:CK312" si="4740">CH312</f>
        <v>111256</v>
      </c>
      <c r="CJ312" s="42">
        <f t="shared" si="4740"/>
        <v>111256</v>
      </c>
      <c r="CK312" s="42">
        <f t="shared" si="4740"/>
        <v>111256</v>
      </c>
      <c r="CL312" s="44">
        <f>ROUND(CK312*(1+取值表!$D$14)*取值表!$H$14,0)</f>
        <v>109928</v>
      </c>
      <c r="CM312" s="42">
        <f t="shared" ref="CM312:CN312" si="4741">CL312</f>
        <v>109928</v>
      </c>
      <c r="CN312" s="42">
        <f t="shared" si="4741"/>
        <v>109928</v>
      </c>
      <c r="CO312" s="42">
        <f>CN312</f>
        <v>109928</v>
      </c>
      <c r="CP312" s="44">
        <f>ROUND(CO312*(1+取值表!$D$14)*取值表!$H$14,0)</f>
        <v>108616</v>
      </c>
      <c r="CQ312" s="42">
        <f t="shared" ref="CQ312" si="4742">CP312</f>
        <v>108616</v>
      </c>
      <c r="CR312" s="42">
        <f t="shared" ref="CR312:CS312" si="4743">CQ312</f>
        <v>108616</v>
      </c>
      <c r="CS312" s="42">
        <f t="shared" si="4743"/>
        <v>108616</v>
      </c>
      <c r="CT312" s="44">
        <f>ROUND(CS312*(1+取值表!$D$14)*取值表!$H$14,0)</f>
        <v>107320</v>
      </c>
      <c r="CU312" s="42">
        <f t="shared" ref="CU312" si="4744">CT312</f>
        <v>107320</v>
      </c>
      <c r="CV312" s="42">
        <f t="shared" ref="CV312:CW312" si="4745">CU312</f>
        <v>107320</v>
      </c>
      <c r="CW312" s="42">
        <f t="shared" si="4745"/>
        <v>107320</v>
      </c>
      <c r="CX312" s="44">
        <f>ROUND(CW312*(1+取值表!$D$14)*取值表!$H$14,0)</f>
        <v>106039</v>
      </c>
      <c r="CY312" s="42">
        <f t="shared" ref="CY312" si="4746">CX312</f>
        <v>106039</v>
      </c>
      <c r="CZ312" s="42">
        <f t="shared" ref="CZ312:DA312" si="4747">CY312</f>
        <v>106039</v>
      </c>
      <c r="DA312" s="42">
        <f t="shared" si="4747"/>
        <v>106039</v>
      </c>
      <c r="DB312" s="44">
        <f>ROUND(DA312*(1+取值表!$D$14)*取值表!$H$14,0)</f>
        <v>104774</v>
      </c>
      <c r="DC312" s="42">
        <f t="shared" ref="DC312" si="4748">DB312</f>
        <v>104774</v>
      </c>
      <c r="DD312" s="42">
        <f t="shared" ref="DD312" si="4749">DC312</f>
        <v>104774</v>
      </c>
      <c r="DE312" s="42">
        <f t="shared" ref="DE312" si="4750">DD312</f>
        <v>104774</v>
      </c>
      <c r="DF312" s="45">
        <f t="shared" si="3929"/>
        <v>12146396</v>
      </c>
      <c r="DG312" s="229"/>
      <c r="DH312" s="229"/>
      <c r="DI312" s="229"/>
      <c r="DJ312" s="229"/>
      <c r="DK312" s="229"/>
      <c r="DL312" s="229"/>
      <c r="DM312" s="229"/>
      <c r="DN312" s="229"/>
      <c r="DO312" s="229"/>
      <c r="DP312" s="229"/>
      <c r="DQ312" s="229"/>
      <c r="DR312" s="229"/>
      <c r="DS312" s="229"/>
      <c r="DT312" s="229"/>
      <c r="DU312" s="229"/>
      <c r="DV312" s="229"/>
      <c r="DW312" s="229"/>
      <c r="DX312" s="229"/>
      <c r="DY312" s="229"/>
      <c r="DZ312" s="229"/>
      <c r="EA312" s="229"/>
      <c r="EB312" s="229"/>
      <c r="EC312" s="229"/>
      <c r="ED312" s="229"/>
      <c r="EE312" s="229"/>
      <c r="EF312" s="229"/>
      <c r="EG312" s="229"/>
      <c r="EH312" s="229"/>
      <c r="EI312" s="229"/>
      <c r="EJ312" s="229"/>
      <c r="EK312" s="229"/>
      <c r="EL312" s="229"/>
      <c r="EM312" s="229"/>
      <c r="EN312" s="229"/>
      <c r="EO312" s="229"/>
      <c r="EP312" s="229"/>
      <c r="EQ312" s="229"/>
      <c r="ER312" s="229"/>
      <c r="ES312" s="229"/>
      <c r="ET312" s="229"/>
      <c r="EU312" s="229"/>
      <c r="EV312" s="229"/>
      <c r="EW312" s="229"/>
      <c r="EX312" s="229"/>
      <c r="EY312" s="229"/>
      <c r="EZ312" s="229"/>
      <c r="FA312" s="229"/>
      <c r="FB312" s="229"/>
      <c r="FC312" s="229"/>
      <c r="FD312" s="229"/>
      <c r="FE312" s="229"/>
      <c r="FF312" s="229"/>
      <c r="FG312" s="229"/>
      <c r="FH312" s="229"/>
      <c r="FI312" s="229"/>
      <c r="FJ312" s="229"/>
      <c r="FK312" s="229"/>
      <c r="FL312" s="229"/>
      <c r="FM312" s="229"/>
      <c r="FN312" s="229"/>
      <c r="FO312" s="229"/>
      <c r="FP312" s="229"/>
      <c r="FQ312" s="229"/>
      <c r="FR312" s="229"/>
      <c r="FS312" s="229"/>
      <c r="FT312" s="229"/>
      <c r="FU312" s="229"/>
      <c r="FV312" s="229"/>
      <c r="FW312" s="229"/>
      <c r="FX312" s="229"/>
      <c r="FY312" s="229"/>
      <c r="FZ312" s="229"/>
      <c r="GA312" s="229"/>
      <c r="GB312" s="229"/>
      <c r="GC312" s="229"/>
      <c r="GD312" s="229"/>
      <c r="GE312" s="229"/>
      <c r="GF312" s="229"/>
      <c r="GG312" s="229"/>
      <c r="GH312" s="229"/>
      <c r="GI312" s="229"/>
      <c r="GJ312" s="229"/>
      <c r="GK312" s="229"/>
      <c r="GL312" s="229"/>
      <c r="GM312" s="229"/>
      <c r="GN312" s="229"/>
      <c r="GO312" s="229"/>
      <c r="GP312" s="229"/>
      <c r="GQ312" s="229"/>
      <c r="GR312" s="229"/>
      <c r="GS312" s="229"/>
      <c r="GT312" s="229"/>
      <c r="GU312" s="229"/>
      <c r="GV312" s="229"/>
      <c r="GW312" s="229"/>
      <c r="GX312" s="229"/>
      <c r="GY312" s="229"/>
      <c r="GZ312" s="229"/>
      <c r="HA312" s="229"/>
      <c r="HB312" s="229"/>
      <c r="HC312" s="229"/>
      <c r="HD312" s="229"/>
      <c r="HE312" s="229"/>
      <c r="HF312" s="229"/>
      <c r="HG312" s="229"/>
      <c r="HH312" s="229"/>
      <c r="HI312" s="229"/>
      <c r="HJ312" s="229"/>
      <c r="HK312" s="229"/>
      <c r="HL312" s="229"/>
      <c r="HM312" s="229"/>
      <c r="HN312" s="229"/>
      <c r="HO312" s="229"/>
      <c r="HP312" s="229"/>
      <c r="HQ312" s="48">
        <f t="shared" si="4722"/>
        <v>24292792</v>
      </c>
      <c r="HR312" s="230"/>
      <c r="HS312" s="231"/>
      <c r="HT312" s="51">
        <v>1453595.48533333</v>
      </c>
    </row>
    <row r="313" spans="1:228" s="52" customFormat="1" ht="12">
      <c r="A313" s="505"/>
      <c r="B313" s="507"/>
      <c r="C313" s="509"/>
      <c r="D313" s="511"/>
      <c r="E313" s="513"/>
      <c r="F313" s="501"/>
      <c r="G313" s="501"/>
      <c r="H313" s="503"/>
      <c r="I313" s="233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  <c r="DB313" s="42"/>
      <c r="DC313" s="42"/>
      <c r="DD313" s="42"/>
      <c r="DE313" s="42"/>
      <c r="DF313" s="45">
        <f t="shared" si="3929"/>
        <v>0</v>
      </c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47"/>
      <c r="DX313" s="47"/>
      <c r="DY313" s="47"/>
      <c r="DZ313" s="47"/>
      <c r="EA313" s="47"/>
      <c r="EB313" s="47"/>
      <c r="EC313" s="47"/>
      <c r="ED313" s="47"/>
      <c r="EE313" s="47"/>
      <c r="EF313" s="47"/>
      <c r="EG313" s="47"/>
      <c r="EH313" s="47"/>
      <c r="EI313" s="47"/>
      <c r="EJ313" s="47"/>
      <c r="EK313" s="47"/>
      <c r="EL313" s="47"/>
      <c r="EM313" s="47"/>
      <c r="EN313" s="47"/>
      <c r="EO313" s="47"/>
      <c r="EP313" s="47"/>
      <c r="EQ313" s="47"/>
      <c r="ER313" s="47"/>
      <c r="ES313" s="47"/>
      <c r="ET313" s="47"/>
      <c r="EU313" s="47"/>
      <c r="EV313" s="47"/>
      <c r="EW313" s="47"/>
      <c r="EX313" s="47"/>
      <c r="EY313" s="47"/>
      <c r="EZ313" s="47"/>
      <c r="FA313" s="47"/>
      <c r="FB313" s="47"/>
      <c r="FC313" s="47"/>
      <c r="FD313" s="47"/>
      <c r="FE313" s="47"/>
      <c r="FF313" s="47"/>
      <c r="FG313" s="47"/>
      <c r="FH313" s="47"/>
      <c r="FI313" s="47"/>
      <c r="FJ313" s="47"/>
      <c r="FK313" s="47"/>
      <c r="FL313" s="47"/>
      <c r="FM313" s="47"/>
      <c r="FN313" s="47"/>
      <c r="FO313" s="47"/>
      <c r="FP313" s="47"/>
      <c r="FQ313" s="47"/>
      <c r="FR313" s="47"/>
      <c r="FS313" s="47"/>
      <c r="FT313" s="47"/>
      <c r="FU313" s="47"/>
      <c r="FV313" s="47"/>
      <c r="FW313" s="47"/>
      <c r="FX313" s="47"/>
      <c r="FY313" s="47"/>
      <c r="FZ313" s="47"/>
      <c r="GA313" s="47"/>
      <c r="GB313" s="47"/>
      <c r="GC313" s="47"/>
      <c r="GD313" s="47"/>
      <c r="GE313" s="47"/>
      <c r="GF313" s="47"/>
      <c r="GG313" s="47"/>
      <c r="GH313" s="47"/>
      <c r="GI313" s="47"/>
      <c r="GJ313" s="47"/>
      <c r="GK313" s="47"/>
      <c r="GL313" s="47"/>
      <c r="GM313" s="47"/>
      <c r="GN313" s="47"/>
      <c r="GO313" s="47"/>
      <c r="GP313" s="47"/>
      <c r="GQ313" s="47"/>
      <c r="GR313" s="47"/>
      <c r="GS313" s="47"/>
      <c r="GT313" s="47"/>
      <c r="GU313" s="47"/>
      <c r="GV313" s="47"/>
      <c r="GW313" s="47"/>
      <c r="GX313" s="47"/>
      <c r="GY313" s="47"/>
      <c r="GZ313" s="47"/>
      <c r="HA313" s="47"/>
      <c r="HB313" s="47"/>
      <c r="HC313" s="47"/>
      <c r="HD313" s="47"/>
      <c r="HE313" s="47"/>
      <c r="HF313" s="47"/>
      <c r="HG313" s="47"/>
      <c r="HH313" s="47"/>
      <c r="HI313" s="47"/>
      <c r="HJ313" s="47"/>
      <c r="HK313" s="47"/>
      <c r="HL313" s="47"/>
      <c r="HM313" s="47"/>
      <c r="HN313" s="47"/>
      <c r="HO313" s="47"/>
      <c r="HP313" s="47"/>
      <c r="HQ313" s="53">
        <f t="shared" si="4722"/>
        <v>0</v>
      </c>
      <c r="HR313" s="49"/>
      <c r="HS313" s="50"/>
      <c r="HT313" s="51">
        <v>107816.16</v>
      </c>
    </row>
    <row r="314" spans="1:228" s="52" customFormat="1" ht="12">
      <c r="A314" s="504">
        <v>161</v>
      </c>
      <c r="B314" s="506" t="s">
        <v>569</v>
      </c>
      <c r="C314" s="508" t="s">
        <v>707</v>
      </c>
      <c r="D314" s="510" t="s">
        <v>706</v>
      </c>
      <c r="E314" s="514">
        <v>4</v>
      </c>
      <c r="F314" s="500">
        <v>521.33000000000004</v>
      </c>
      <c r="G314" s="500">
        <v>8</v>
      </c>
      <c r="H314" s="502">
        <f>F314*G314*365</f>
        <v>1522283.6</v>
      </c>
      <c r="I314" s="232">
        <v>223430</v>
      </c>
      <c r="J314" s="42">
        <f>ROUND(G314*F314*365/4,0)</f>
        <v>380571</v>
      </c>
      <c r="K314" s="42">
        <f>J314</f>
        <v>380571</v>
      </c>
      <c r="L314" s="42">
        <f>K314</f>
        <v>380571</v>
      </c>
      <c r="M314" s="43">
        <f>L314</f>
        <v>380571</v>
      </c>
      <c r="N314" s="44">
        <f>ROUND(M314*(1+取值表!$D$14)*取值表!$H$14,0)</f>
        <v>376029</v>
      </c>
      <c r="O314" s="42">
        <f>N314</f>
        <v>376029</v>
      </c>
      <c r="P314" s="42">
        <f>O314</f>
        <v>376029</v>
      </c>
      <c r="Q314" s="42">
        <f>P314</f>
        <v>376029</v>
      </c>
      <c r="R314" s="44">
        <f>ROUND(Q314*(1+取值表!$D$14)*取值表!$H$14,0)</f>
        <v>371541</v>
      </c>
      <c r="S314" s="42">
        <f t="shared" ref="S314:U314" si="4751">R314</f>
        <v>371541</v>
      </c>
      <c r="T314" s="42">
        <f t="shared" si="4751"/>
        <v>371541</v>
      </c>
      <c r="U314" s="42">
        <f t="shared" si="4751"/>
        <v>371541</v>
      </c>
      <c r="V314" s="44">
        <f>ROUND(U314*(1+取值表!$D$14)*取值表!$H$14,0)</f>
        <v>367107</v>
      </c>
      <c r="W314" s="42">
        <f t="shared" ref="W314:Y314" si="4752">V314</f>
        <v>367107</v>
      </c>
      <c r="X314" s="42">
        <f t="shared" si="4752"/>
        <v>367107</v>
      </c>
      <c r="Y314" s="42">
        <f t="shared" si="4752"/>
        <v>367107</v>
      </c>
      <c r="Z314" s="44">
        <f>ROUND(Y314*(1+取值表!$D$14)*取值表!$H$14,0)</f>
        <v>362726</v>
      </c>
      <c r="AA314" s="42">
        <f t="shared" ref="AA314:AC314" si="4753">Z314</f>
        <v>362726</v>
      </c>
      <c r="AB314" s="42">
        <f t="shared" si="4753"/>
        <v>362726</v>
      </c>
      <c r="AC314" s="42">
        <f t="shared" si="4753"/>
        <v>362726</v>
      </c>
      <c r="AD314" s="44">
        <f>ROUND(AC314*(1+取值表!$D$14)*取值表!$H$14,0)</f>
        <v>358397</v>
      </c>
      <c r="AE314" s="42">
        <f t="shared" ref="AE314:AG314" si="4754">AD314</f>
        <v>358397</v>
      </c>
      <c r="AF314" s="42">
        <f t="shared" si="4754"/>
        <v>358397</v>
      </c>
      <c r="AG314" s="42">
        <f t="shared" si="4754"/>
        <v>358397</v>
      </c>
      <c r="AH314" s="44">
        <f>ROUND(AG314*(1+取值表!$D$14)*取值表!$H$14,0)</f>
        <v>354120</v>
      </c>
      <c r="AI314" s="42">
        <f t="shared" ref="AI314:AK314" si="4755">AH314</f>
        <v>354120</v>
      </c>
      <c r="AJ314" s="42">
        <f t="shared" si="4755"/>
        <v>354120</v>
      </c>
      <c r="AK314" s="42">
        <f t="shared" si="4755"/>
        <v>354120</v>
      </c>
      <c r="AL314" s="44">
        <f>ROUND(AK314*(1+取值表!$D$14)*取值表!$H$14,0)</f>
        <v>349894</v>
      </c>
      <c r="AM314" s="42">
        <f t="shared" ref="AM314:AO314" si="4756">AL314</f>
        <v>349894</v>
      </c>
      <c r="AN314" s="42">
        <f t="shared" si="4756"/>
        <v>349894</v>
      </c>
      <c r="AO314" s="42">
        <f t="shared" si="4756"/>
        <v>349894</v>
      </c>
      <c r="AP314" s="44">
        <f>ROUND(AO314*(1+取值表!$D$14)*取值表!$H$14,0)</f>
        <v>345718</v>
      </c>
      <c r="AQ314" s="42">
        <f t="shared" ref="AQ314:AS314" si="4757">AP314</f>
        <v>345718</v>
      </c>
      <c r="AR314" s="42">
        <f t="shared" si="4757"/>
        <v>345718</v>
      </c>
      <c r="AS314" s="42">
        <f t="shared" si="4757"/>
        <v>345718</v>
      </c>
      <c r="AT314" s="44">
        <f>ROUND(AS314*(1+取值表!$D$14)*取值表!$H$14,0)</f>
        <v>341592</v>
      </c>
      <c r="AU314" s="42">
        <f t="shared" ref="AU314:AW314" si="4758">AT314</f>
        <v>341592</v>
      </c>
      <c r="AV314" s="42">
        <f t="shared" si="4758"/>
        <v>341592</v>
      </c>
      <c r="AW314" s="42">
        <f t="shared" si="4758"/>
        <v>341592</v>
      </c>
      <c r="AX314" s="44">
        <f>ROUND(AW314*(1+取值表!$D$14)*取值表!$H$14,0)</f>
        <v>337515</v>
      </c>
      <c r="AY314" s="42">
        <f t="shared" ref="AY314:BA314" si="4759">AX314</f>
        <v>337515</v>
      </c>
      <c r="AZ314" s="42">
        <f t="shared" si="4759"/>
        <v>337515</v>
      </c>
      <c r="BA314" s="42">
        <f t="shared" si="4759"/>
        <v>337515</v>
      </c>
      <c r="BB314" s="44">
        <f>ROUND(BA314*(1+取值表!$D$14)*取值表!$H$14,0)</f>
        <v>333487</v>
      </c>
      <c r="BC314" s="42">
        <f t="shared" ref="BC314:BE314" si="4760">BB314</f>
        <v>333487</v>
      </c>
      <c r="BD314" s="42">
        <f t="shared" si="4760"/>
        <v>333487</v>
      </c>
      <c r="BE314" s="42">
        <f t="shared" si="4760"/>
        <v>333487</v>
      </c>
      <c r="BF314" s="44">
        <f>ROUND(BE314*(1+取值表!$D$14)*取值表!$H$14,0)</f>
        <v>329507</v>
      </c>
      <c r="BG314" s="42">
        <f t="shared" ref="BG314:BI314" si="4761">BF314</f>
        <v>329507</v>
      </c>
      <c r="BH314" s="42">
        <f t="shared" si="4761"/>
        <v>329507</v>
      </c>
      <c r="BI314" s="42">
        <f t="shared" si="4761"/>
        <v>329507</v>
      </c>
      <c r="BJ314" s="44">
        <f>ROUND(BI314*(1+取值表!$D$14)*取值表!$H$14,0)</f>
        <v>325575</v>
      </c>
      <c r="BK314" s="42">
        <f t="shared" ref="BK314:BM314" si="4762">BJ314</f>
        <v>325575</v>
      </c>
      <c r="BL314" s="42">
        <f t="shared" si="4762"/>
        <v>325575</v>
      </c>
      <c r="BM314" s="42">
        <f t="shared" si="4762"/>
        <v>325575</v>
      </c>
      <c r="BN314" s="44">
        <f>ROUND(BM314*(1+取值表!$D$14)*取值表!$H$14,0)</f>
        <v>321690</v>
      </c>
      <c r="BO314" s="42">
        <f t="shared" ref="BO314:BQ314" si="4763">BN314</f>
        <v>321690</v>
      </c>
      <c r="BP314" s="42">
        <f t="shared" si="4763"/>
        <v>321690</v>
      </c>
      <c r="BQ314" s="42">
        <f t="shared" si="4763"/>
        <v>321690</v>
      </c>
      <c r="BR314" s="44">
        <f>ROUND(BQ314*(1+取值表!$D$14)*取值表!$H$14,0)</f>
        <v>317851</v>
      </c>
      <c r="BS314" s="42">
        <f t="shared" ref="BS314:BU314" si="4764">BR314</f>
        <v>317851</v>
      </c>
      <c r="BT314" s="42">
        <f t="shared" si="4764"/>
        <v>317851</v>
      </c>
      <c r="BU314" s="42">
        <f t="shared" si="4764"/>
        <v>317851</v>
      </c>
      <c r="BV314" s="44">
        <f>ROUND(BU314*(1+取值表!$D$14)*取值表!$H$14,0)</f>
        <v>314058</v>
      </c>
      <c r="BW314" s="42">
        <f t="shared" ref="BW314:BY314" si="4765">BV314</f>
        <v>314058</v>
      </c>
      <c r="BX314" s="42">
        <f t="shared" si="4765"/>
        <v>314058</v>
      </c>
      <c r="BY314" s="42">
        <f t="shared" si="4765"/>
        <v>314058</v>
      </c>
      <c r="BZ314" s="44">
        <f>ROUND(BY314*(1+取值表!$D$14)*取值表!$H$14,0)</f>
        <v>310310</v>
      </c>
      <c r="CA314" s="42">
        <f t="shared" ref="CA314:CC314" si="4766">BZ314</f>
        <v>310310</v>
      </c>
      <c r="CB314" s="42">
        <f t="shared" si="4766"/>
        <v>310310</v>
      </c>
      <c r="CC314" s="42">
        <f t="shared" si="4766"/>
        <v>310310</v>
      </c>
      <c r="CD314" s="44">
        <f>ROUND(CC314*(1+取值表!$D$14)*取值表!$H$14,0)</f>
        <v>306607</v>
      </c>
      <c r="CE314" s="42">
        <f t="shared" ref="CE314:CG314" si="4767">CD314</f>
        <v>306607</v>
      </c>
      <c r="CF314" s="42">
        <f t="shared" si="4767"/>
        <v>306607</v>
      </c>
      <c r="CG314" s="42">
        <f t="shared" si="4767"/>
        <v>306607</v>
      </c>
      <c r="CH314" s="44">
        <f>ROUND(CG314*(1+取值表!$D$14)*取值表!$H$14,0)</f>
        <v>302948</v>
      </c>
      <c r="CI314" s="42">
        <f t="shared" ref="CI314:CK314" si="4768">CH314</f>
        <v>302948</v>
      </c>
      <c r="CJ314" s="42">
        <f t="shared" si="4768"/>
        <v>302948</v>
      </c>
      <c r="CK314" s="42">
        <f t="shared" si="4768"/>
        <v>302948</v>
      </c>
      <c r="CL314" s="44">
        <f>ROUND(CK314*(1+取值表!$D$14)*取值表!$H$14,0)</f>
        <v>299333</v>
      </c>
      <c r="CM314" s="42">
        <f t="shared" ref="CM314:CO314" si="4769">CL314</f>
        <v>299333</v>
      </c>
      <c r="CN314" s="42">
        <f t="shared" si="4769"/>
        <v>299333</v>
      </c>
      <c r="CO314" s="42">
        <f t="shared" si="4769"/>
        <v>299333</v>
      </c>
      <c r="CP314" s="44">
        <f>ROUND(CO314*(1+取值表!$D$14)*取值表!$H$14,0)</f>
        <v>295761</v>
      </c>
      <c r="CQ314" s="42">
        <f t="shared" ref="CQ314" si="4770">CP314</f>
        <v>295761</v>
      </c>
      <c r="CR314" s="42">
        <f t="shared" ref="CR314" si="4771">CQ314</f>
        <v>295761</v>
      </c>
      <c r="CS314" s="42">
        <f t="shared" ref="CS314" si="4772">CR314</f>
        <v>295761</v>
      </c>
      <c r="CT314" s="44">
        <f>ROUND(CS314*(1+取值表!$D$14)*取值表!$H$14,0)</f>
        <v>292231</v>
      </c>
      <c r="CU314" s="42">
        <f t="shared" ref="CU314" si="4773">CT314</f>
        <v>292231</v>
      </c>
      <c r="CV314" s="42">
        <f t="shared" ref="CV314" si="4774">CU314</f>
        <v>292231</v>
      </c>
      <c r="CW314" s="42">
        <f t="shared" ref="CW314" si="4775">CV314</f>
        <v>292231</v>
      </c>
      <c r="CX314" s="44">
        <f>ROUND(CW314*(1+取值表!$D$14)*取值表!$H$14,0)</f>
        <v>288743</v>
      </c>
      <c r="CY314" s="42">
        <f t="shared" ref="CY314" si="4776">CX314</f>
        <v>288743</v>
      </c>
      <c r="CZ314" s="42">
        <f t="shared" ref="CZ314" si="4777">CY314</f>
        <v>288743</v>
      </c>
      <c r="DA314" s="42">
        <f t="shared" ref="DA314" si="4778">CZ314</f>
        <v>288743</v>
      </c>
      <c r="DB314" s="44">
        <f>ROUND(DA314*(1+取值表!$D$14)*取值表!$H$14,0)</f>
        <v>285297</v>
      </c>
      <c r="DC314" s="42">
        <f t="shared" ref="DC314" si="4779">DB314</f>
        <v>285297</v>
      </c>
      <c r="DD314" s="42">
        <f t="shared" ref="DD314" si="4780">DC314</f>
        <v>285297</v>
      </c>
      <c r="DE314" s="42">
        <f t="shared" ref="DE314" si="4781">DD314</f>
        <v>285297</v>
      </c>
      <c r="DF314" s="45">
        <f t="shared" si="3929"/>
        <v>33074432</v>
      </c>
      <c r="DG314" s="229"/>
      <c r="DH314" s="229"/>
      <c r="DI314" s="229"/>
      <c r="DJ314" s="229"/>
      <c r="DK314" s="229"/>
      <c r="DL314" s="229"/>
      <c r="DM314" s="229"/>
      <c r="DN314" s="229"/>
      <c r="DO314" s="229"/>
      <c r="DP314" s="229"/>
      <c r="DQ314" s="229"/>
      <c r="DR314" s="229"/>
      <c r="DS314" s="229"/>
      <c r="DT314" s="229"/>
      <c r="DU314" s="229"/>
      <c r="DV314" s="229"/>
      <c r="DW314" s="229"/>
      <c r="DX314" s="229"/>
      <c r="DY314" s="229"/>
      <c r="DZ314" s="229"/>
      <c r="EA314" s="229"/>
      <c r="EB314" s="229"/>
      <c r="EC314" s="229"/>
      <c r="ED314" s="229"/>
      <c r="EE314" s="229"/>
      <c r="EF314" s="229"/>
      <c r="EG314" s="229"/>
      <c r="EH314" s="229"/>
      <c r="EI314" s="229"/>
      <c r="EJ314" s="229"/>
      <c r="EK314" s="229"/>
      <c r="EL314" s="229"/>
      <c r="EM314" s="229"/>
      <c r="EN314" s="229"/>
      <c r="EO314" s="229"/>
      <c r="EP314" s="229"/>
      <c r="EQ314" s="229"/>
      <c r="ER314" s="229"/>
      <c r="ES314" s="229"/>
      <c r="ET314" s="229"/>
      <c r="EU314" s="229"/>
      <c r="EV314" s="229"/>
      <c r="EW314" s="229"/>
      <c r="EX314" s="229"/>
      <c r="EY314" s="229"/>
      <c r="EZ314" s="229"/>
      <c r="FA314" s="229"/>
      <c r="FB314" s="229"/>
      <c r="FC314" s="229"/>
      <c r="FD314" s="229"/>
      <c r="FE314" s="229"/>
      <c r="FF314" s="229"/>
      <c r="FG314" s="229"/>
      <c r="FH314" s="229"/>
      <c r="FI314" s="229"/>
      <c r="FJ314" s="229"/>
      <c r="FK314" s="229"/>
      <c r="FL314" s="229"/>
      <c r="FM314" s="229"/>
      <c r="FN314" s="229"/>
      <c r="FO314" s="229"/>
      <c r="FP314" s="229"/>
      <c r="FQ314" s="229"/>
      <c r="FR314" s="229"/>
      <c r="FS314" s="229"/>
      <c r="FT314" s="229"/>
      <c r="FU314" s="229"/>
      <c r="FV314" s="229"/>
      <c r="FW314" s="229"/>
      <c r="FX314" s="229"/>
      <c r="FY314" s="229"/>
      <c r="FZ314" s="229"/>
      <c r="GA314" s="229"/>
      <c r="GB314" s="229"/>
      <c r="GC314" s="229"/>
      <c r="GD314" s="229"/>
      <c r="GE314" s="229"/>
      <c r="GF314" s="229"/>
      <c r="GG314" s="229"/>
      <c r="GH314" s="229"/>
      <c r="GI314" s="229"/>
      <c r="GJ314" s="229"/>
      <c r="GK314" s="229"/>
      <c r="GL314" s="229"/>
      <c r="GM314" s="229"/>
      <c r="GN314" s="229"/>
      <c r="GO314" s="229"/>
      <c r="GP314" s="229"/>
      <c r="GQ314" s="229"/>
      <c r="GR314" s="229"/>
      <c r="GS314" s="229"/>
      <c r="GT314" s="229"/>
      <c r="GU314" s="229"/>
      <c r="GV314" s="229"/>
      <c r="GW314" s="229"/>
      <c r="GX314" s="229"/>
      <c r="GY314" s="229"/>
      <c r="GZ314" s="229"/>
      <c r="HA314" s="229"/>
      <c r="HB314" s="229"/>
      <c r="HC314" s="229"/>
      <c r="HD314" s="229"/>
      <c r="HE314" s="229"/>
      <c r="HF314" s="229"/>
      <c r="HG314" s="229"/>
      <c r="HH314" s="229"/>
      <c r="HI314" s="229"/>
      <c r="HJ314" s="229"/>
      <c r="HK314" s="229"/>
      <c r="HL314" s="229"/>
      <c r="HM314" s="229"/>
      <c r="HN314" s="229"/>
      <c r="HO314" s="229"/>
      <c r="HP314" s="229"/>
      <c r="HQ314" s="48">
        <f t="shared" si="4722"/>
        <v>66148864</v>
      </c>
      <c r="HR314" s="230">
        <f>HS314*2</f>
        <v>67160.320000000007</v>
      </c>
      <c r="HS314" s="231">
        <v>33580.160000000003</v>
      </c>
      <c r="HT314" s="51">
        <v>12895804.800000001</v>
      </c>
    </row>
    <row r="315" spans="1:228" s="52" customFormat="1" ht="12" customHeight="1">
      <c r="A315" s="505"/>
      <c r="B315" s="507"/>
      <c r="C315" s="509"/>
      <c r="D315" s="511"/>
      <c r="E315" s="515"/>
      <c r="F315" s="501"/>
      <c r="G315" s="501"/>
      <c r="H315" s="503"/>
      <c r="I315" s="23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  <c r="DB315" s="42"/>
      <c r="DC315" s="42"/>
      <c r="DD315" s="42"/>
      <c r="DE315" s="42"/>
      <c r="DF315" s="45">
        <f t="shared" si="3929"/>
        <v>0</v>
      </c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47"/>
      <c r="DX315" s="47"/>
      <c r="DY315" s="47"/>
      <c r="DZ315" s="47"/>
      <c r="EA315" s="47"/>
      <c r="EB315" s="47"/>
      <c r="EC315" s="47"/>
      <c r="ED315" s="47"/>
      <c r="EE315" s="47"/>
      <c r="EF315" s="47"/>
      <c r="EG315" s="47"/>
      <c r="EH315" s="47"/>
      <c r="EI315" s="47"/>
      <c r="EJ315" s="47"/>
      <c r="EK315" s="47"/>
      <c r="EL315" s="47"/>
      <c r="EM315" s="47"/>
      <c r="EN315" s="47"/>
      <c r="EO315" s="47"/>
      <c r="EP315" s="47"/>
      <c r="EQ315" s="47"/>
      <c r="ER315" s="47"/>
      <c r="ES315" s="47"/>
      <c r="ET315" s="47"/>
      <c r="EU315" s="47"/>
      <c r="EV315" s="47"/>
      <c r="EW315" s="47"/>
      <c r="EX315" s="47"/>
      <c r="EY315" s="47"/>
      <c r="EZ315" s="47"/>
      <c r="FA315" s="47"/>
      <c r="FB315" s="47"/>
      <c r="FC315" s="47"/>
      <c r="FD315" s="47"/>
      <c r="FE315" s="47"/>
      <c r="FF315" s="47"/>
      <c r="FG315" s="47"/>
      <c r="FH315" s="47"/>
      <c r="FI315" s="47"/>
      <c r="FJ315" s="47"/>
      <c r="FK315" s="47"/>
      <c r="FL315" s="47"/>
      <c r="FM315" s="47"/>
      <c r="FN315" s="47"/>
      <c r="FO315" s="47"/>
      <c r="FP315" s="47"/>
      <c r="FQ315" s="47"/>
      <c r="FR315" s="47"/>
      <c r="FS315" s="47"/>
      <c r="FT315" s="47"/>
      <c r="FU315" s="47"/>
      <c r="FV315" s="47"/>
      <c r="FW315" s="47"/>
      <c r="FX315" s="47"/>
      <c r="FY315" s="47"/>
      <c r="FZ315" s="47"/>
      <c r="GA315" s="47"/>
      <c r="GB315" s="47"/>
      <c r="GC315" s="47"/>
      <c r="GD315" s="47"/>
      <c r="GE315" s="47"/>
      <c r="GF315" s="47"/>
      <c r="GG315" s="47"/>
      <c r="GH315" s="47"/>
      <c r="GI315" s="47"/>
      <c r="GJ315" s="47"/>
      <c r="GK315" s="47"/>
      <c r="GL315" s="47"/>
      <c r="GM315" s="47"/>
      <c r="GN315" s="47"/>
      <c r="GO315" s="47"/>
      <c r="GP315" s="47"/>
      <c r="GQ315" s="47"/>
      <c r="GR315" s="47"/>
      <c r="GS315" s="47"/>
      <c r="GT315" s="47"/>
      <c r="GU315" s="47"/>
      <c r="GV315" s="47"/>
      <c r="GW315" s="47"/>
      <c r="GX315" s="47"/>
      <c r="GY315" s="47"/>
      <c r="GZ315" s="47"/>
      <c r="HA315" s="47"/>
      <c r="HB315" s="47"/>
      <c r="HC315" s="47"/>
      <c r="HD315" s="47"/>
      <c r="HE315" s="47"/>
      <c r="HF315" s="47"/>
      <c r="HG315" s="47"/>
      <c r="HH315" s="47"/>
      <c r="HI315" s="47"/>
      <c r="HJ315" s="47"/>
      <c r="HK315" s="47"/>
      <c r="HL315" s="47"/>
      <c r="HM315" s="47"/>
      <c r="HN315" s="47"/>
      <c r="HO315" s="47"/>
      <c r="HP315" s="47"/>
      <c r="HQ315" s="53">
        <f t="shared" si="4722"/>
        <v>0</v>
      </c>
      <c r="HR315" s="49">
        <v>67160.320000000007</v>
      </c>
      <c r="HS315" s="50">
        <v>33580.160000000003</v>
      </c>
      <c r="HT315" s="51">
        <v>9078899.1300000008</v>
      </c>
    </row>
    <row r="316" spans="1:228" s="52" customFormat="1" ht="12" customHeight="1">
      <c r="A316" s="504">
        <v>162</v>
      </c>
      <c r="B316" s="506" t="s">
        <v>570</v>
      </c>
      <c r="C316" s="508" t="s">
        <v>717</v>
      </c>
      <c r="D316" s="510" t="s">
        <v>648</v>
      </c>
      <c r="E316" s="512" t="s">
        <v>509</v>
      </c>
      <c r="F316" s="500">
        <v>4.5</v>
      </c>
      <c r="G316" s="500">
        <v>14.61</v>
      </c>
      <c r="H316" s="502">
        <f>2000*12</f>
        <v>24000</v>
      </c>
      <c r="I316" s="502"/>
      <c r="J316" s="43">
        <f>2000*3</f>
        <v>6000</v>
      </c>
      <c r="K316" s="42">
        <f>J316</f>
        <v>6000</v>
      </c>
      <c r="L316" s="42">
        <f>K316</f>
        <v>6000</v>
      </c>
      <c r="M316" s="42">
        <f>L316</f>
        <v>6000</v>
      </c>
      <c r="N316" s="44">
        <f>ROUND(M316*(1+取值表!$D$14)*取值表!$H$14,0)</f>
        <v>5928</v>
      </c>
      <c r="O316" s="42">
        <f>N316</f>
        <v>5928</v>
      </c>
      <c r="P316" s="42">
        <f>O316</f>
        <v>5928</v>
      </c>
      <c r="Q316" s="42">
        <f>P316</f>
        <v>5928</v>
      </c>
      <c r="R316" s="44">
        <f>ROUND(Q316*(1+取值表!$D$14)*取值表!$H$14,0)</f>
        <v>5857</v>
      </c>
      <c r="S316" s="42">
        <f t="shared" ref="S316:U316" si="4782">R316</f>
        <v>5857</v>
      </c>
      <c r="T316" s="42">
        <f t="shared" si="4782"/>
        <v>5857</v>
      </c>
      <c r="U316" s="42">
        <f t="shared" si="4782"/>
        <v>5857</v>
      </c>
      <c r="V316" s="44">
        <f>ROUND(U316*(1+取值表!$D$14)*取值表!$H$14,0)</f>
        <v>5787</v>
      </c>
      <c r="W316" s="42">
        <f t="shared" ref="W316:Y316" si="4783">V316</f>
        <v>5787</v>
      </c>
      <c r="X316" s="42">
        <f t="shared" si="4783"/>
        <v>5787</v>
      </c>
      <c r="Y316" s="42">
        <f t="shared" si="4783"/>
        <v>5787</v>
      </c>
      <c r="Z316" s="44">
        <f>ROUND(Y316*(1+取值表!$D$14)*取值表!$H$14,0)</f>
        <v>5718</v>
      </c>
      <c r="AA316" s="42">
        <f t="shared" ref="AA316:AC316" si="4784">Z316</f>
        <v>5718</v>
      </c>
      <c r="AB316" s="42">
        <f t="shared" si="4784"/>
        <v>5718</v>
      </c>
      <c r="AC316" s="42">
        <f t="shared" si="4784"/>
        <v>5718</v>
      </c>
      <c r="AD316" s="44">
        <f>ROUND(AC316*(1+取值表!$D$14)*取值表!$H$14,0)</f>
        <v>5650</v>
      </c>
      <c r="AE316" s="42">
        <f t="shared" ref="AE316:AG316" si="4785">AD316</f>
        <v>5650</v>
      </c>
      <c r="AF316" s="42">
        <f t="shared" si="4785"/>
        <v>5650</v>
      </c>
      <c r="AG316" s="42">
        <f t="shared" si="4785"/>
        <v>5650</v>
      </c>
      <c r="AH316" s="44">
        <f>ROUND(AG316*(1+取值表!$D$14)*取值表!$H$14,0)</f>
        <v>5583</v>
      </c>
      <c r="AI316" s="42">
        <f t="shared" ref="AI316:AK316" si="4786">AH316</f>
        <v>5583</v>
      </c>
      <c r="AJ316" s="42">
        <f t="shared" si="4786"/>
        <v>5583</v>
      </c>
      <c r="AK316" s="42">
        <f t="shared" si="4786"/>
        <v>5583</v>
      </c>
      <c r="AL316" s="44">
        <f>ROUND(AK316*(1+取值表!$D$14)*取值表!$H$14,0)</f>
        <v>5516</v>
      </c>
      <c r="AM316" s="42">
        <f t="shared" ref="AM316:AO316" si="4787">AL316</f>
        <v>5516</v>
      </c>
      <c r="AN316" s="42">
        <f t="shared" si="4787"/>
        <v>5516</v>
      </c>
      <c r="AO316" s="42">
        <f t="shared" si="4787"/>
        <v>5516</v>
      </c>
      <c r="AP316" s="44">
        <f>ROUND(AO316*(1+取值表!$D$14)*取值表!$H$14,0)</f>
        <v>5450</v>
      </c>
      <c r="AQ316" s="42">
        <f t="shared" ref="AQ316:AS316" si="4788">AP316</f>
        <v>5450</v>
      </c>
      <c r="AR316" s="42">
        <f t="shared" si="4788"/>
        <v>5450</v>
      </c>
      <c r="AS316" s="42">
        <f t="shared" si="4788"/>
        <v>5450</v>
      </c>
      <c r="AT316" s="44">
        <f>ROUND(AS316*(1+取值表!$D$14)*取值表!$H$14,0)</f>
        <v>5385</v>
      </c>
      <c r="AU316" s="42">
        <f t="shared" ref="AU316:AW316" si="4789">AT316</f>
        <v>5385</v>
      </c>
      <c r="AV316" s="42">
        <f t="shared" si="4789"/>
        <v>5385</v>
      </c>
      <c r="AW316" s="42">
        <f t="shared" si="4789"/>
        <v>5385</v>
      </c>
      <c r="AX316" s="44">
        <f>ROUND(AW316*(1+取值表!$D$14)*取值表!$H$14,0)</f>
        <v>5321</v>
      </c>
      <c r="AY316" s="42">
        <f t="shared" ref="AY316:BA316" si="4790">AX316</f>
        <v>5321</v>
      </c>
      <c r="AZ316" s="42">
        <f t="shared" si="4790"/>
        <v>5321</v>
      </c>
      <c r="BA316" s="42">
        <f t="shared" si="4790"/>
        <v>5321</v>
      </c>
      <c r="BB316" s="44">
        <f>ROUND(BA316*(1+取值表!$D$14)*取值表!$H$14,0)</f>
        <v>5257</v>
      </c>
      <c r="BC316" s="42">
        <f t="shared" ref="BC316:BE316" si="4791">BB316</f>
        <v>5257</v>
      </c>
      <c r="BD316" s="42">
        <f t="shared" si="4791"/>
        <v>5257</v>
      </c>
      <c r="BE316" s="42">
        <f t="shared" si="4791"/>
        <v>5257</v>
      </c>
      <c r="BF316" s="44">
        <f>ROUND(BE316*(1+取值表!$D$14)*取值表!$H$14,0)</f>
        <v>5194</v>
      </c>
      <c r="BG316" s="42">
        <f t="shared" ref="BG316:BI316" si="4792">BF316</f>
        <v>5194</v>
      </c>
      <c r="BH316" s="42">
        <f t="shared" si="4792"/>
        <v>5194</v>
      </c>
      <c r="BI316" s="42">
        <f t="shared" si="4792"/>
        <v>5194</v>
      </c>
      <c r="BJ316" s="44">
        <f>ROUND(BI316*(1+取值表!$D$14)*取值表!$H$14,0)</f>
        <v>5132</v>
      </c>
      <c r="BK316" s="42">
        <f t="shared" ref="BK316:BM316" si="4793">BJ316</f>
        <v>5132</v>
      </c>
      <c r="BL316" s="42">
        <f t="shared" si="4793"/>
        <v>5132</v>
      </c>
      <c r="BM316" s="42">
        <f t="shared" si="4793"/>
        <v>5132</v>
      </c>
      <c r="BN316" s="44">
        <f>ROUND(BM316*(1+取值表!$D$14)*取值表!$H$14,0)</f>
        <v>5071</v>
      </c>
      <c r="BO316" s="42">
        <f t="shared" ref="BO316:BQ316" si="4794">BN316</f>
        <v>5071</v>
      </c>
      <c r="BP316" s="42">
        <f t="shared" si="4794"/>
        <v>5071</v>
      </c>
      <c r="BQ316" s="42">
        <f t="shared" si="4794"/>
        <v>5071</v>
      </c>
      <c r="BR316" s="44">
        <f>ROUND(BQ316*(1+取值表!$D$14)*取值表!$H$14,0)</f>
        <v>5010</v>
      </c>
      <c r="BS316" s="42">
        <f t="shared" ref="BS316:BU316" si="4795">BR316</f>
        <v>5010</v>
      </c>
      <c r="BT316" s="42">
        <f t="shared" si="4795"/>
        <v>5010</v>
      </c>
      <c r="BU316" s="42">
        <f t="shared" si="4795"/>
        <v>5010</v>
      </c>
      <c r="BV316" s="44">
        <f>ROUND(BU316*(1+取值表!$D$14)*取值表!$H$14,0)</f>
        <v>4950</v>
      </c>
      <c r="BW316" s="42">
        <f t="shared" ref="BW316:BY316" si="4796">BV316</f>
        <v>4950</v>
      </c>
      <c r="BX316" s="42">
        <f t="shared" si="4796"/>
        <v>4950</v>
      </c>
      <c r="BY316" s="42">
        <f t="shared" si="4796"/>
        <v>4950</v>
      </c>
      <c r="BZ316" s="44">
        <f>ROUND(BY316*(1+取值表!$D$14)*取值表!$H$14,0)</f>
        <v>4891</v>
      </c>
      <c r="CA316" s="42">
        <f t="shared" ref="CA316:CC316" si="4797">BZ316</f>
        <v>4891</v>
      </c>
      <c r="CB316" s="42">
        <f t="shared" si="4797"/>
        <v>4891</v>
      </c>
      <c r="CC316" s="42">
        <f t="shared" si="4797"/>
        <v>4891</v>
      </c>
      <c r="CD316" s="44">
        <f>ROUND(CC316*(1+取值表!$D$14)*取值表!$H$14,0)</f>
        <v>4833</v>
      </c>
      <c r="CE316" s="42">
        <f t="shared" ref="CE316:CG316" si="4798">CD316</f>
        <v>4833</v>
      </c>
      <c r="CF316" s="42">
        <f t="shared" si="4798"/>
        <v>4833</v>
      </c>
      <c r="CG316" s="42">
        <f t="shared" si="4798"/>
        <v>4833</v>
      </c>
      <c r="CH316" s="44">
        <f>ROUND(CG316*(1+取值表!$D$14)*取值表!$H$14,0)</f>
        <v>4775</v>
      </c>
      <c r="CI316" s="42">
        <f t="shared" ref="CI316:CK316" si="4799">CH316</f>
        <v>4775</v>
      </c>
      <c r="CJ316" s="42">
        <f t="shared" si="4799"/>
        <v>4775</v>
      </c>
      <c r="CK316" s="42">
        <f t="shared" si="4799"/>
        <v>4775</v>
      </c>
      <c r="CL316" s="44">
        <f>ROUND(CK316*(1+取值表!$D$14)*取值表!$H$14,0)</f>
        <v>4718</v>
      </c>
      <c r="CM316" s="42">
        <f t="shared" ref="CM316:CO316" si="4800">CL316</f>
        <v>4718</v>
      </c>
      <c r="CN316" s="42">
        <f t="shared" si="4800"/>
        <v>4718</v>
      </c>
      <c r="CO316" s="42">
        <f t="shared" si="4800"/>
        <v>4718</v>
      </c>
      <c r="CP316" s="44">
        <f>ROUND(CO316*(1+取值表!$D$14)*取值表!$H$14,0)</f>
        <v>4662</v>
      </c>
      <c r="CQ316" s="42">
        <f t="shared" ref="CQ316" si="4801">CP316</f>
        <v>4662</v>
      </c>
      <c r="CR316" s="42">
        <f t="shared" ref="CR316" si="4802">CQ316</f>
        <v>4662</v>
      </c>
      <c r="CS316" s="42">
        <f t="shared" ref="CS316" si="4803">CR316</f>
        <v>4662</v>
      </c>
      <c r="CT316" s="44">
        <f>ROUND(CS316*(1+取值表!$D$14)*取值表!$H$14,0)</f>
        <v>4606</v>
      </c>
      <c r="CU316" s="42">
        <f t="shared" ref="CU316" si="4804">CT316</f>
        <v>4606</v>
      </c>
      <c r="CV316" s="42">
        <f t="shared" ref="CV316" si="4805">CU316</f>
        <v>4606</v>
      </c>
      <c r="CW316" s="42">
        <f t="shared" ref="CW316" si="4806">CV316</f>
        <v>4606</v>
      </c>
      <c r="CX316" s="44">
        <f>ROUND(CW316*(1+取值表!$D$14)*取值表!$H$14,0)</f>
        <v>4551</v>
      </c>
      <c r="CY316" s="42">
        <f t="shared" ref="CY316" si="4807">CX316</f>
        <v>4551</v>
      </c>
      <c r="CZ316" s="42">
        <f t="shared" ref="CZ316" si="4808">CY316</f>
        <v>4551</v>
      </c>
      <c r="DA316" s="42">
        <f t="shared" ref="DA316" si="4809">CZ316</f>
        <v>4551</v>
      </c>
      <c r="DB316" s="44">
        <f>ROUND(DA316*(1+取值表!$D$14)*取值表!$H$14,0)</f>
        <v>4497</v>
      </c>
      <c r="DC316" s="42">
        <f t="shared" ref="DC316" si="4810">DB316</f>
        <v>4497</v>
      </c>
      <c r="DD316" s="42">
        <f t="shared" ref="DD316" si="4811">DC316</f>
        <v>4497</v>
      </c>
      <c r="DE316" s="42">
        <f t="shared" ref="DE316" si="4812">DD316</f>
        <v>4497</v>
      </c>
      <c r="DF316" s="45">
        <f t="shared" si="3929"/>
        <v>521368</v>
      </c>
      <c r="DG316" s="229"/>
      <c r="DH316" s="229"/>
      <c r="DI316" s="229"/>
      <c r="DJ316" s="229"/>
      <c r="DK316" s="229"/>
      <c r="DL316" s="229"/>
      <c r="DM316" s="229"/>
      <c r="DN316" s="229"/>
      <c r="DO316" s="229"/>
      <c r="DP316" s="229"/>
      <c r="DQ316" s="229"/>
      <c r="DR316" s="229"/>
      <c r="DS316" s="229"/>
      <c r="DT316" s="229"/>
      <c r="DU316" s="229"/>
      <c r="DV316" s="229"/>
      <c r="DW316" s="229"/>
      <c r="DX316" s="229"/>
      <c r="DY316" s="229"/>
      <c r="DZ316" s="229"/>
      <c r="EA316" s="229"/>
      <c r="EB316" s="229"/>
      <c r="EC316" s="229"/>
      <c r="ED316" s="229"/>
      <c r="EE316" s="229"/>
      <c r="EF316" s="229"/>
      <c r="EG316" s="229"/>
      <c r="EH316" s="229"/>
      <c r="EI316" s="229"/>
      <c r="EJ316" s="229"/>
      <c r="EK316" s="229"/>
      <c r="EL316" s="229"/>
      <c r="EM316" s="229"/>
      <c r="EN316" s="229"/>
      <c r="EO316" s="229"/>
      <c r="EP316" s="229"/>
      <c r="EQ316" s="229"/>
      <c r="ER316" s="229"/>
      <c r="ES316" s="229"/>
      <c r="ET316" s="229"/>
      <c r="EU316" s="229"/>
      <c r="EV316" s="229"/>
      <c r="EW316" s="229"/>
      <c r="EX316" s="229"/>
      <c r="EY316" s="229"/>
      <c r="EZ316" s="229"/>
      <c r="FA316" s="229"/>
      <c r="FB316" s="229"/>
      <c r="FC316" s="229"/>
      <c r="FD316" s="229"/>
      <c r="FE316" s="229"/>
      <c r="FF316" s="229"/>
      <c r="FG316" s="229"/>
      <c r="FH316" s="229"/>
      <c r="FI316" s="229"/>
      <c r="FJ316" s="229"/>
      <c r="FK316" s="229"/>
      <c r="FL316" s="229"/>
      <c r="FM316" s="229"/>
      <c r="FN316" s="229"/>
      <c r="FO316" s="229"/>
      <c r="FP316" s="229"/>
      <c r="FQ316" s="229"/>
      <c r="FR316" s="229"/>
      <c r="FS316" s="229"/>
      <c r="FT316" s="229"/>
      <c r="FU316" s="229"/>
      <c r="FV316" s="229"/>
      <c r="FW316" s="229"/>
      <c r="FX316" s="229"/>
      <c r="FY316" s="229"/>
      <c r="FZ316" s="229"/>
      <c r="GA316" s="229"/>
      <c r="GB316" s="229"/>
      <c r="GC316" s="229"/>
      <c r="GD316" s="229"/>
      <c r="GE316" s="229"/>
      <c r="GF316" s="229"/>
      <c r="GG316" s="229"/>
      <c r="GH316" s="229"/>
      <c r="GI316" s="229"/>
      <c r="GJ316" s="229"/>
      <c r="GK316" s="229"/>
      <c r="GL316" s="229"/>
      <c r="GM316" s="229"/>
      <c r="GN316" s="229"/>
      <c r="GO316" s="229"/>
      <c r="GP316" s="229"/>
      <c r="GQ316" s="229"/>
      <c r="GR316" s="229"/>
      <c r="GS316" s="229"/>
      <c r="GT316" s="229"/>
      <c r="GU316" s="229"/>
      <c r="GV316" s="229"/>
      <c r="GW316" s="229"/>
      <c r="GX316" s="229"/>
      <c r="GY316" s="229"/>
      <c r="GZ316" s="229"/>
      <c r="HA316" s="229"/>
      <c r="HB316" s="229"/>
      <c r="HC316" s="229"/>
      <c r="HD316" s="229"/>
      <c r="HE316" s="229"/>
      <c r="HF316" s="229"/>
      <c r="HG316" s="229"/>
      <c r="HH316" s="229"/>
      <c r="HI316" s="229"/>
      <c r="HJ316" s="229"/>
      <c r="HK316" s="229"/>
      <c r="HL316" s="229"/>
      <c r="HM316" s="229"/>
      <c r="HN316" s="229"/>
      <c r="HO316" s="229"/>
      <c r="HP316" s="229"/>
      <c r="HQ316" s="48">
        <f t="shared" si="4722"/>
        <v>1042736</v>
      </c>
      <c r="HR316" s="230">
        <f>HS316*2</f>
        <v>67160.320000000007</v>
      </c>
      <c r="HS316" s="231">
        <v>33580.160000000003</v>
      </c>
      <c r="HT316" s="51">
        <v>229817.24633333299</v>
      </c>
    </row>
    <row r="317" spans="1:228" s="52" customFormat="1" ht="12">
      <c r="A317" s="505"/>
      <c r="B317" s="507"/>
      <c r="C317" s="509"/>
      <c r="D317" s="511"/>
      <c r="E317" s="513"/>
      <c r="F317" s="501"/>
      <c r="G317" s="501"/>
      <c r="H317" s="503"/>
      <c r="I317" s="503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  <c r="DB317" s="42"/>
      <c r="DC317" s="42"/>
      <c r="DD317" s="42"/>
      <c r="DE317" s="42"/>
      <c r="DF317" s="45">
        <f t="shared" si="3929"/>
        <v>0</v>
      </c>
      <c r="DG317" s="47"/>
      <c r="DH317" s="47"/>
      <c r="DI317" s="47"/>
      <c r="DJ317" s="47"/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47"/>
      <c r="DX317" s="47"/>
      <c r="DY317" s="47"/>
      <c r="DZ317" s="47"/>
      <c r="EA317" s="47"/>
      <c r="EB317" s="47"/>
      <c r="EC317" s="47"/>
      <c r="ED317" s="47"/>
      <c r="EE317" s="47"/>
      <c r="EF317" s="47"/>
      <c r="EG317" s="47"/>
      <c r="EH317" s="47"/>
      <c r="EI317" s="47"/>
      <c r="EJ317" s="47"/>
      <c r="EK317" s="47"/>
      <c r="EL317" s="47"/>
      <c r="EM317" s="47"/>
      <c r="EN317" s="47"/>
      <c r="EO317" s="47"/>
      <c r="EP317" s="47"/>
      <c r="EQ317" s="47"/>
      <c r="ER317" s="47"/>
      <c r="ES317" s="47"/>
      <c r="ET317" s="47"/>
      <c r="EU317" s="47"/>
      <c r="EV317" s="47"/>
      <c r="EW317" s="47"/>
      <c r="EX317" s="47"/>
      <c r="EY317" s="47"/>
      <c r="EZ317" s="47"/>
      <c r="FA317" s="47"/>
      <c r="FB317" s="47"/>
      <c r="FC317" s="47"/>
      <c r="FD317" s="47"/>
      <c r="FE317" s="47"/>
      <c r="FF317" s="47"/>
      <c r="FG317" s="47"/>
      <c r="FH317" s="47"/>
      <c r="FI317" s="47"/>
      <c r="FJ317" s="47"/>
      <c r="FK317" s="47"/>
      <c r="FL317" s="47"/>
      <c r="FM317" s="47"/>
      <c r="FN317" s="47"/>
      <c r="FO317" s="47"/>
      <c r="FP317" s="47"/>
      <c r="FQ317" s="47"/>
      <c r="FR317" s="47"/>
      <c r="FS317" s="47"/>
      <c r="FT317" s="47"/>
      <c r="FU317" s="47"/>
      <c r="FV317" s="47"/>
      <c r="FW317" s="47"/>
      <c r="FX317" s="47"/>
      <c r="FY317" s="47"/>
      <c r="FZ317" s="47"/>
      <c r="GA317" s="47"/>
      <c r="GB317" s="47"/>
      <c r="GC317" s="47"/>
      <c r="GD317" s="47"/>
      <c r="GE317" s="47"/>
      <c r="GF317" s="47"/>
      <c r="GG317" s="47"/>
      <c r="GH317" s="47"/>
      <c r="GI317" s="47"/>
      <c r="GJ317" s="47"/>
      <c r="GK317" s="47"/>
      <c r="GL317" s="47"/>
      <c r="GM317" s="47"/>
      <c r="GN317" s="47"/>
      <c r="GO317" s="47"/>
      <c r="GP317" s="47"/>
      <c r="GQ317" s="47"/>
      <c r="GR317" s="47"/>
      <c r="GS317" s="47"/>
      <c r="GT317" s="47"/>
      <c r="GU317" s="47"/>
      <c r="GV317" s="47"/>
      <c r="GW317" s="47"/>
      <c r="GX317" s="47"/>
      <c r="GY317" s="47"/>
      <c r="GZ317" s="47"/>
      <c r="HA317" s="47"/>
      <c r="HB317" s="47"/>
      <c r="HC317" s="47"/>
      <c r="HD317" s="47"/>
      <c r="HE317" s="47"/>
      <c r="HF317" s="47"/>
      <c r="HG317" s="47"/>
      <c r="HH317" s="47"/>
      <c r="HI317" s="47"/>
      <c r="HJ317" s="47"/>
      <c r="HK317" s="47"/>
      <c r="HL317" s="47"/>
      <c r="HM317" s="47"/>
      <c r="HN317" s="47"/>
      <c r="HO317" s="47"/>
      <c r="HP317" s="47"/>
      <c r="HQ317" s="53">
        <f t="shared" si="4722"/>
        <v>0</v>
      </c>
      <c r="HR317" s="49">
        <v>67160.320000000007</v>
      </c>
      <c r="HS317" s="50">
        <v>33580.160000000003</v>
      </c>
      <c r="HT317" s="51">
        <v>212132.99</v>
      </c>
    </row>
    <row r="318" spans="1:228" s="52" customFormat="1" ht="12" customHeight="1">
      <c r="A318" s="504">
        <v>163</v>
      </c>
      <c r="B318" s="506" t="s">
        <v>571</v>
      </c>
      <c r="C318" s="508" t="s">
        <v>719</v>
      </c>
      <c r="D318" s="510" t="s">
        <v>638</v>
      </c>
      <c r="E318" s="512" t="s">
        <v>509</v>
      </c>
      <c r="F318" s="500">
        <v>30.17</v>
      </c>
      <c r="G318" s="500">
        <v>18.5</v>
      </c>
      <c r="H318" s="502">
        <f>F318*G318*365</f>
        <v>203722.92499999999</v>
      </c>
      <c r="I318" s="232">
        <v>53683.74</v>
      </c>
      <c r="J318" s="43">
        <f>ROUND(G318*F318*365/4,0)</f>
        <v>50931</v>
      </c>
      <c r="K318" s="42">
        <f>J318</f>
        <v>50931</v>
      </c>
      <c r="L318" s="42">
        <f>K318</f>
        <v>50931</v>
      </c>
      <c r="M318" s="42">
        <f>L318</f>
        <v>50931</v>
      </c>
      <c r="N318" s="44">
        <f>ROUND(M318*(1+取值表!$D$14)*取值表!$H$14,0)</f>
        <v>50323</v>
      </c>
      <c r="O318" s="42">
        <f>N318</f>
        <v>50323</v>
      </c>
      <c r="P318" s="42">
        <f>O318</f>
        <v>50323</v>
      </c>
      <c r="Q318" s="42">
        <f>P318</f>
        <v>50323</v>
      </c>
      <c r="R318" s="44">
        <f>ROUND(Q318*(1+取值表!$D$14)*取值表!$H$14,0)</f>
        <v>49722</v>
      </c>
      <c r="S318" s="42">
        <f t="shared" ref="S318:U318" si="4813">R318</f>
        <v>49722</v>
      </c>
      <c r="T318" s="42">
        <f t="shared" si="4813"/>
        <v>49722</v>
      </c>
      <c r="U318" s="42">
        <f t="shared" si="4813"/>
        <v>49722</v>
      </c>
      <c r="V318" s="44">
        <f>ROUND(U318*(1+取值表!$D$14)*取值表!$H$14,0)</f>
        <v>49129</v>
      </c>
      <c r="W318" s="42">
        <f t="shared" ref="W318:Y318" si="4814">V318</f>
        <v>49129</v>
      </c>
      <c r="X318" s="42">
        <f t="shared" si="4814"/>
        <v>49129</v>
      </c>
      <c r="Y318" s="42">
        <f t="shared" si="4814"/>
        <v>49129</v>
      </c>
      <c r="Z318" s="44">
        <f>ROUND(Y318*(1+取值表!$D$14)*取值表!$H$14,0)</f>
        <v>48543</v>
      </c>
      <c r="AA318" s="42">
        <f t="shared" ref="AA318:AC318" si="4815">Z318</f>
        <v>48543</v>
      </c>
      <c r="AB318" s="42">
        <f t="shared" si="4815"/>
        <v>48543</v>
      </c>
      <c r="AC318" s="42">
        <f t="shared" si="4815"/>
        <v>48543</v>
      </c>
      <c r="AD318" s="44">
        <f>ROUND(AC318*(1+取值表!$D$14)*取值表!$H$14,0)</f>
        <v>47964</v>
      </c>
      <c r="AE318" s="42">
        <f t="shared" ref="AE318:AG318" si="4816">AD318</f>
        <v>47964</v>
      </c>
      <c r="AF318" s="42">
        <f t="shared" si="4816"/>
        <v>47964</v>
      </c>
      <c r="AG318" s="42">
        <f t="shared" si="4816"/>
        <v>47964</v>
      </c>
      <c r="AH318" s="44">
        <f>ROUND(AG318*(1+取值表!$D$14)*取值表!$H$14,0)</f>
        <v>47392</v>
      </c>
      <c r="AI318" s="42">
        <f t="shared" ref="AI318:AK318" si="4817">AH318</f>
        <v>47392</v>
      </c>
      <c r="AJ318" s="42">
        <f t="shared" si="4817"/>
        <v>47392</v>
      </c>
      <c r="AK318" s="42">
        <f t="shared" si="4817"/>
        <v>47392</v>
      </c>
      <c r="AL318" s="44">
        <f>ROUND(AK318*(1+取值表!$D$14)*取值表!$H$14,0)</f>
        <v>46826</v>
      </c>
      <c r="AM318" s="42">
        <f t="shared" ref="AM318:AO318" si="4818">AL318</f>
        <v>46826</v>
      </c>
      <c r="AN318" s="42">
        <f t="shared" si="4818"/>
        <v>46826</v>
      </c>
      <c r="AO318" s="42">
        <f t="shared" si="4818"/>
        <v>46826</v>
      </c>
      <c r="AP318" s="44">
        <f>ROUND(AO318*(1+取值表!$D$14)*取值表!$H$14,0)</f>
        <v>46267</v>
      </c>
      <c r="AQ318" s="42">
        <f t="shared" ref="AQ318:AS318" si="4819">AP318</f>
        <v>46267</v>
      </c>
      <c r="AR318" s="42">
        <f t="shared" si="4819"/>
        <v>46267</v>
      </c>
      <c r="AS318" s="42">
        <f t="shared" si="4819"/>
        <v>46267</v>
      </c>
      <c r="AT318" s="44">
        <f>ROUND(AS318*(1+取值表!$D$14)*取值表!$H$14,0)</f>
        <v>45715</v>
      </c>
      <c r="AU318" s="42">
        <f t="shared" ref="AU318:AW318" si="4820">AT318</f>
        <v>45715</v>
      </c>
      <c r="AV318" s="42">
        <f t="shared" si="4820"/>
        <v>45715</v>
      </c>
      <c r="AW318" s="42">
        <f t="shared" si="4820"/>
        <v>45715</v>
      </c>
      <c r="AX318" s="44">
        <f>ROUND(AW318*(1+取值表!$D$14)*取值表!$H$14,0)</f>
        <v>45169</v>
      </c>
      <c r="AY318" s="42">
        <f t="shared" ref="AY318:BA318" si="4821">AX318</f>
        <v>45169</v>
      </c>
      <c r="AZ318" s="42">
        <f t="shared" si="4821"/>
        <v>45169</v>
      </c>
      <c r="BA318" s="42">
        <f t="shared" si="4821"/>
        <v>45169</v>
      </c>
      <c r="BB318" s="44">
        <f>ROUND(BA318*(1+取值表!$D$14)*取值表!$H$14,0)</f>
        <v>44630</v>
      </c>
      <c r="BC318" s="42">
        <f t="shared" ref="BC318:BE318" si="4822">BB318</f>
        <v>44630</v>
      </c>
      <c r="BD318" s="42">
        <f t="shared" si="4822"/>
        <v>44630</v>
      </c>
      <c r="BE318" s="42">
        <f t="shared" si="4822"/>
        <v>44630</v>
      </c>
      <c r="BF318" s="44">
        <f>ROUND(BE318*(1+取值表!$D$14)*取值表!$H$14,0)</f>
        <v>44097</v>
      </c>
      <c r="BG318" s="42">
        <f t="shared" ref="BG318:BI318" si="4823">BF318</f>
        <v>44097</v>
      </c>
      <c r="BH318" s="42">
        <f t="shared" si="4823"/>
        <v>44097</v>
      </c>
      <c r="BI318" s="42">
        <f t="shared" si="4823"/>
        <v>44097</v>
      </c>
      <c r="BJ318" s="44">
        <f>ROUND(BI318*(1+取值表!$D$14)*取值表!$H$14,0)</f>
        <v>43571</v>
      </c>
      <c r="BK318" s="42">
        <f t="shared" ref="BK318:BM318" si="4824">BJ318</f>
        <v>43571</v>
      </c>
      <c r="BL318" s="42">
        <f t="shared" si="4824"/>
        <v>43571</v>
      </c>
      <c r="BM318" s="42">
        <f t="shared" si="4824"/>
        <v>43571</v>
      </c>
      <c r="BN318" s="44">
        <f>ROUND(BM318*(1+取值表!$D$14)*取值表!$H$14,0)</f>
        <v>43051</v>
      </c>
      <c r="BO318" s="42">
        <f t="shared" ref="BO318:BQ318" si="4825">BN318</f>
        <v>43051</v>
      </c>
      <c r="BP318" s="42">
        <f t="shared" si="4825"/>
        <v>43051</v>
      </c>
      <c r="BQ318" s="42">
        <f t="shared" si="4825"/>
        <v>43051</v>
      </c>
      <c r="BR318" s="44">
        <f>ROUND(BQ318*(1+取值表!$D$14)*取值表!$H$14,0)</f>
        <v>42537</v>
      </c>
      <c r="BS318" s="42">
        <f t="shared" ref="BS318:BU318" si="4826">BR318</f>
        <v>42537</v>
      </c>
      <c r="BT318" s="42">
        <f t="shared" si="4826"/>
        <v>42537</v>
      </c>
      <c r="BU318" s="42">
        <f t="shared" si="4826"/>
        <v>42537</v>
      </c>
      <c r="BV318" s="44">
        <f>ROUND(BU318*(1+取值表!$D$14)*取值表!$H$14,0)</f>
        <v>42029</v>
      </c>
      <c r="BW318" s="42">
        <f t="shared" ref="BW318:BY318" si="4827">BV318</f>
        <v>42029</v>
      </c>
      <c r="BX318" s="42">
        <f t="shared" si="4827"/>
        <v>42029</v>
      </c>
      <c r="BY318" s="42">
        <f t="shared" si="4827"/>
        <v>42029</v>
      </c>
      <c r="BZ318" s="44">
        <f>ROUND(BY318*(1+取值表!$D$14)*取值表!$H$14,0)</f>
        <v>41527</v>
      </c>
      <c r="CA318" s="42">
        <f t="shared" ref="CA318:CC318" si="4828">BZ318</f>
        <v>41527</v>
      </c>
      <c r="CB318" s="42">
        <f t="shared" si="4828"/>
        <v>41527</v>
      </c>
      <c r="CC318" s="42">
        <f t="shared" si="4828"/>
        <v>41527</v>
      </c>
      <c r="CD318" s="44">
        <f>ROUND(CC318*(1+取值表!$D$14)*取值表!$H$14,0)</f>
        <v>41031</v>
      </c>
      <c r="CE318" s="42">
        <f t="shared" ref="CE318:CG318" si="4829">CD318</f>
        <v>41031</v>
      </c>
      <c r="CF318" s="42">
        <f t="shared" si="4829"/>
        <v>41031</v>
      </c>
      <c r="CG318" s="42">
        <f t="shared" si="4829"/>
        <v>41031</v>
      </c>
      <c r="CH318" s="44">
        <f>ROUND(CG318*(1+取值表!$D$14)*取值表!$H$14,0)</f>
        <v>40541</v>
      </c>
      <c r="CI318" s="42">
        <f t="shared" ref="CI318:CK318" si="4830">CH318</f>
        <v>40541</v>
      </c>
      <c r="CJ318" s="42">
        <f t="shared" si="4830"/>
        <v>40541</v>
      </c>
      <c r="CK318" s="42">
        <f t="shared" si="4830"/>
        <v>40541</v>
      </c>
      <c r="CL318" s="44">
        <f>ROUND(CK318*(1+取值表!$D$14)*取值表!$H$14,0)</f>
        <v>40057</v>
      </c>
      <c r="CM318" s="42">
        <f t="shared" ref="CM318:CO318" si="4831">CL318</f>
        <v>40057</v>
      </c>
      <c r="CN318" s="42">
        <f t="shared" si="4831"/>
        <v>40057</v>
      </c>
      <c r="CO318" s="42">
        <f t="shared" si="4831"/>
        <v>40057</v>
      </c>
      <c r="CP318" s="44">
        <f>ROUND(CO318*(1+取值表!$D$14)*取值表!$H$14,0)</f>
        <v>39579</v>
      </c>
      <c r="CQ318" s="42">
        <f t="shared" ref="CQ318" si="4832">CP318</f>
        <v>39579</v>
      </c>
      <c r="CR318" s="42">
        <f t="shared" ref="CR318" si="4833">CQ318</f>
        <v>39579</v>
      </c>
      <c r="CS318" s="42">
        <f t="shared" ref="CS318" si="4834">CR318</f>
        <v>39579</v>
      </c>
      <c r="CT318" s="44">
        <f>ROUND(CS318*(1+取值表!$D$14)*取值表!$H$14,0)</f>
        <v>39107</v>
      </c>
      <c r="CU318" s="42">
        <f t="shared" ref="CU318" si="4835">CT318</f>
        <v>39107</v>
      </c>
      <c r="CV318" s="42">
        <f t="shared" ref="CV318" si="4836">CU318</f>
        <v>39107</v>
      </c>
      <c r="CW318" s="42">
        <f t="shared" ref="CW318" si="4837">CV318</f>
        <v>39107</v>
      </c>
      <c r="CX318" s="44">
        <f>ROUND(CW318*(1+取值表!$D$14)*取值表!$H$14,0)</f>
        <v>38640</v>
      </c>
      <c r="CY318" s="42">
        <f t="shared" ref="CY318" si="4838">CX318</f>
        <v>38640</v>
      </c>
      <c r="CZ318" s="42">
        <f t="shared" ref="CZ318" si="4839">CY318</f>
        <v>38640</v>
      </c>
      <c r="DA318" s="42">
        <f t="shared" ref="DA318" si="4840">CZ318</f>
        <v>38640</v>
      </c>
      <c r="DB318" s="44">
        <f>ROUND(DA318*(1+取值表!$D$14)*取值表!$H$14,0)</f>
        <v>38179</v>
      </c>
      <c r="DC318" s="42">
        <f t="shared" ref="DC318" si="4841">DB318</f>
        <v>38179</v>
      </c>
      <c r="DD318" s="42">
        <f t="shared" ref="DD318" si="4842">DC318</f>
        <v>38179</v>
      </c>
      <c r="DE318" s="42">
        <f t="shared" ref="DE318" si="4843">DD318</f>
        <v>38179</v>
      </c>
      <c r="DF318" s="45">
        <f t="shared" si="3929"/>
        <v>4426228</v>
      </c>
      <c r="DG318" s="229"/>
      <c r="DH318" s="229"/>
      <c r="DI318" s="229"/>
      <c r="DJ318" s="229"/>
      <c r="DK318" s="229"/>
      <c r="DL318" s="229"/>
      <c r="DM318" s="229"/>
      <c r="DN318" s="229"/>
      <c r="DO318" s="229"/>
      <c r="DP318" s="229"/>
      <c r="DQ318" s="229"/>
      <c r="DR318" s="229"/>
      <c r="DS318" s="229"/>
      <c r="DT318" s="229"/>
      <c r="DU318" s="229"/>
      <c r="DV318" s="229"/>
      <c r="DW318" s="229"/>
      <c r="DX318" s="229"/>
      <c r="DY318" s="229"/>
      <c r="DZ318" s="229"/>
      <c r="EA318" s="229"/>
      <c r="EB318" s="229"/>
      <c r="EC318" s="229"/>
      <c r="ED318" s="229"/>
      <c r="EE318" s="229"/>
      <c r="EF318" s="229"/>
      <c r="EG318" s="229"/>
      <c r="EH318" s="229"/>
      <c r="EI318" s="229"/>
      <c r="EJ318" s="229"/>
      <c r="EK318" s="229"/>
      <c r="EL318" s="229"/>
      <c r="EM318" s="229"/>
      <c r="EN318" s="229"/>
      <c r="EO318" s="229"/>
      <c r="EP318" s="229"/>
      <c r="EQ318" s="229"/>
      <c r="ER318" s="229"/>
      <c r="ES318" s="229"/>
      <c r="ET318" s="229"/>
      <c r="EU318" s="229"/>
      <c r="EV318" s="229"/>
      <c r="EW318" s="229"/>
      <c r="EX318" s="229"/>
      <c r="EY318" s="229"/>
      <c r="EZ318" s="229"/>
      <c r="FA318" s="229"/>
      <c r="FB318" s="229"/>
      <c r="FC318" s="229"/>
      <c r="FD318" s="229"/>
      <c r="FE318" s="229"/>
      <c r="FF318" s="229"/>
      <c r="FG318" s="229"/>
      <c r="FH318" s="229"/>
      <c r="FI318" s="229"/>
      <c r="FJ318" s="229"/>
      <c r="FK318" s="229"/>
      <c r="FL318" s="229"/>
      <c r="FM318" s="229"/>
      <c r="FN318" s="229"/>
      <c r="FO318" s="229"/>
      <c r="FP318" s="229"/>
      <c r="FQ318" s="229"/>
      <c r="FR318" s="229"/>
      <c r="FS318" s="229"/>
      <c r="FT318" s="229"/>
      <c r="FU318" s="229"/>
      <c r="FV318" s="229"/>
      <c r="FW318" s="229"/>
      <c r="FX318" s="229"/>
      <c r="FY318" s="229"/>
      <c r="FZ318" s="229"/>
      <c r="GA318" s="229"/>
      <c r="GB318" s="229"/>
      <c r="GC318" s="229"/>
      <c r="GD318" s="229"/>
      <c r="GE318" s="229"/>
      <c r="GF318" s="229"/>
      <c r="GG318" s="229"/>
      <c r="GH318" s="229"/>
      <c r="GI318" s="229"/>
      <c r="GJ318" s="229"/>
      <c r="GK318" s="229"/>
      <c r="GL318" s="229"/>
      <c r="GM318" s="229"/>
      <c r="GN318" s="229"/>
      <c r="GO318" s="229"/>
      <c r="GP318" s="229"/>
      <c r="GQ318" s="229"/>
      <c r="GR318" s="229"/>
      <c r="GS318" s="229"/>
      <c r="GT318" s="229"/>
      <c r="GU318" s="229"/>
      <c r="GV318" s="229"/>
      <c r="GW318" s="229"/>
      <c r="GX318" s="229"/>
      <c r="GY318" s="229"/>
      <c r="GZ318" s="229"/>
      <c r="HA318" s="229"/>
      <c r="HB318" s="229"/>
      <c r="HC318" s="229"/>
      <c r="HD318" s="229"/>
      <c r="HE318" s="229"/>
      <c r="HF318" s="229"/>
      <c r="HG318" s="229"/>
      <c r="HH318" s="229"/>
      <c r="HI318" s="229"/>
      <c r="HJ318" s="229"/>
      <c r="HK318" s="229"/>
      <c r="HL318" s="229"/>
      <c r="HM318" s="229"/>
      <c r="HN318" s="229"/>
      <c r="HO318" s="229"/>
      <c r="HP318" s="229"/>
      <c r="HQ318" s="48">
        <f t="shared" si="4722"/>
        <v>8852456</v>
      </c>
      <c r="HR318" s="230"/>
      <c r="HS318" s="231"/>
      <c r="HT318" s="51">
        <v>768702.03333333402</v>
      </c>
    </row>
    <row r="319" spans="1:228" s="52" customFormat="1" ht="12">
      <c r="A319" s="505"/>
      <c r="B319" s="507"/>
      <c r="C319" s="509"/>
      <c r="D319" s="511"/>
      <c r="E319" s="513"/>
      <c r="F319" s="501"/>
      <c r="G319" s="501"/>
      <c r="H319" s="503"/>
      <c r="I319" s="23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  <c r="DB319" s="42"/>
      <c r="DC319" s="42"/>
      <c r="DD319" s="42"/>
      <c r="DE319" s="42"/>
      <c r="DF319" s="45">
        <f t="shared" si="3929"/>
        <v>0</v>
      </c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47"/>
      <c r="DX319" s="47"/>
      <c r="DY319" s="47"/>
      <c r="DZ319" s="47"/>
      <c r="EA319" s="47"/>
      <c r="EB319" s="47"/>
      <c r="EC319" s="47"/>
      <c r="ED319" s="47"/>
      <c r="EE319" s="47"/>
      <c r="EF319" s="47"/>
      <c r="EG319" s="47"/>
      <c r="EH319" s="47"/>
      <c r="EI319" s="47"/>
      <c r="EJ319" s="47"/>
      <c r="EK319" s="47"/>
      <c r="EL319" s="47"/>
      <c r="EM319" s="47"/>
      <c r="EN319" s="47"/>
      <c r="EO319" s="47"/>
      <c r="EP319" s="47"/>
      <c r="EQ319" s="47"/>
      <c r="ER319" s="47"/>
      <c r="ES319" s="47"/>
      <c r="ET319" s="47"/>
      <c r="EU319" s="47"/>
      <c r="EV319" s="47"/>
      <c r="EW319" s="47"/>
      <c r="EX319" s="47"/>
      <c r="EY319" s="47"/>
      <c r="EZ319" s="47"/>
      <c r="FA319" s="47"/>
      <c r="FB319" s="47"/>
      <c r="FC319" s="47"/>
      <c r="FD319" s="47"/>
      <c r="FE319" s="47"/>
      <c r="FF319" s="47"/>
      <c r="FG319" s="47"/>
      <c r="FH319" s="47"/>
      <c r="FI319" s="47"/>
      <c r="FJ319" s="47"/>
      <c r="FK319" s="47"/>
      <c r="FL319" s="47"/>
      <c r="FM319" s="47"/>
      <c r="FN319" s="47"/>
      <c r="FO319" s="47"/>
      <c r="FP319" s="47"/>
      <c r="FQ319" s="47"/>
      <c r="FR319" s="47"/>
      <c r="FS319" s="47"/>
      <c r="FT319" s="47"/>
      <c r="FU319" s="47"/>
      <c r="FV319" s="47"/>
      <c r="FW319" s="47"/>
      <c r="FX319" s="47"/>
      <c r="FY319" s="47"/>
      <c r="FZ319" s="47"/>
      <c r="GA319" s="47"/>
      <c r="GB319" s="47"/>
      <c r="GC319" s="47"/>
      <c r="GD319" s="47"/>
      <c r="GE319" s="47"/>
      <c r="GF319" s="47"/>
      <c r="GG319" s="47"/>
      <c r="GH319" s="47"/>
      <c r="GI319" s="47"/>
      <c r="GJ319" s="47"/>
      <c r="GK319" s="47"/>
      <c r="GL319" s="47"/>
      <c r="GM319" s="47"/>
      <c r="GN319" s="47"/>
      <c r="GO319" s="47"/>
      <c r="GP319" s="47"/>
      <c r="GQ319" s="47"/>
      <c r="GR319" s="47"/>
      <c r="GS319" s="47"/>
      <c r="GT319" s="47"/>
      <c r="GU319" s="47"/>
      <c r="GV319" s="47"/>
      <c r="GW319" s="47"/>
      <c r="GX319" s="47"/>
      <c r="GY319" s="47"/>
      <c r="GZ319" s="47"/>
      <c r="HA319" s="47"/>
      <c r="HB319" s="47"/>
      <c r="HC319" s="47"/>
      <c r="HD319" s="47"/>
      <c r="HE319" s="47"/>
      <c r="HF319" s="47"/>
      <c r="HG319" s="47"/>
      <c r="HH319" s="47"/>
      <c r="HI319" s="47"/>
      <c r="HJ319" s="47"/>
      <c r="HK319" s="47"/>
      <c r="HL319" s="47"/>
      <c r="HM319" s="47"/>
      <c r="HN319" s="47"/>
      <c r="HO319" s="47"/>
      <c r="HP319" s="47"/>
      <c r="HQ319" s="53">
        <f t="shared" si="4722"/>
        <v>0</v>
      </c>
      <c r="HR319" s="49"/>
      <c r="HS319" s="50"/>
      <c r="HT319" s="51">
        <v>581956.01</v>
      </c>
    </row>
    <row r="320" spans="1:228" s="52" customFormat="1" ht="12">
      <c r="A320" s="504">
        <v>164</v>
      </c>
      <c r="B320" s="506" t="s">
        <v>572</v>
      </c>
      <c r="C320" s="508" t="s">
        <v>718</v>
      </c>
      <c r="D320" s="510" t="s">
        <v>649</v>
      </c>
      <c r="E320" s="512" t="s">
        <v>509</v>
      </c>
      <c r="F320" s="500">
        <v>44.17</v>
      </c>
      <c r="G320" s="500">
        <v>14.5</v>
      </c>
      <c r="H320" s="502">
        <f>F320*G320*365</f>
        <v>233769.72500000001</v>
      </c>
      <c r="I320" s="228">
        <v>58442.43</v>
      </c>
      <c r="J320" s="43">
        <f>ROUND(G320*F320*365/4,0)</f>
        <v>58442</v>
      </c>
      <c r="K320" s="42">
        <f>J320</f>
        <v>58442</v>
      </c>
      <c r="L320" s="42">
        <f>K320</f>
        <v>58442</v>
      </c>
      <c r="M320" s="42">
        <f>L320</f>
        <v>58442</v>
      </c>
      <c r="N320" s="44">
        <f>ROUND(M320*(1+取值表!$D$14)*取值表!$H$14,0)</f>
        <v>57745</v>
      </c>
      <c r="O320" s="42">
        <f>N320</f>
        <v>57745</v>
      </c>
      <c r="P320" s="42">
        <f>O320</f>
        <v>57745</v>
      </c>
      <c r="Q320" s="42">
        <f>P320</f>
        <v>57745</v>
      </c>
      <c r="R320" s="44">
        <f>ROUND(Q320*(1+取值表!$D$14)*取值表!$H$14,0)</f>
        <v>57056</v>
      </c>
      <c r="S320" s="42">
        <f t="shared" ref="S320:U320" si="4844">R320</f>
        <v>57056</v>
      </c>
      <c r="T320" s="42">
        <f t="shared" si="4844"/>
        <v>57056</v>
      </c>
      <c r="U320" s="42">
        <f t="shared" si="4844"/>
        <v>57056</v>
      </c>
      <c r="V320" s="44">
        <f>ROUND(U320*(1+取值表!$D$14)*取值表!$H$14,0)</f>
        <v>56375</v>
      </c>
      <c r="W320" s="42">
        <f t="shared" ref="W320:Y320" si="4845">V320</f>
        <v>56375</v>
      </c>
      <c r="X320" s="42">
        <f t="shared" si="4845"/>
        <v>56375</v>
      </c>
      <c r="Y320" s="42">
        <f t="shared" si="4845"/>
        <v>56375</v>
      </c>
      <c r="Z320" s="44">
        <f>ROUND(Y320*(1+取值表!$D$14)*取值表!$H$14,0)</f>
        <v>55702</v>
      </c>
      <c r="AA320" s="42">
        <f t="shared" ref="AA320:AC320" si="4846">Z320</f>
        <v>55702</v>
      </c>
      <c r="AB320" s="42">
        <f t="shared" si="4846"/>
        <v>55702</v>
      </c>
      <c r="AC320" s="42">
        <f t="shared" si="4846"/>
        <v>55702</v>
      </c>
      <c r="AD320" s="44">
        <f>ROUND(AC320*(1+取值表!$D$14)*取值表!$H$14,0)</f>
        <v>55037</v>
      </c>
      <c r="AE320" s="42">
        <f t="shared" ref="AE320:AG320" si="4847">AD320</f>
        <v>55037</v>
      </c>
      <c r="AF320" s="42">
        <f t="shared" si="4847"/>
        <v>55037</v>
      </c>
      <c r="AG320" s="42">
        <f t="shared" si="4847"/>
        <v>55037</v>
      </c>
      <c r="AH320" s="44">
        <f>ROUND(AG320*(1+取值表!$D$14)*取值表!$H$14,0)</f>
        <v>54380</v>
      </c>
      <c r="AI320" s="42">
        <f t="shared" ref="AI320:AK320" si="4848">AH320</f>
        <v>54380</v>
      </c>
      <c r="AJ320" s="42">
        <f t="shared" si="4848"/>
        <v>54380</v>
      </c>
      <c r="AK320" s="42">
        <f t="shared" si="4848"/>
        <v>54380</v>
      </c>
      <c r="AL320" s="44">
        <f>ROUND(AK320*(1+取值表!$D$14)*取值表!$H$14,0)</f>
        <v>53731</v>
      </c>
      <c r="AM320" s="42">
        <f t="shared" ref="AM320:AO320" si="4849">AL320</f>
        <v>53731</v>
      </c>
      <c r="AN320" s="42">
        <f t="shared" si="4849"/>
        <v>53731</v>
      </c>
      <c r="AO320" s="42">
        <f t="shared" si="4849"/>
        <v>53731</v>
      </c>
      <c r="AP320" s="44">
        <f>ROUND(AO320*(1+取值表!$D$14)*取值表!$H$14,0)</f>
        <v>53090</v>
      </c>
      <c r="AQ320" s="42">
        <f t="shared" ref="AQ320:AS320" si="4850">AP320</f>
        <v>53090</v>
      </c>
      <c r="AR320" s="42">
        <f t="shared" si="4850"/>
        <v>53090</v>
      </c>
      <c r="AS320" s="42">
        <f t="shared" si="4850"/>
        <v>53090</v>
      </c>
      <c r="AT320" s="44">
        <f>ROUND(AS320*(1+取值表!$D$14)*取值表!$H$14,0)</f>
        <v>52456</v>
      </c>
      <c r="AU320" s="42">
        <f t="shared" ref="AU320:AW320" si="4851">AT320</f>
        <v>52456</v>
      </c>
      <c r="AV320" s="42">
        <f t="shared" si="4851"/>
        <v>52456</v>
      </c>
      <c r="AW320" s="42">
        <f t="shared" si="4851"/>
        <v>52456</v>
      </c>
      <c r="AX320" s="44">
        <f>ROUND(AW320*(1+取值表!$D$14)*取值表!$H$14,0)</f>
        <v>51830</v>
      </c>
      <c r="AY320" s="42">
        <f t="shared" ref="AY320:BA320" si="4852">AX320</f>
        <v>51830</v>
      </c>
      <c r="AZ320" s="42">
        <f t="shared" si="4852"/>
        <v>51830</v>
      </c>
      <c r="BA320" s="42">
        <f t="shared" si="4852"/>
        <v>51830</v>
      </c>
      <c r="BB320" s="44">
        <f>ROUND(BA320*(1+取值表!$D$14)*取值表!$H$14,0)</f>
        <v>51211</v>
      </c>
      <c r="BC320" s="42">
        <f t="shared" ref="BC320:BE320" si="4853">BB320</f>
        <v>51211</v>
      </c>
      <c r="BD320" s="42">
        <f t="shared" si="4853"/>
        <v>51211</v>
      </c>
      <c r="BE320" s="42">
        <f t="shared" si="4853"/>
        <v>51211</v>
      </c>
      <c r="BF320" s="44">
        <f>ROUND(BE320*(1+取值表!$D$14)*取值表!$H$14,0)</f>
        <v>50600</v>
      </c>
      <c r="BG320" s="42">
        <f t="shared" ref="BG320:BI320" si="4854">BF320</f>
        <v>50600</v>
      </c>
      <c r="BH320" s="42">
        <f t="shared" si="4854"/>
        <v>50600</v>
      </c>
      <c r="BI320" s="42">
        <f t="shared" si="4854"/>
        <v>50600</v>
      </c>
      <c r="BJ320" s="44">
        <f>ROUND(BI320*(1+取值表!$D$14)*取值表!$H$14,0)</f>
        <v>49996</v>
      </c>
      <c r="BK320" s="42">
        <f t="shared" ref="BK320:BM320" si="4855">BJ320</f>
        <v>49996</v>
      </c>
      <c r="BL320" s="42">
        <f t="shared" si="4855"/>
        <v>49996</v>
      </c>
      <c r="BM320" s="42">
        <f t="shared" si="4855"/>
        <v>49996</v>
      </c>
      <c r="BN320" s="44">
        <f>ROUND(BM320*(1+取值表!$D$14)*取值表!$H$14,0)</f>
        <v>49399</v>
      </c>
      <c r="BO320" s="42">
        <f t="shared" ref="BO320:BQ320" si="4856">BN320</f>
        <v>49399</v>
      </c>
      <c r="BP320" s="42">
        <f t="shared" si="4856"/>
        <v>49399</v>
      </c>
      <c r="BQ320" s="42">
        <f t="shared" si="4856"/>
        <v>49399</v>
      </c>
      <c r="BR320" s="44">
        <f>ROUND(BQ320*(1+取值表!$D$14)*取值表!$H$14,0)</f>
        <v>48809</v>
      </c>
      <c r="BS320" s="42">
        <f t="shared" ref="BS320:BU320" si="4857">BR320</f>
        <v>48809</v>
      </c>
      <c r="BT320" s="42">
        <f t="shared" si="4857"/>
        <v>48809</v>
      </c>
      <c r="BU320" s="42">
        <f t="shared" si="4857"/>
        <v>48809</v>
      </c>
      <c r="BV320" s="44">
        <f>ROUND(BU320*(1+取值表!$D$14)*取值表!$H$14,0)</f>
        <v>48227</v>
      </c>
      <c r="BW320" s="42">
        <f t="shared" ref="BW320:BY320" si="4858">BV320</f>
        <v>48227</v>
      </c>
      <c r="BX320" s="42">
        <f t="shared" si="4858"/>
        <v>48227</v>
      </c>
      <c r="BY320" s="42">
        <f t="shared" si="4858"/>
        <v>48227</v>
      </c>
      <c r="BZ320" s="44">
        <f>ROUND(BY320*(1+取值表!$D$14)*取值表!$H$14,0)</f>
        <v>47651</v>
      </c>
      <c r="CA320" s="42">
        <f t="shared" ref="CA320:CC320" si="4859">BZ320</f>
        <v>47651</v>
      </c>
      <c r="CB320" s="42">
        <f t="shared" si="4859"/>
        <v>47651</v>
      </c>
      <c r="CC320" s="42">
        <f t="shared" si="4859"/>
        <v>47651</v>
      </c>
      <c r="CD320" s="44">
        <f>ROUND(CC320*(1+取值表!$D$14)*取值表!$H$14,0)</f>
        <v>47082</v>
      </c>
      <c r="CE320" s="42">
        <f t="shared" ref="CE320:CG320" si="4860">CD320</f>
        <v>47082</v>
      </c>
      <c r="CF320" s="42">
        <f t="shared" si="4860"/>
        <v>47082</v>
      </c>
      <c r="CG320" s="42">
        <f t="shared" si="4860"/>
        <v>47082</v>
      </c>
      <c r="CH320" s="44">
        <f>ROUND(CG320*(1+取值表!$D$14)*取值表!$H$14,0)</f>
        <v>46520</v>
      </c>
      <c r="CI320" s="42">
        <f t="shared" ref="CI320:CK320" si="4861">CH320</f>
        <v>46520</v>
      </c>
      <c r="CJ320" s="42">
        <f t="shared" si="4861"/>
        <v>46520</v>
      </c>
      <c r="CK320" s="42">
        <f t="shared" si="4861"/>
        <v>46520</v>
      </c>
      <c r="CL320" s="44">
        <f>ROUND(CK320*(1+取值表!$D$14)*取值表!$H$14,0)</f>
        <v>45965</v>
      </c>
      <c r="CM320" s="42">
        <f t="shared" ref="CM320:CO320" si="4862">CL320</f>
        <v>45965</v>
      </c>
      <c r="CN320" s="42">
        <f t="shared" si="4862"/>
        <v>45965</v>
      </c>
      <c r="CO320" s="42">
        <f t="shared" si="4862"/>
        <v>45965</v>
      </c>
      <c r="CP320" s="44">
        <f>ROUND(CO320*(1+取值表!$D$14)*取值表!$H$14,0)</f>
        <v>45416</v>
      </c>
      <c r="CQ320" s="42">
        <f t="shared" ref="CQ320" si="4863">CP320</f>
        <v>45416</v>
      </c>
      <c r="CR320" s="42">
        <f t="shared" ref="CR320" si="4864">CQ320</f>
        <v>45416</v>
      </c>
      <c r="CS320" s="42">
        <f t="shared" ref="CS320" si="4865">CR320</f>
        <v>45416</v>
      </c>
      <c r="CT320" s="44">
        <f>ROUND(CS320*(1+取值表!$D$14)*取值表!$H$14,0)</f>
        <v>44874</v>
      </c>
      <c r="CU320" s="42">
        <f t="shared" ref="CU320" si="4866">CT320</f>
        <v>44874</v>
      </c>
      <c r="CV320" s="42">
        <f t="shared" ref="CV320" si="4867">CU320</f>
        <v>44874</v>
      </c>
      <c r="CW320" s="42">
        <f t="shared" ref="CW320" si="4868">CV320</f>
        <v>44874</v>
      </c>
      <c r="CX320" s="44">
        <f>ROUND(CW320*(1+取值表!$D$14)*取值表!$H$14,0)</f>
        <v>44338</v>
      </c>
      <c r="CY320" s="42">
        <f t="shared" ref="CY320" si="4869">CX320</f>
        <v>44338</v>
      </c>
      <c r="CZ320" s="42">
        <f t="shared" ref="CZ320" si="4870">CY320</f>
        <v>44338</v>
      </c>
      <c r="DA320" s="42">
        <f t="shared" ref="DA320" si="4871">CZ320</f>
        <v>44338</v>
      </c>
      <c r="DB320" s="44">
        <f>ROUND(DA320*(1+取值表!$D$14)*取值表!$H$14,0)</f>
        <v>43809</v>
      </c>
      <c r="DC320" s="42">
        <f t="shared" ref="DC320" si="4872">DB320</f>
        <v>43809</v>
      </c>
      <c r="DD320" s="42">
        <f t="shared" ref="DD320" si="4873">DC320</f>
        <v>43809</v>
      </c>
      <c r="DE320" s="42">
        <f t="shared" ref="DE320" si="4874">DD320</f>
        <v>43809</v>
      </c>
      <c r="DF320" s="45">
        <f t="shared" si="3929"/>
        <v>5078964</v>
      </c>
      <c r="DG320" s="229"/>
      <c r="DH320" s="229"/>
      <c r="DI320" s="229"/>
      <c r="DJ320" s="229"/>
      <c r="DK320" s="229"/>
      <c r="DL320" s="229"/>
      <c r="DM320" s="229"/>
      <c r="DN320" s="229"/>
      <c r="DO320" s="229"/>
      <c r="DP320" s="229"/>
      <c r="DQ320" s="229"/>
      <c r="DR320" s="229"/>
      <c r="DS320" s="229"/>
      <c r="DT320" s="229"/>
      <c r="DU320" s="229"/>
      <c r="DV320" s="229"/>
      <c r="DW320" s="229"/>
      <c r="DX320" s="229"/>
      <c r="DY320" s="229"/>
      <c r="DZ320" s="229"/>
      <c r="EA320" s="229"/>
      <c r="EB320" s="229"/>
      <c r="EC320" s="229"/>
      <c r="ED320" s="229"/>
      <c r="EE320" s="229"/>
      <c r="EF320" s="229"/>
      <c r="EG320" s="229"/>
      <c r="EH320" s="229"/>
      <c r="EI320" s="229"/>
      <c r="EJ320" s="229"/>
      <c r="EK320" s="229"/>
      <c r="EL320" s="229"/>
      <c r="EM320" s="229"/>
      <c r="EN320" s="229"/>
      <c r="EO320" s="229"/>
      <c r="EP320" s="229"/>
      <c r="EQ320" s="229"/>
      <c r="ER320" s="229"/>
      <c r="ES320" s="229"/>
      <c r="ET320" s="229"/>
      <c r="EU320" s="229"/>
      <c r="EV320" s="229"/>
      <c r="EW320" s="229"/>
      <c r="EX320" s="229"/>
      <c r="EY320" s="229"/>
      <c r="EZ320" s="229"/>
      <c r="FA320" s="229"/>
      <c r="FB320" s="229"/>
      <c r="FC320" s="229"/>
      <c r="FD320" s="229"/>
      <c r="FE320" s="229"/>
      <c r="FF320" s="229"/>
      <c r="FG320" s="229"/>
      <c r="FH320" s="229"/>
      <c r="FI320" s="229"/>
      <c r="FJ320" s="229"/>
      <c r="FK320" s="229"/>
      <c r="FL320" s="229"/>
      <c r="FM320" s="229"/>
      <c r="FN320" s="229"/>
      <c r="FO320" s="229"/>
      <c r="FP320" s="229"/>
      <c r="FQ320" s="229"/>
      <c r="FR320" s="229"/>
      <c r="FS320" s="229"/>
      <c r="FT320" s="229"/>
      <c r="FU320" s="229"/>
      <c r="FV320" s="229"/>
      <c r="FW320" s="229"/>
      <c r="FX320" s="229"/>
      <c r="FY320" s="229"/>
      <c r="FZ320" s="229"/>
      <c r="GA320" s="229"/>
      <c r="GB320" s="229"/>
      <c r="GC320" s="229"/>
      <c r="GD320" s="229"/>
      <c r="GE320" s="229"/>
      <c r="GF320" s="229"/>
      <c r="GG320" s="229"/>
      <c r="GH320" s="229"/>
      <c r="GI320" s="229"/>
      <c r="GJ320" s="229"/>
      <c r="GK320" s="229"/>
      <c r="GL320" s="229"/>
      <c r="GM320" s="229"/>
      <c r="GN320" s="229"/>
      <c r="GO320" s="229"/>
      <c r="GP320" s="229"/>
      <c r="GQ320" s="229"/>
      <c r="GR320" s="229"/>
      <c r="GS320" s="229"/>
      <c r="GT320" s="229"/>
      <c r="GU320" s="229"/>
      <c r="GV320" s="229"/>
      <c r="GW320" s="229"/>
      <c r="GX320" s="229"/>
      <c r="GY320" s="229"/>
      <c r="GZ320" s="229"/>
      <c r="HA320" s="229"/>
      <c r="HB320" s="229"/>
      <c r="HC320" s="229"/>
      <c r="HD320" s="229"/>
      <c r="HE320" s="229"/>
      <c r="HF320" s="229"/>
      <c r="HG320" s="229"/>
      <c r="HH320" s="229"/>
      <c r="HI320" s="229"/>
      <c r="HJ320" s="229"/>
      <c r="HK320" s="229"/>
      <c r="HL320" s="229"/>
      <c r="HM320" s="229"/>
      <c r="HN320" s="229"/>
      <c r="HO320" s="229"/>
      <c r="HP320" s="229"/>
      <c r="HQ320" s="48">
        <f t="shared" si="4722"/>
        <v>10157928</v>
      </c>
      <c r="HR320" s="230"/>
      <c r="HS320" s="231"/>
      <c r="HT320" s="51">
        <v>386840.09</v>
      </c>
    </row>
    <row r="321" spans="1:228" s="52" customFormat="1" ht="12">
      <c r="A321" s="505"/>
      <c r="B321" s="507"/>
      <c r="C321" s="509"/>
      <c r="D321" s="511"/>
      <c r="E321" s="513"/>
      <c r="F321" s="501"/>
      <c r="G321" s="501"/>
      <c r="H321" s="503"/>
      <c r="I321" s="233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  <c r="DB321" s="42"/>
      <c r="DC321" s="42"/>
      <c r="DD321" s="42"/>
      <c r="DE321" s="42"/>
      <c r="DF321" s="45">
        <f t="shared" si="3929"/>
        <v>0</v>
      </c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47"/>
      <c r="DX321" s="47"/>
      <c r="DY321" s="47"/>
      <c r="DZ321" s="47"/>
      <c r="EA321" s="47"/>
      <c r="EB321" s="47"/>
      <c r="EC321" s="47"/>
      <c r="ED321" s="47"/>
      <c r="EE321" s="47"/>
      <c r="EF321" s="47"/>
      <c r="EG321" s="47"/>
      <c r="EH321" s="47"/>
      <c r="EI321" s="47"/>
      <c r="EJ321" s="47"/>
      <c r="EK321" s="47"/>
      <c r="EL321" s="47"/>
      <c r="EM321" s="47"/>
      <c r="EN321" s="47"/>
      <c r="EO321" s="47"/>
      <c r="EP321" s="47"/>
      <c r="EQ321" s="47"/>
      <c r="ER321" s="47"/>
      <c r="ES321" s="47"/>
      <c r="ET321" s="47"/>
      <c r="EU321" s="47"/>
      <c r="EV321" s="47"/>
      <c r="EW321" s="47"/>
      <c r="EX321" s="47"/>
      <c r="EY321" s="47"/>
      <c r="EZ321" s="47"/>
      <c r="FA321" s="47"/>
      <c r="FB321" s="47"/>
      <c r="FC321" s="47"/>
      <c r="FD321" s="47"/>
      <c r="FE321" s="47"/>
      <c r="FF321" s="47"/>
      <c r="FG321" s="47"/>
      <c r="FH321" s="47"/>
      <c r="FI321" s="47"/>
      <c r="FJ321" s="47"/>
      <c r="FK321" s="47"/>
      <c r="FL321" s="47"/>
      <c r="FM321" s="47"/>
      <c r="FN321" s="47"/>
      <c r="FO321" s="47"/>
      <c r="FP321" s="47"/>
      <c r="FQ321" s="47"/>
      <c r="FR321" s="47"/>
      <c r="FS321" s="47"/>
      <c r="FT321" s="47"/>
      <c r="FU321" s="47"/>
      <c r="FV321" s="47"/>
      <c r="FW321" s="47"/>
      <c r="FX321" s="47"/>
      <c r="FY321" s="47"/>
      <c r="FZ321" s="47"/>
      <c r="GA321" s="47"/>
      <c r="GB321" s="47"/>
      <c r="GC321" s="47"/>
      <c r="GD321" s="47"/>
      <c r="GE321" s="47"/>
      <c r="GF321" s="47"/>
      <c r="GG321" s="47"/>
      <c r="GH321" s="47"/>
      <c r="GI321" s="47"/>
      <c r="GJ321" s="47"/>
      <c r="GK321" s="47"/>
      <c r="GL321" s="47"/>
      <c r="GM321" s="47"/>
      <c r="GN321" s="47"/>
      <c r="GO321" s="47"/>
      <c r="GP321" s="47"/>
      <c r="GQ321" s="47"/>
      <c r="GR321" s="47"/>
      <c r="GS321" s="47"/>
      <c r="GT321" s="47"/>
      <c r="GU321" s="47"/>
      <c r="GV321" s="47"/>
      <c r="GW321" s="47"/>
      <c r="GX321" s="47"/>
      <c r="GY321" s="47"/>
      <c r="GZ321" s="47"/>
      <c r="HA321" s="47"/>
      <c r="HB321" s="47"/>
      <c r="HC321" s="47"/>
      <c r="HD321" s="47"/>
      <c r="HE321" s="47"/>
      <c r="HF321" s="47"/>
      <c r="HG321" s="47"/>
      <c r="HH321" s="47"/>
      <c r="HI321" s="47"/>
      <c r="HJ321" s="47"/>
      <c r="HK321" s="47"/>
      <c r="HL321" s="47"/>
      <c r="HM321" s="47"/>
      <c r="HN321" s="47"/>
      <c r="HO321" s="47"/>
      <c r="HP321" s="47"/>
      <c r="HQ321" s="53">
        <f t="shared" si="4722"/>
        <v>0</v>
      </c>
      <c r="HR321" s="49"/>
      <c r="HS321" s="50"/>
      <c r="HT321" s="51">
        <v>361223.95</v>
      </c>
    </row>
    <row r="322" spans="1:228" s="52" customFormat="1" ht="12" customHeight="1">
      <c r="A322" s="504">
        <v>165</v>
      </c>
      <c r="B322" s="506" t="s">
        <v>573</v>
      </c>
      <c r="C322" s="508" t="s">
        <v>720</v>
      </c>
      <c r="D322" s="510" t="s">
        <v>464</v>
      </c>
      <c r="E322" s="512" t="s">
        <v>509</v>
      </c>
      <c r="F322" s="500">
        <v>74.73</v>
      </c>
      <c r="G322" s="500">
        <v>11</v>
      </c>
      <c r="H322" s="502">
        <f>F322*G322*365</f>
        <v>300040.95</v>
      </c>
      <c r="I322" s="228">
        <v>68191.13</v>
      </c>
      <c r="J322" s="43">
        <f>ROUND(G322*F322*365/4,0)</f>
        <v>75010</v>
      </c>
      <c r="K322" s="42">
        <f>J322</f>
        <v>75010</v>
      </c>
      <c r="L322" s="42">
        <f>K322</f>
        <v>75010</v>
      </c>
      <c r="M322" s="42">
        <f>L322</f>
        <v>75010</v>
      </c>
      <c r="N322" s="44">
        <f>ROUND(M322*(1+取值表!$D$14)*取值表!$H$14,0)</f>
        <v>74115</v>
      </c>
      <c r="O322" s="42">
        <f>N322</f>
        <v>74115</v>
      </c>
      <c r="P322" s="42">
        <f>O322</f>
        <v>74115</v>
      </c>
      <c r="Q322" s="42">
        <f>P322</f>
        <v>74115</v>
      </c>
      <c r="R322" s="44">
        <f>ROUND(Q322*(1+取值表!$D$14)*取值表!$H$14,0)</f>
        <v>73230</v>
      </c>
      <c r="S322" s="42">
        <f t="shared" ref="S322:U322" si="4875">R322</f>
        <v>73230</v>
      </c>
      <c r="T322" s="42">
        <f t="shared" si="4875"/>
        <v>73230</v>
      </c>
      <c r="U322" s="42">
        <f t="shared" si="4875"/>
        <v>73230</v>
      </c>
      <c r="V322" s="44">
        <f>ROUND(U322*(1+取值表!$D$14)*取值表!$H$14,0)</f>
        <v>72356</v>
      </c>
      <c r="W322" s="42">
        <f t="shared" ref="W322:Y322" si="4876">V322</f>
        <v>72356</v>
      </c>
      <c r="X322" s="42">
        <f t="shared" si="4876"/>
        <v>72356</v>
      </c>
      <c r="Y322" s="42">
        <f t="shared" si="4876"/>
        <v>72356</v>
      </c>
      <c r="Z322" s="44">
        <f>ROUND(Y322*(1+取值表!$D$14)*取值表!$H$14,0)</f>
        <v>71492</v>
      </c>
      <c r="AA322" s="42">
        <f t="shared" ref="AA322:AC322" si="4877">Z322</f>
        <v>71492</v>
      </c>
      <c r="AB322" s="42">
        <f t="shared" si="4877"/>
        <v>71492</v>
      </c>
      <c r="AC322" s="42">
        <f t="shared" si="4877"/>
        <v>71492</v>
      </c>
      <c r="AD322" s="44">
        <f>ROUND(AC322*(1+取值表!$D$14)*取值表!$H$14,0)</f>
        <v>70639</v>
      </c>
      <c r="AE322" s="42">
        <f t="shared" ref="AE322:AG322" si="4878">AD322</f>
        <v>70639</v>
      </c>
      <c r="AF322" s="42">
        <f t="shared" si="4878"/>
        <v>70639</v>
      </c>
      <c r="AG322" s="42">
        <f t="shared" si="4878"/>
        <v>70639</v>
      </c>
      <c r="AH322" s="44">
        <f>ROUND(AG322*(1+取值表!$D$14)*取值表!$H$14,0)</f>
        <v>69796</v>
      </c>
      <c r="AI322" s="42">
        <f t="shared" ref="AI322:AK322" si="4879">AH322</f>
        <v>69796</v>
      </c>
      <c r="AJ322" s="42">
        <f t="shared" si="4879"/>
        <v>69796</v>
      </c>
      <c r="AK322" s="42">
        <f t="shared" si="4879"/>
        <v>69796</v>
      </c>
      <c r="AL322" s="44">
        <f>ROUND(AK322*(1+取值表!$D$14)*取值表!$H$14,0)</f>
        <v>68963</v>
      </c>
      <c r="AM322" s="42">
        <f t="shared" ref="AM322:AO322" si="4880">AL322</f>
        <v>68963</v>
      </c>
      <c r="AN322" s="42">
        <f t="shared" si="4880"/>
        <v>68963</v>
      </c>
      <c r="AO322" s="42">
        <f t="shared" si="4880"/>
        <v>68963</v>
      </c>
      <c r="AP322" s="44">
        <f>ROUND(AO322*(1+取值表!$D$14)*取值表!$H$14,0)</f>
        <v>68140</v>
      </c>
      <c r="AQ322" s="42">
        <f t="shared" ref="AQ322:AS322" si="4881">AP322</f>
        <v>68140</v>
      </c>
      <c r="AR322" s="42">
        <f t="shared" si="4881"/>
        <v>68140</v>
      </c>
      <c r="AS322" s="42">
        <f t="shared" si="4881"/>
        <v>68140</v>
      </c>
      <c r="AT322" s="44">
        <f>ROUND(AS322*(1+取值表!$D$14)*取值表!$H$14,0)</f>
        <v>67327</v>
      </c>
      <c r="AU322" s="42">
        <f t="shared" ref="AU322:AW322" si="4882">AT322</f>
        <v>67327</v>
      </c>
      <c r="AV322" s="42">
        <f t="shared" si="4882"/>
        <v>67327</v>
      </c>
      <c r="AW322" s="42">
        <f t="shared" si="4882"/>
        <v>67327</v>
      </c>
      <c r="AX322" s="44">
        <f>ROUND(AW322*(1+取值表!$D$14)*取值表!$H$14,0)</f>
        <v>66524</v>
      </c>
      <c r="AY322" s="42">
        <f t="shared" ref="AY322:BA322" si="4883">AX322</f>
        <v>66524</v>
      </c>
      <c r="AZ322" s="42">
        <f t="shared" si="4883"/>
        <v>66524</v>
      </c>
      <c r="BA322" s="42">
        <f t="shared" si="4883"/>
        <v>66524</v>
      </c>
      <c r="BB322" s="44">
        <f>ROUND(BA322*(1+取值表!$D$14)*取值表!$H$14,0)</f>
        <v>65730</v>
      </c>
      <c r="BC322" s="42">
        <f t="shared" ref="BC322:BE322" si="4884">BB322</f>
        <v>65730</v>
      </c>
      <c r="BD322" s="42">
        <f t="shared" si="4884"/>
        <v>65730</v>
      </c>
      <c r="BE322" s="42">
        <f t="shared" si="4884"/>
        <v>65730</v>
      </c>
      <c r="BF322" s="44">
        <f>ROUND(BE322*(1+取值表!$D$14)*取值表!$H$14,0)</f>
        <v>64946</v>
      </c>
      <c r="BG322" s="42">
        <f t="shared" ref="BG322:BI322" si="4885">BF322</f>
        <v>64946</v>
      </c>
      <c r="BH322" s="42">
        <f t="shared" si="4885"/>
        <v>64946</v>
      </c>
      <c r="BI322" s="42">
        <f t="shared" si="4885"/>
        <v>64946</v>
      </c>
      <c r="BJ322" s="44">
        <f>ROUND(BI322*(1+取值表!$D$14)*取值表!$H$14,0)</f>
        <v>64171</v>
      </c>
      <c r="BK322" s="42">
        <f t="shared" ref="BK322:BM322" si="4886">BJ322</f>
        <v>64171</v>
      </c>
      <c r="BL322" s="42">
        <f t="shared" si="4886"/>
        <v>64171</v>
      </c>
      <c r="BM322" s="42">
        <f t="shared" si="4886"/>
        <v>64171</v>
      </c>
      <c r="BN322" s="44">
        <f>ROUND(BM322*(1+取值表!$D$14)*取值表!$H$14,0)</f>
        <v>63405</v>
      </c>
      <c r="BO322" s="42">
        <f t="shared" ref="BO322:BQ322" si="4887">BN322</f>
        <v>63405</v>
      </c>
      <c r="BP322" s="42">
        <f t="shared" si="4887"/>
        <v>63405</v>
      </c>
      <c r="BQ322" s="42">
        <f t="shared" si="4887"/>
        <v>63405</v>
      </c>
      <c r="BR322" s="44">
        <f>ROUND(BQ322*(1+取值表!$D$14)*取值表!$H$14,0)</f>
        <v>62648</v>
      </c>
      <c r="BS322" s="42">
        <f t="shared" ref="BS322:BU322" si="4888">BR322</f>
        <v>62648</v>
      </c>
      <c r="BT322" s="42">
        <f t="shared" si="4888"/>
        <v>62648</v>
      </c>
      <c r="BU322" s="42">
        <f t="shared" si="4888"/>
        <v>62648</v>
      </c>
      <c r="BV322" s="44">
        <f>ROUND(BU322*(1+取值表!$D$14)*取值表!$H$14,0)</f>
        <v>61900</v>
      </c>
      <c r="BW322" s="42">
        <f t="shared" ref="BW322:BY322" si="4889">BV322</f>
        <v>61900</v>
      </c>
      <c r="BX322" s="42">
        <f t="shared" si="4889"/>
        <v>61900</v>
      </c>
      <c r="BY322" s="42">
        <f t="shared" si="4889"/>
        <v>61900</v>
      </c>
      <c r="BZ322" s="44">
        <f>ROUND(BY322*(1+取值表!$D$14)*取值表!$H$14,0)</f>
        <v>61161</v>
      </c>
      <c r="CA322" s="42">
        <f t="shared" ref="CA322:CC322" si="4890">BZ322</f>
        <v>61161</v>
      </c>
      <c r="CB322" s="42">
        <f t="shared" si="4890"/>
        <v>61161</v>
      </c>
      <c r="CC322" s="42">
        <f t="shared" si="4890"/>
        <v>61161</v>
      </c>
      <c r="CD322" s="44">
        <f>ROUND(CC322*(1+取值表!$D$14)*取值表!$H$14,0)</f>
        <v>60431</v>
      </c>
      <c r="CE322" s="42">
        <f t="shared" ref="CE322:CG322" si="4891">CD322</f>
        <v>60431</v>
      </c>
      <c r="CF322" s="42">
        <f t="shared" si="4891"/>
        <v>60431</v>
      </c>
      <c r="CG322" s="42">
        <f t="shared" si="4891"/>
        <v>60431</v>
      </c>
      <c r="CH322" s="44">
        <f>ROUND(CG322*(1+取值表!$D$14)*取值表!$H$14,0)</f>
        <v>59710</v>
      </c>
      <c r="CI322" s="42">
        <f t="shared" ref="CI322:CK322" si="4892">CH322</f>
        <v>59710</v>
      </c>
      <c r="CJ322" s="42">
        <f t="shared" si="4892"/>
        <v>59710</v>
      </c>
      <c r="CK322" s="42">
        <f t="shared" si="4892"/>
        <v>59710</v>
      </c>
      <c r="CL322" s="44">
        <f>ROUND(CK322*(1+取值表!$D$14)*取值表!$H$14,0)</f>
        <v>58997</v>
      </c>
      <c r="CM322" s="42">
        <f t="shared" ref="CM322:CO322" si="4893">CL322</f>
        <v>58997</v>
      </c>
      <c r="CN322" s="42">
        <f t="shared" si="4893"/>
        <v>58997</v>
      </c>
      <c r="CO322" s="42">
        <f t="shared" si="4893"/>
        <v>58997</v>
      </c>
      <c r="CP322" s="44">
        <f>ROUND(CO322*(1+取值表!$D$14)*取值表!$H$14,0)</f>
        <v>58293</v>
      </c>
      <c r="CQ322" s="42">
        <f t="shared" ref="CQ322" si="4894">CP322</f>
        <v>58293</v>
      </c>
      <c r="CR322" s="42">
        <f t="shared" ref="CR322" si="4895">CQ322</f>
        <v>58293</v>
      </c>
      <c r="CS322" s="42">
        <f t="shared" ref="CS322" si="4896">CR322</f>
        <v>58293</v>
      </c>
      <c r="CT322" s="44">
        <f>ROUND(CS322*(1+取值表!$D$14)*取值表!$H$14,0)</f>
        <v>57597</v>
      </c>
      <c r="CU322" s="42">
        <f t="shared" ref="CU322" si="4897">CT322</f>
        <v>57597</v>
      </c>
      <c r="CV322" s="42">
        <f t="shared" ref="CV322" si="4898">CU322</f>
        <v>57597</v>
      </c>
      <c r="CW322" s="42">
        <f t="shared" ref="CW322" si="4899">CV322</f>
        <v>57597</v>
      </c>
      <c r="CX322" s="44">
        <f>ROUND(CW322*(1+取值表!$D$14)*取值表!$H$14,0)</f>
        <v>56910</v>
      </c>
      <c r="CY322" s="42">
        <f t="shared" ref="CY322" si="4900">CX322</f>
        <v>56910</v>
      </c>
      <c r="CZ322" s="42">
        <f t="shared" ref="CZ322" si="4901">CY322</f>
        <v>56910</v>
      </c>
      <c r="DA322" s="42">
        <f t="shared" ref="DA322" si="4902">CZ322</f>
        <v>56910</v>
      </c>
      <c r="DB322" s="44">
        <f>ROUND(DA322*(1+取值表!$D$14)*取值表!$H$14,0)</f>
        <v>56231</v>
      </c>
      <c r="DC322" s="42">
        <f t="shared" ref="DC322" si="4903">DB322</f>
        <v>56231</v>
      </c>
      <c r="DD322" s="42">
        <f t="shared" ref="DD322" si="4904">DC322</f>
        <v>56231</v>
      </c>
      <c r="DE322" s="42">
        <f t="shared" ref="DE322" si="4905">DD322</f>
        <v>56231</v>
      </c>
      <c r="DF322" s="45">
        <f t="shared" si="3929"/>
        <v>6518888</v>
      </c>
      <c r="DG322" s="229"/>
      <c r="DH322" s="229"/>
      <c r="DI322" s="229"/>
      <c r="DJ322" s="229"/>
      <c r="DK322" s="229"/>
      <c r="DL322" s="229"/>
      <c r="DM322" s="229"/>
      <c r="DN322" s="229"/>
      <c r="DO322" s="229"/>
      <c r="DP322" s="229"/>
      <c r="DQ322" s="229"/>
      <c r="DR322" s="229"/>
      <c r="DS322" s="229"/>
      <c r="DT322" s="229"/>
      <c r="DU322" s="229"/>
      <c r="DV322" s="229"/>
      <c r="DW322" s="229"/>
      <c r="DX322" s="229"/>
      <c r="DY322" s="229"/>
      <c r="DZ322" s="229"/>
      <c r="EA322" s="229"/>
      <c r="EB322" s="229"/>
      <c r="EC322" s="229"/>
      <c r="ED322" s="229"/>
      <c r="EE322" s="229"/>
      <c r="EF322" s="229"/>
      <c r="EG322" s="229"/>
      <c r="EH322" s="229"/>
      <c r="EI322" s="229"/>
      <c r="EJ322" s="229"/>
      <c r="EK322" s="229"/>
      <c r="EL322" s="229"/>
      <c r="EM322" s="229"/>
      <c r="EN322" s="229"/>
      <c r="EO322" s="229"/>
      <c r="EP322" s="229"/>
      <c r="EQ322" s="229"/>
      <c r="ER322" s="229"/>
      <c r="ES322" s="229"/>
      <c r="ET322" s="229"/>
      <c r="EU322" s="229"/>
      <c r="EV322" s="229"/>
      <c r="EW322" s="229"/>
      <c r="EX322" s="229"/>
      <c r="EY322" s="229"/>
      <c r="EZ322" s="229"/>
      <c r="FA322" s="229"/>
      <c r="FB322" s="229"/>
      <c r="FC322" s="229"/>
      <c r="FD322" s="229"/>
      <c r="FE322" s="229"/>
      <c r="FF322" s="229"/>
      <c r="FG322" s="229"/>
      <c r="FH322" s="229"/>
      <c r="FI322" s="229"/>
      <c r="FJ322" s="229"/>
      <c r="FK322" s="229"/>
      <c r="FL322" s="229"/>
      <c r="FM322" s="229"/>
      <c r="FN322" s="229"/>
      <c r="FO322" s="229"/>
      <c r="FP322" s="229"/>
      <c r="FQ322" s="229"/>
      <c r="FR322" s="229"/>
      <c r="FS322" s="229"/>
      <c r="FT322" s="229"/>
      <c r="FU322" s="229"/>
      <c r="FV322" s="229"/>
      <c r="FW322" s="229"/>
      <c r="FX322" s="229"/>
      <c r="FY322" s="229"/>
      <c r="FZ322" s="229"/>
      <c r="GA322" s="229"/>
      <c r="GB322" s="229"/>
      <c r="GC322" s="229"/>
      <c r="GD322" s="229"/>
      <c r="GE322" s="229"/>
      <c r="GF322" s="229"/>
      <c r="GG322" s="229"/>
      <c r="GH322" s="229"/>
      <c r="GI322" s="229"/>
      <c r="GJ322" s="229"/>
      <c r="GK322" s="229"/>
      <c r="GL322" s="229"/>
      <c r="GM322" s="229"/>
      <c r="GN322" s="229"/>
      <c r="GO322" s="229"/>
      <c r="GP322" s="229"/>
      <c r="GQ322" s="229"/>
      <c r="GR322" s="229"/>
      <c r="GS322" s="229"/>
      <c r="GT322" s="229"/>
      <c r="GU322" s="229"/>
      <c r="GV322" s="229"/>
      <c r="GW322" s="229"/>
      <c r="GX322" s="229"/>
      <c r="GY322" s="229"/>
      <c r="GZ322" s="229"/>
      <c r="HA322" s="229"/>
      <c r="HB322" s="229"/>
      <c r="HC322" s="229"/>
      <c r="HD322" s="229"/>
      <c r="HE322" s="229"/>
      <c r="HF322" s="229"/>
      <c r="HG322" s="229"/>
      <c r="HH322" s="229"/>
      <c r="HI322" s="229"/>
      <c r="HJ322" s="229"/>
      <c r="HK322" s="229"/>
      <c r="HL322" s="229"/>
      <c r="HM322" s="229"/>
      <c r="HN322" s="229"/>
      <c r="HO322" s="229"/>
      <c r="HP322" s="229"/>
      <c r="HQ322" s="48">
        <f t="shared" si="4722"/>
        <v>13037776</v>
      </c>
      <c r="HR322" s="230"/>
      <c r="HS322" s="231"/>
      <c r="HT322" s="51">
        <v>427597.5</v>
      </c>
    </row>
    <row r="323" spans="1:228" s="52" customFormat="1" ht="12">
      <c r="A323" s="505"/>
      <c r="B323" s="507"/>
      <c r="C323" s="509"/>
      <c r="D323" s="511"/>
      <c r="E323" s="513"/>
      <c r="F323" s="501"/>
      <c r="G323" s="501"/>
      <c r="H323" s="503"/>
      <c r="I323" s="233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  <c r="DB323" s="42"/>
      <c r="DC323" s="42"/>
      <c r="DD323" s="42"/>
      <c r="DE323" s="42"/>
      <c r="DF323" s="45">
        <f t="shared" si="3929"/>
        <v>0</v>
      </c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47"/>
      <c r="DX323" s="47"/>
      <c r="DY323" s="47"/>
      <c r="DZ323" s="47"/>
      <c r="EA323" s="47"/>
      <c r="EB323" s="47"/>
      <c r="EC323" s="47"/>
      <c r="ED323" s="47"/>
      <c r="EE323" s="47"/>
      <c r="EF323" s="47"/>
      <c r="EG323" s="47"/>
      <c r="EH323" s="47"/>
      <c r="EI323" s="47"/>
      <c r="EJ323" s="47"/>
      <c r="EK323" s="47"/>
      <c r="EL323" s="47"/>
      <c r="EM323" s="47"/>
      <c r="EN323" s="47"/>
      <c r="EO323" s="47"/>
      <c r="EP323" s="47"/>
      <c r="EQ323" s="47"/>
      <c r="ER323" s="47"/>
      <c r="ES323" s="47"/>
      <c r="ET323" s="47"/>
      <c r="EU323" s="47"/>
      <c r="EV323" s="47"/>
      <c r="EW323" s="47"/>
      <c r="EX323" s="47"/>
      <c r="EY323" s="47"/>
      <c r="EZ323" s="47"/>
      <c r="FA323" s="47"/>
      <c r="FB323" s="47"/>
      <c r="FC323" s="47"/>
      <c r="FD323" s="47"/>
      <c r="FE323" s="47"/>
      <c r="FF323" s="47"/>
      <c r="FG323" s="47"/>
      <c r="FH323" s="47"/>
      <c r="FI323" s="47"/>
      <c r="FJ323" s="47"/>
      <c r="FK323" s="47"/>
      <c r="FL323" s="47"/>
      <c r="FM323" s="47"/>
      <c r="FN323" s="47"/>
      <c r="FO323" s="47"/>
      <c r="FP323" s="47"/>
      <c r="FQ323" s="47"/>
      <c r="FR323" s="47"/>
      <c r="FS323" s="47"/>
      <c r="FT323" s="47"/>
      <c r="FU323" s="47"/>
      <c r="FV323" s="47"/>
      <c r="FW323" s="47"/>
      <c r="FX323" s="47"/>
      <c r="FY323" s="47"/>
      <c r="FZ323" s="47"/>
      <c r="GA323" s="47"/>
      <c r="GB323" s="47"/>
      <c r="GC323" s="47"/>
      <c r="GD323" s="47"/>
      <c r="GE323" s="47"/>
      <c r="GF323" s="47"/>
      <c r="GG323" s="47"/>
      <c r="GH323" s="47"/>
      <c r="GI323" s="47"/>
      <c r="GJ323" s="47"/>
      <c r="GK323" s="47"/>
      <c r="GL323" s="47"/>
      <c r="GM323" s="47"/>
      <c r="GN323" s="47"/>
      <c r="GO323" s="47"/>
      <c r="GP323" s="47"/>
      <c r="GQ323" s="47"/>
      <c r="GR323" s="47"/>
      <c r="GS323" s="47"/>
      <c r="GT323" s="47"/>
      <c r="GU323" s="47"/>
      <c r="GV323" s="47"/>
      <c r="GW323" s="47"/>
      <c r="GX323" s="47"/>
      <c r="GY323" s="47"/>
      <c r="GZ323" s="47"/>
      <c r="HA323" s="47"/>
      <c r="HB323" s="47"/>
      <c r="HC323" s="47"/>
      <c r="HD323" s="47"/>
      <c r="HE323" s="47"/>
      <c r="HF323" s="47"/>
      <c r="HG323" s="47"/>
      <c r="HH323" s="47"/>
      <c r="HI323" s="47"/>
      <c r="HJ323" s="47"/>
      <c r="HK323" s="47"/>
      <c r="HL323" s="47"/>
      <c r="HM323" s="47"/>
      <c r="HN323" s="47"/>
      <c r="HO323" s="47"/>
      <c r="HP323" s="47"/>
      <c r="HQ323" s="53">
        <f t="shared" si="4722"/>
        <v>0</v>
      </c>
      <c r="HR323" s="49"/>
      <c r="HS323" s="50"/>
      <c r="HT323" s="51">
        <v>132183.21</v>
      </c>
    </row>
    <row r="324" spans="1:228" s="40" customFormat="1" ht="12" customHeight="1">
      <c r="A324" s="504">
        <v>166</v>
      </c>
      <c r="B324" s="534" t="s">
        <v>290</v>
      </c>
      <c r="C324" s="530" t="s">
        <v>756</v>
      </c>
      <c r="D324" s="532" t="s">
        <v>291</v>
      </c>
      <c r="E324" s="514" t="s">
        <v>526</v>
      </c>
      <c r="F324" s="524">
        <v>185.21</v>
      </c>
      <c r="G324" s="524">
        <v>7</v>
      </c>
      <c r="H324" s="526">
        <f>F324*G324*365</f>
        <v>473211.55</v>
      </c>
      <c r="I324" s="41">
        <v>123880.02</v>
      </c>
      <c r="J324" s="43">
        <f>ROUND(G324*F324*365/4,0)</f>
        <v>118303</v>
      </c>
      <c r="K324" s="44">
        <f>J324</f>
        <v>118303</v>
      </c>
      <c r="L324" s="44">
        <f>K324</f>
        <v>118303</v>
      </c>
      <c r="M324" s="44">
        <f>L324</f>
        <v>118303</v>
      </c>
      <c r="N324" s="44">
        <f>ROUND(M324*(1+取值表!$D$16)*取值表!$H$16,0)</f>
        <v>118049</v>
      </c>
      <c r="O324" s="44">
        <f>N324</f>
        <v>118049</v>
      </c>
      <c r="P324" s="44">
        <f>O324</f>
        <v>118049</v>
      </c>
      <c r="Q324" s="44">
        <f>P324</f>
        <v>118049</v>
      </c>
      <c r="R324" s="44">
        <f>ROUND(Q324*(1+取值表!$D$16)*取值表!$H$16,0)</f>
        <v>117795</v>
      </c>
      <c r="S324" s="44">
        <f>R324</f>
        <v>117795</v>
      </c>
      <c r="T324" s="44">
        <f>S324</f>
        <v>117795</v>
      </c>
      <c r="U324" s="44">
        <f>T324</f>
        <v>117795</v>
      </c>
      <c r="V324" s="44">
        <f>ROUND(U324*(1+取值表!$D$16)*取值表!$H$16,0)</f>
        <v>117542</v>
      </c>
      <c r="W324" s="44">
        <f>V324</f>
        <v>117542</v>
      </c>
      <c r="X324" s="44">
        <f>W324</f>
        <v>117542</v>
      </c>
      <c r="Y324" s="44">
        <f>X324</f>
        <v>117542</v>
      </c>
      <c r="Z324" s="44">
        <f>ROUND(Y324*(1+取值表!$D$16)*取值表!$H$16,0)</f>
        <v>117289</v>
      </c>
      <c r="AA324" s="44">
        <f t="shared" ref="AA324:AC324" si="4906">Z324</f>
        <v>117289</v>
      </c>
      <c r="AB324" s="44">
        <f t="shared" si="4906"/>
        <v>117289</v>
      </c>
      <c r="AC324" s="44">
        <f t="shared" si="4906"/>
        <v>117289</v>
      </c>
      <c r="AD324" s="44">
        <f>ROUND(AC324*(1+取值表!$D$16)*取值表!$H$16,0)</f>
        <v>117037</v>
      </c>
      <c r="AE324" s="44">
        <f t="shared" ref="AE324:AG324" si="4907">AD324</f>
        <v>117037</v>
      </c>
      <c r="AF324" s="44">
        <f t="shared" si="4907"/>
        <v>117037</v>
      </c>
      <c r="AG324" s="44">
        <f t="shared" si="4907"/>
        <v>117037</v>
      </c>
      <c r="AH324" s="44">
        <f>ROUND(AG324*(1+取值表!$D$16)*取值表!$H$16,0)</f>
        <v>116785</v>
      </c>
      <c r="AI324" s="44">
        <f t="shared" ref="AI324:AK324" si="4908">AH324</f>
        <v>116785</v>
      </c>
      <c r="AJ324" s="44">
        <f t="shared" si="4908"/>
        <v>116785</v>
      </c>
      <c r="AK324" s="44">
        <f t="shared" si="4908"/>
        <v>116785</v>
      </c>
      <c r="AL324" s="44">
        <f>ROUND(AK324*(1+取值表!$D$16)*取值表!$H$16,0)</f>
        <v>116534</v>
      </c>
      <c r="AM324" s="44">
        <f t="shared" ref="AM324:AO324" si="4909">AL324</f>
        <v>116534</v>
      </c>
      <c r="AN324" s="44">
        <f t="shared" si="4909"/>
        <v>116534</v>
      </c>
      <c r="AO324" s="44">
        <f t="shared" si="4909"/>
        <v>116534</v>
      </c>
      <c r="AP324" s="44">
        <f>ROUND(AO324*(1+取值表!$D$16)*取值表!$H$16,0)</f>
        <v>116283</v>
      </c>
      <c r="AQ324" s="44">
        <f t="shared" ref="AQ324:AS324" si="4910">AP324</f>
        <v>116283</v>
      </c>
      <c r="AR324" s="44">
        <f t="shared" si="4910"/>
        <v>116283</v>
      </c>
      <c r="AS324" s="44">
        <f t="shared" si="4910"/>
        <v>116283</v>
      </c>
      <c r="AT324" s="44">
        <f>ROUND(AS324*(1+取值表!$D$16)*取值表!$H$16,0)</f>
        <v>116033</v>
      </c>
      <c r="AU324" s="44">
        <f t="shared" ref="AU324:AW324" si="4911">AT324</f>
        <v>116033</v>
      </c>
      <c r="AV324" s="44">
        <f t="shared" si="4911"/>
        <v>116033</v>
      </c>
      <c r="AW324" s="44">
        <f t="shared" si="4911"/>
        <v>116033</v>
      </c>
      <c r="AX324" s="44">
        <f>ROUND(AW324*(1+取值表!$D$16)*取值表!$H$16,0)</f>
        <v>115784</v>
      </c>
      <c r="AY324" s="44">
        <f t="shared" ref="AY324:BA324" si="4912">AX324</f>
        <v>115784</v>
      </c>
      <c r="AZ324" s="44">
        <f t="shared" si="4912"/>
        <v>115784</v>
      </c>
      <c r="BA324" s="44">
        <f t="shared" si="4912"/>
        <v>115784</v>
      </c>
      <c r="BB324" s="44">
        <f>ROUND(BA324*(1+取值表!$D$16)*取值表!$H$16,0)</f>
        <v>115535</v>
      </c>
      <c r="BC324" s="44">
        <f t="shared" ref="BC324:BE324" si="4913">BB324</f>
        <v>115535</v>
      </c>
      <c r="BD324" s="44">
        <f t="shared" si="4913"/>
        <v>115535</v>
      </c>
      <c r="BE324" s="44">
        <f t="shared" si="4913"/>
        <v>115535</v>
      </c>
      <c r="BF324" s="44">
        <f>ROUND(BE324*(1+取值表!$D$16)*取值表!$H$16,0)</f>
        <v>115287</v>
      </c>
      <c r="BG324" s="44">
        <f t="shared" ref="BG324:BI324" si="4914">BF324</f>
        <v>115287</v>
      </c>
      <c r="BH324" s="44">
        <f t="shared" si="4914"/>
        <v>115287</v>
      </c>
      <c r="BI324" s="44">
        <f t="shared" si="4914"/>
        <v>115287</v>
      </c>
      <c r="BJ324" s="44">
        <f>ROUND(BI324*(1+取值表!$D$16)*取值表!$H$16,0)</f>
        <v>115039</v>
      </c>
      <c r="BK324" s="44">
        <f t="shared" ref="BK324:BM324" si="4915">BJ324</f>
        <v>115039</v>
      </c>
      <c r="BL324" s="44">
        <f t="shared" si="4915"/>
        <v>115039</v>
      </c>
      <c r="BM324" s="44">
        <f t="shared" si="4915"/>
        <v>115039</v>
      </c>
      <c r="BN324" s="44">
        <f>ROUND(BM324*(1+取值表!$D$16)*取值表!$H$16,0)</f>
        <v>114792</v>
      </c>
      <c r="BO324" s="44">
        <f t="shared" ref="BO324:BQ324" si="4916">BN324</f>
        <v>114792</v>
      </c>
      <c r="BP324" s="44">
        <f t="shared" si="4916"/>
        <v>114792</v>
      </c>
      <c r="BQ324" s="44">
        <f t="shared" si="4916"/>
        <v>114792</v>
      </c>
      <c r="BR324" s="44">
        <f>ROUND(BQ324*(1+取值表!$D$16)*取值表!$H$16,0)</f>
        <v>114545</v>
      </c>
      <c r="BS324" s="44">
        <f t="shared" ref="BS324:BU324" si="4917">BR324</f>
        <v>114545</v>
      </c>
      <c r="BT324" s="44">
        <f t="shared" si="4917"/>
        <v>114545</v>
      </c>
      <c r="BU324" s="44">
        <f t="shared" si="4917"/>
        <v>114545</v>
      </c>
      <c r="BV324" s="44">
        <f>ROUND(BU324*(1+取值表!$D$16)*取值表!$H$16,0)</f>
        <v>114299</v>
      </c>
      <c r="BW324" s="44">
        <f t="shared" ref="BW324:BY324" si="4918">BV324</f>
        <v>114299</v>
      </c>
      <c r="BX324" s="44">
        <f t="shared" si="4918"/>
        <v>114299</v>
      </c>
      <c r="BY324" s="44">
        <f t="shared" si="4918"/>
        <v>114299</v>
      </c>
      <c r="BZ324" s="44">
        <f>ROUND(BY324*(1+取值表!$D$16)*取值表!$H$16,0)</f>
        <v>114053</v>
      </c>
      <c r="CA324" s="44">
        <f t="shared" ref="CA324:CC324" si="4919">BZ324</f>
        <v>114053</v>
      </c>
      <c r="CB324" s="44">
        <f t="shared" si="4919"/>
        <v>114053</v>
      </c>
      <c r="CC324" s="44">
        <f t="shared" si="4919"/>
        <v>114053</v>
      </c>
      <c r="CD324" s="44">
        <f>ROUND(CC324*(1+取值表!$D$16)*取值表!$H$16,0)</f>
        <v>113808</v>
      </c>
      <c r="CE324" s="44">
        <f t="shared" ref="CE324:CG324" si="4920">CD324</f>
        <v>113808</v>
      </c>
      <c r="CF324" s="44">
        <f t="shared" si="4920"/>
        <v>113808</v>
      </c>
      <c r="CG324" s="44">
        <f t="shared" si="4920"/>
        <v>113808</v>
      </c>
      <c r="CH324" s="44">
        <f>ROUND(CG324*(1+取值表!$D$16)*取值表!$H$16,0)</f>
        <v>113563</v>
      </c>
      <c r="CI324" s="44">
        <f t="shared" ref="CI324:CK324" si="4921">CH324</f>
        <v>113563</v>
      </c>
      <c r="CJ324" s="44">
        <f t="shared" si="4921"/>
        <v>113563</v>
      </c>
      <c r="CK324" s="44">
        <f t="shared" si="4921"/>
        <v>113563</v>
      </c>
      <c r="CL324" s="44">
        <f>ROUND(CK324*(1+取值表!$D$16)*取值表!$H$16,0)</f>
        <v>113319</v>
      </c>
      <c r="CM324" s="44">
        <f t="shared" ref="CM324:CO324" si="4922">CL324</f>
        <v>113319</v>
      </c>
      <c r="CN324" s="44">
        <f t="shared" si="4922"/>
        <v>113319</v>
      </c>
      <c r="CO324" s="44">
        <f t="shared" si="4922"/>
        <v>113319</v>
      </c>
      <c r="CP324" s="44">
        <f>ROUND(CO324*(1+取值表!$D$16)*取值表!$H$16,0)</f>
        <v>113075</v>
      </c>
      <c r="CQ324" s="44">
        <f t="shared" ref="CQ324" si="4923">CP324</f>
        <v>113075</v>
      </c>
      <c r="CR324" s="44">
        <f t="shared" ref="CR324" si="4924">CQ324</f>
        <v>113075</v>
      </c>
      <c r="CS324" s="44">
        <f t="shared" ref="CS324" si="4925">CR324</f>
        <v>113075</v>
      </c>
      <c r="CT324" s="44">
        <f>ROUND(CS324*(1+取值表!$D$16)*取值表!$H$16,0)</f>
        <v>112832</v>
      </c>
      <c r="CU324" s="44">
        <f t="shared" ref="CU324" si="4926">CT324</f>
        <v>112832</v>
      </c>
      <c r="CV324" s="44">
        <f t="shared" ref="CV324" si="4927">CU324</f>
        <v>112832</v>
      </c>
      <c r="CW324" s="44">
        <f t="shared" ref="CW324" si="4928">CV324</f>
        <v>112832</v>
      </c>
      <c r="CX324" s="44">
        <f>ROUND(CW324*(1+取值表!$D$16)*取值表!$H$16,0)</f>
        <v>112589</v>
      </c>
      <c r="CY324" s="44">
        <f t="shared" ref="CY324" si="4929">CX324</f>
        <v>112589</v>
      </c>
      <c r="CZ324" s="44">
        <f t="shared" ref="CZ324" si="4930">CY324</f>
        <v>112589</v>
      </c>
      <c r="DA324" s="44">
        <f t="shared" ref="DA324" si="4931">CZ324</f>
        <v>112589</v>
      </c>
      <c r="DB324" s="44">
        <f>ROUND(DA324*(1+取值表!$D$16)*取值表!$H$16,0)</f>
        <v>112347</v>
      </c>
      <c r="DC324" s="44">
        <f t="shared" ref="DC324" si="4932">DB324</f>
        <v>112347</v>
      </c>
      <c r="DD324" s="44">
        <f t="shared" ref="DD324" si="4933">DC324</f>
        <v>112347</v>
      </c>
      <c r="DE324" s="44">
        <f t="shared" ref="DE324" si="4934">DD324</f>
        <v>112347</v>
      </c>
      <c r="DF324" s="45">
        <f t="shared" ref="DF324:DF387" si="4935">SUM(J324:DE324)</f>
        <v>11530068</v>
      </c>
    </row>
    <row r="325" spans="1:228" s="40" customFormat="1" ht="12">
      <c r="A325" s="505"/>
      <c r="B325" s="535"/>
      <c r="C325" s="531"/>
      <c r="D325" s="533"/>
      <c r="E325" s="515"/>
      <c r="F325" s="525"/>
      <c r="G325" s="525"/>
      <c r="H325" s="527"/>
      <c r="I325" s="41"/>
      <c r="J325" s="42"/>
      <c r="K325" s="44"/>
      <c r="L325" s="44"/>
      <c r="M325" s="44"/>
      <c r="N325" s="44"/>
      <c r="O325" s="44"/>
      <c r="P325" s="44"/>
      <c r="Q325" s="44"/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  <c r="AH325" s="44"/>
      <c r="AI325" s="44"/>
      <c r="AJ325" s="44"/>
      <c r="AK325" s="44"/>
      <c r="AL325" s="44"/>
      <c r="AM325" s="44"/>
      <c r="AN325" s="44"/>
      <c r="AO325" s="44"/>
      <c r="AP325" s="44"/>
      <c r="AQ325" s="44"/>
      <c r="AR325" s="44"/>
      <c r="AS325" s="44"/>
      <c r="AT325" s="44"/>
      <c r="AU325" s="44"/>
      <c r="AV325" s="44"/>
      <c r="AW325" s="44"/>
      <c r="AX325" s="44"/>
      <c r="AY325" s="44"/>
      <c r="AZ325" s="44"/>
      <c r="BA325" s="44"/>
      <c r="BB325" s="44"/>
      <c r="BC325" s="44"/>
      <c r="BD325" s="44"/>
      <c r="BE325" s="44"/>
      <c r="BF325" s="44"/>
      <c r="BG325" s="44"/>
      <c r="BH325" s="44"/>
      <c r="BI325" s="44"/>
      <c r="BJ325" s="44"/>
      <c r="BK325" s="44"/>
      <c r="BL325" s="44"/>
      <c r="BM325" s="44"/>
      <c r="BN325" s="44"/>
      <c r="BO325" s="44"/>
      <c r="BP325" s="44"/>
      <c r="BQ325" s="44"/>
      <c r="BR325" s="44"/>
      <c r="BS325" s="44"/>
      <c r="BT325" s="44"/>
      <c r="BU325" s="44"/>
      <c r="BV325" s="44"/>
      <c r="BW325" s="44"/>
      <c r="BX325" s="44"/>
      <c r="BY325" s="44"/>
      <c r="BZ325" s="44"/>
      <c r="CA325" s="44"/>
      <c r="CB325" s="44"/>
      <c r="CC325" s="44"/>
      <c r="CD325" s="44"/>
      <c r="CE325" s="44"/>
      <c r="CF325" s="44"/>
      <c r="CG325" s="44"/>
      <c r="CH325" s="44"/>
      <c r="CI325" s="44"/>
      <c r="CJ325" s="44"/>
      <c r="CK325" s="44"/>
      <c r="CL325" s="44"/>
      <c r="CM325" s="44"/>
      <c r="CN325" s="44"/>
      <c r="CO325" s="44"/>
      <c r="CP325" s="44"/>
      <c r="CQ325" s="44"/>
      <c r="CR325" s="44"/>
      <c r="CS325" s="44"/>
      <c r="CT325" s="44"/>
      <c r="CU325" s="44"/>
      <c r="CV325" s="44"/>
      <c r="CW325" s="44"/>
      <c r="CX325" s="44"/>
      <c r="CY325" s="44"/>
      <c r="CZ325" s="44"/>
      <c r="DA325" s="44"/>
      <c r="DB325" s="44"/>
      <c r="DC325" s="44"/>
      <c r="DD325" s="44"/>
      <c r="DE325" s="44"/>
      <c r="DF325" s="45">
        <f t="shared" si="4935"/>
        <v>0</v>
      </c>
    </row>
    <row r="326" spans="1:228" s="40" customFormat="1" ht="12" customHeight="1">
      <c r="A326" s="504">
        <v>167</v>
      </c>
      <c r="B326" s="534" t="s">
        <v>292</v>
      </c>
      <c r="C326" s="530" t="s">
        <v>293</v>
      </c>
      <c r="D326" s="532" t="s">
        <v>294</v>
      </c>
      <c r="E326" s="514" t="s">
        <v>526</v>
      </c>
      <c r="F326" s="524">
        <v>273.04000000000002</v>
      </c>
      <c r="G326" s="524">
        <v>5.5</v>
      </c>
      <c r="H326" s="526">
        <f>F326*G326*365</f>
        <v>548127.80000000005</v>
      </c>
      <c r="I326" s="41">
        <v>134540.46</v>
      </c>
      <c r="J326" s="42">
        <f>ROUND(G326*F326*365/4,0)</f>
        <v>137032</v>
      </c>
      <c r="K326" s="44">
        <f t="shared" ref="K326:R326" si="4936">J326</f>
        <v>137032</v>
      </c>
      <c r="L326" s="44">
        <f t="shared" si="4936"/>
        <v>137032</v>
      </c>
      <c r="M326" s="44">
        <f t="shared" si="4936"/>
        <v>137032</v>
      </c>
      <c r="N326" s="44">
        <f t="shared" si="4936"/>
        <v>137032</v>
      </c>
      <c r="O326" s="44">
        <f t="shared" si="4936"/>
        <v>137032</v>
      </c>
      <c r="P326" s="44">
        <f t="shared" si="4936"/>
        <v>137032</v>
      </c>
      <c r="Q326" s="44">
        <f t="shared" si="4936"/>
        <v>137032</v>
      </c>
      <c r="R326" s="43">
        <f t="shared" si="4936"/>
        <v>137032</v>
      </c>
      <c r="S326" s="44">
        <f>R326</f>
        <v>137032</v>
      </c>
      <c r="T326" s="44">
        <f>S326</f>
        <v>137032</v>
      </c>
      <c r="U326" s="44">
        <f>T326</f>
        <v>137032</v>
      </c>
      <c r="V326" s="44">
        <f>ROUND(U326*(1+取值表!$D$16)*取值表!$H$16,0)</f>
        <v>136737</v>
      </c>
      <c r="W326" s="44">
        <f>V326</f>
        <v>136737</v>
      </c>
      <c r="X326" s="44">
        <f>W326</f>
        <v>136737</v>
      </c>
      <c r="Y326" s="44">
        <f>X326</f>
        <v>136737</v>
      </c>
      <c r="Z326" s="44">
        <f>ROUND(Y326*(1+取值表!$D$16)*取值表!$H$16,0)</f>
        <v>136443</v>
      </c>
      <c r="AA326" s="44">
        <f t="shared" ref="AA326:AC326" si="4937">Z326</f>
        <v>136443</v>
      </c>
      <c r="AB326" s="44">
        <f t="shared" si="4937"/>
        <v>136443</v>
      </c>
      <c r="AC326" s="44">
        <f t="shared" si="4937"/>
        <v>136443</v>
      </c>
      <c r="AD326" s="44">
        <f>ROUND(AC326*(1+取值表!$D$16)*取值表!$H$16,0)</f>
        <v>136150</v>
      </c>
      <c r="AE326" s="44">
        <f t="shared" ref="AE326:AG326" si="4938">AD326</f>
        <v>136150</v>
      </c>
      <c r="AF326" s="44">
        <f t="shared" si="4938"/>
        <v>136150</v>
      </c>
      <c r="AG326" s="44">
        <f t="shared" si="4938"/>
        <v>136150</v>
      </c>
      <c r="AH326" s="44">
        <f>ROUND(AG326*(1+取值表!$D$16)*取值表!$H$16,0)</f>
        <v>135857</v>
      </c>
      <c r="AI326" s="44">
        <f t="shared" ref="AI326:AK326" si="4939">AH326</f>
        <v>135857</v>
      </c>
      <c r="AJ326" s="44">
        <f t="shared" si="4939"/>
        <v>135857</v>
      </c>
      <c r="AK326" s="44">
        <f t="shared" si="4939"/>
        <v>135857</v>
      </c>
      <c r="AL326" s="44">
        <f>ROUND(AK326*(1+取值表!$D$16)*取值表!$H$16,0)</f>
        <v>135565</v>
      </c>
      <c r="AM326" s="44">
        <f t="shared" ref="AM326:AO326" si="4940">AL326</f>
        <v>135565</v>
      </c>
      <c r="AN326" s="44">
        <f t="shared" si="4940"/>
        <v>135565</v>
      </c>
      <c r="AO326" s="44">
        <f t="shared" si="4940"/>
        <v>135565</v>
      </c>
      <c r="AP326" s="44">
        <f>ROUND(AO326*(1+取值表!$D$16)*取值表!$H$16,0)</f>
        <v>135274</v>
      </c>
      <c r="AQ326" s="44">
        <f t="shared" ref="AQ326:AS326" si="4941">AP326</f>
        <v>135274</v>
      </c>
      <c r="AR326" s="44">
        <f t="shared" si="4941"/>
        <v>135274</v>
      </c>
      <c r="AS326" s="44">
        <f t="shared" si="4941"/>
        <v>135274</v>
      </c>
      <c r="AT326" s="44">
        <f>ROUND(AS326*(1+取值表!$D$16)*取值表!$H$16,0)</f>
        <v>134983</v>
      </c>
      <c r="AU326" s="44">
        <f t="shared" ref="AU326:AW326" si="4942">AT326</f>
        <v>134983</v>
      </c>
      <c r="AV326" s="44">
        <f t="shared" si="4942"/>
        <v>134983</v>
      </c>
      <c r="AW326" s="44">
        <f t="shared" si="4942"/>
        <v>134983</v>
      </c>
      <c r="AX326" s="44">
        <f>ROUND(AW326*(1+取值表!$D$16)*取值表!$H$16,0)</f>
        <v>134693</v>
      </c>
      <c r="AY326" s="44">
        <f t="shared" ref="AY326:BA326" si="4943">AX326</f>
        <v>134693</v>
      </c>
      <c r="AZ326" s="44">
        <f t="shared" si="4943"/>
        <v>134693</v>
      </c>
      <c r="BA326" s="44">
        <f t="shared" si="4943"/>
        <v>134693</v>
      </c>
      <c r="BB326" s="44">
        <f>ROUND(BA326*(1+取值表!$D$16)*取值表!$H$16,0)</f>
        <v>134403</v>
      </c>
      <c r="BC326" s="44">
        <f t="shared" ref="BC326:BE326" si="4944">BB326</f>
        <v>134403</v>
      </c>
      <c r="BD326" s="44">
        <f t="shared" si="4944"/>
        <v>134403</v>
      </c>
      <c r="BE326" s="44">
        <f t="shared" si="4944"/>
        <v>134403</v>
      </c>
      <c r="BF326" s="44">
        <f>ROUND(BE326*(1+取值表!$D$16)*取值表!$H$16,0)</f>
        <v>134114</v>
      </c>
      <c r="BG326" s="44">
        <f t="shared" ref="BG326:BI326" si="4945">BF326</f>
        <v>134114</v>
      </c>
      <c r="BH326" s="44">
        <f t="shared" si="4945"/>
        <v>134114</v>
      </c>
      <c r="BI326" s="44">
        <f t="shared" si="4945"/>
        <v>134114</v>
      </c>
      <c r="BJ326" s="44">
        <f>ROUND(BI326*(1+取值表!$D$16)*取值表!$H$16,0)</f>
        <v>133826</v>
      </c>
      <c r="BK326" s="44">
        <f t="shared" ref="BK326:BM326" si="4946">BJ326</f>
        <v>133826</v>
      </c>
      <c r="BL326" s="44">
        <f t="shared" si="4946"/>
        <v>133826</v>
      </c>
      <c r="BM326" s="44">
        <f t="shared" si="4946"/>
        <v>133826</v>
      </c>
      <c r="BN326" s="44">
        <f>ROUND(BM326*(1+取值表!$D$16)*取值表!$H$16,0)</f>
        <v>133538</v>
      </c>
      <c r="BO326" s="44">
        <f t="shared" ref="BO326:BQ326" si="4947">BN326</f>
        <v>133538</v>
      </c>
      <c r="BP326" s="44">
        <f t="shared" si="4947"/>
        <v>133538</v>
      </c>
      <c r="BQ326" s="44">
        <f t="shared" si="4947"/>
        <v>133538</v>
      </c>
      <c r="BR326" s="44">
        <f>ROUND(BQ326*(1+取值表!$D$16)*取值表!$H$16,0)</f>
        <v>133251</v>
      </c>
      <c r="BS326" s="44">
        <f t="shared" ref="BS326:BU326" si="4948">BR326</f>
        <v>133251</v>
      </c>
      <c r="BT326" s="44">
        <f t="shared" si="4948"/>
        <v>133251</v>
      </c>
      <c r="BU326" s="44">
        <f t="shared" si="4948"/>
        <v>133251</v>
      </c>
      <c r="BV326" s="44">
        <f>ROUND(BU326*(1+取值表!$D$16)*取值表!$H$16,0)</f>
        <v>132965</v>
      </c>
      <c r="BW326" s="44">
        <f t="shared" ref="BW326:BY326" si="4949">BV326</f>
        <v>132965</v>
      </c>
      <c r="BX326" s="44">
        <f t="shared" si="4949"/>
        <v>132965</v>
      </c>
      <c r="BY326" s="44">
        <f t="shared" si="4949"/>
        <v>132965</v>
      </c>
      <c r="BZ326" s="44">
        <f>ROUND(BY326*(1+取值表!$D$16)*取值表!$H$16,0)</f>
        <v>132679</v>
      </c>
      <c r="CA326" s="44">
        <f t="shared" ref="CA326:CC326" si="4950">BZ326</f>
        <v>132679</v>
      </c>
      <c r="CB326" s="44">
        <f t="shared" si="4950"/>
        <v>132679</v>
      </c>
      <c r="CC326" s="44">
        <f t="shared" si="4950"/>
        <v>132679</v>
      </c>
      <c r="CD326" s="44">
        <f>ROUND(CC326*(1+取值表!$D$16)*取值表!$H$16,0)</f>
        <v>132394</v>
      </c>
      <c r="CE326" s="44">
        <f t="shared" ref="CE326:CG326" si="4951">CD326</f>
        <v>132394</v>
      </c>
      <c r="CF326" s="44">
        <f t="shared" si="4951"/>
        <v>132394</v>
      </c>
      <c r="CG326" s="44">
        <f t="shared" si="4951"/>
        <v>132394</v>
      </c>
      <c r="CH326" s="44">
        <f>ROUND(CG326*(1+取值表!$D$16)*取值表!$H$16,0)</f>
        <v>132109</v>
      </c>
      <c r="CI326" s="44">
        <f t="shared" ref="CI326:CK326" si="4952">CH326</f>
        <v>132109</v>
      </c>
      <c r="CJ326" s="44">
        <f t="shared" si="4952"/>
        <v>132109</v>
      </c>
      <c r="CK326" s="44">
        <f t="shared" si="4952"/>
        <v>132109</v>
      </c>
      <c r="CL326" s="44">
        <f>ROUND(CK326*(1+取值表!$D$16)*取值表!$H$16,0)</f>
        <v>131825</v>
      </c>
      <c r="CM326" s="44">
        <f t="shared" ref="CM326:CO326" si="4953">CL326</f>
        <v>131825</v>
      </c>
      <c r="CN326" s="44">
        <f t="shared" si="4953"/>
        <v>131825</v>
      </c>
      <c r="CO326" s="44">
        <f t="shared" si="4953"/>
        <v>131825</v>
      </c>
      <c r="CP326" s="44">
        <f>ROUND(CO326*(1+取值表!$D$16)*取值表!$H$16,0)</f>
        <v>131542</v>
      </c>
      <c r="CQ326" s="44">
        <f t="shared" ref="CQ326" si="4954">CP326</f>
        <v>131542</v>
      </c>
      <c r="CR326" s="44">
        <f t="shared" ref="CR326" si="4955">CQ326</f>
        <v>131542</v>
      </c>
      <c r="CS326" s="44">
        <f t="shared" ref="CS326" si="4956">CR326</f>
        <v>131542</v>
      </c>
      <c r="CT326" s="44">
        <f>ROUND(CS326*(1+取值表!$D$16)*取值表!$H$16,0)</f>
        <v>131259</v>
      </c>
      <c r="CU326" s="44">
        <f t="shared" ref="CU326" si="4957">CT326</f>
        <v>131259</v>
      </c>
      <c r="CV326" s="44">
        <f t="shared" ref="CV326" si="4958">CU326</f>
        <v>131259</v>
      </c>
      <c r="CW326" s="44">
        <f t="shared" ref="CW326" si="4959">CV326</f>
        <v>131259</v>
      </c>
      <c r="CX326" s="44">
        <f>ROUND(CW326*(1+取值表!$D$16)*取值表!$H$16,0)</f>
        <v>130977</v>
      </c>
      <c r="CY326" s="44">
        <f t="shared" ref="CY326" si="4960">CX326</f>
        <v>130977</v>
      </c>
      <c r="CZ326" s="44">
        <f t="shared" ref="CZ326" si="4961">CY326</f>
        <v>130977</v>
      </c>
      <c r="DA326" s="44">
        <f t="shared" ref="DA326" si="4962">CZ326</f>
        <v>130977</v>
      </c>
      <c r="DB326" s="44">
        <f>ROUND(DA326*(1+取值表!$D$16)*取值表!$H$16,0)</f>
        <v>130695</v>
      </c>
      <c r="DC326" s="44">
        <f t="shared" ref="DC326" si="4963">DB326</f>
        <v>130695</v>
      </c>
      <c r="DD326" s="44">
        <f t="shared" ref="DD326" si="4964">DC326</f>
        <v>130695</v>
      </c>
      <c r="DE326" s="44">
        <f t="shared" ref="DE326" si="4965">DD326</f>
        <v>130695</v>
      </c>
      <c r="DF326" s="45">
        <f t="shared" si="4935"/>
        <v>13409500</v>
      </c>
    </row>
    <row r="327" spans="1:228" s="40" customFormat="1" ht="12">
      <c r="A327" s="505"/>
      <c r="B327" s="535"/>
      <c r="C327" s="531"/>
      <c r="D327" s="533"/>
      <c r="E327" s="515"/>
      <c r="F327" s="525"/>
      <c r="G327" s="525"/>
      <c r="H327" s="527"/>
      <c r="I327" s="41"/>
      <c r="J327" s="42"/>
      <c r="K327" s="44"/>
      <c r="L327" s="44"/>
      <c r="M327" s="44"/>
      <c r="N327" s="44"/>
      <c r="O327" s="44"/>
      <c r="P327" s="44"/>
      <c r="Q327" s="44"/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  <c r="AH327" s="44"/>
      <c r="AI327" s="44"/>
      <c r="AJ327" s="44"/>
      <c r="AK327" s="44"/>
      <c r="AL327" s="44"/>
      <c r="AM327" s="44"/>
      <c r="AN327" s="44"/>
      <c r="AO327" s="44"/>
      <c r="AP327" s="44"/>
      <c r="AQ327" s="44"/>
      <c r="AR327" s="44"/>
      <c r="AS327" s="44"/>
      <c r="AT327" s="44"/>
      <c r="AU327" s="44"/>
      <c r="AV327" s="44"/>
      <c r="AW327" s="44"/>
      <c r="AX327" s="44"/>
      <c r="AY327" s="44"/>
      <c r="AZ327" s="44"/>
      <c r="BA327" s="44"/>
      <c r="BB327" s="44"/>
      <c r="BC327" s="44"/>
      <c r="BD327" s="44"/>
      <c r="BE327" s="44"/>
      <c r="BF327" s="44"/>
      <c r="BG327" s="44"/>
      <c r="BH327" s="44"/>
      <c r="BI327" s="44"/>
      <c r="BJ327" s="44"/>
      <c r="BK327" s="44"/>
      <c r="BL327" s="44"/>
      <c r="BM327" s="44"/>
      <c r="BN327" s="44"/>
      <c r="BO327" s="44"/>
      <c r="BP327" s="44"/>
      <c r="BQ327" s="44"/>
      <c r="BR327" s="44"/>
      <c r="BS327" s="44"/>
      <c r="BT327" s="44"/>
      <c r="BU327" s="44"/>
      <c r="BV327" s="44"/>
      <c r="BW327" s="44"/>
      <c r="BX327" s="44"/>
      <c r="BY327" s="44"/>
      <c r="BZ327" s="44"/>
      <c r="CA327" s="44"/>
      <c r="CB327" s="44"/>
      <c r="CC327" s="44"/>
      <c r="CD327" s="44"/>
      <c r="CE327" s="44"/>
      <c r="CF327" s="44"/>
      <c r="CG327" s="44"/>
      <c r="CH327" s="44"/>
      <c r="CI327" s="44"/>
      <c r="CJ327" s="44"/>
      <c r="CK327" s="44"/>
      <c r="CL327" s="44"/>
      <c r="CM327" s="44"/>
      <c r="CN327" s="44"/>
      <c r="CO327" s="44"/>
      <c r="CP327" s="44"/>
      <c r="CQ327" s="44"/>
      <c r="CR327" s="44"/>
      <c r="CS327" s="44"/>
      <c r="CT327" s="44"/>
      <c r="CU327" s="44"/>
      <c r="CV327" s="44"/>
      <c r="CW327" s="44"/>
      <c r="CX327" s="44"/>
      <c r="CY327" s="44"/>
      <c r="CZ327" s="44"/>
      <c r="DA327" s="44"/>
      <c r="DB327" s="44"/>
      <c r="DC327" s="44"/>
      <c r="DD327" s="44"/>
      <c r="DE327" s="44"/>
      <c r="DF327" s="45">
        <f t="shared" si="4935"/>
        <v>0</v>
      </c>
    </row>
    <row r="328" spans="1:228" s="40" customFormat="1" ht="12" customHeight="1">
      <c r="A328" s="504">
        <v>168</v>
      </c>
      <c r="B328" s="534" t="s">
        <v>295</v>
      </c>
      <c r="C328" s="530" t="s">
        <v>296</v>
      </c>
      <c r="D328" s="532" t="s">
        <v>527</v>
      </c>
      <c r="E328" s="514" t="s">
        <v>526</v>
      </c>
      <c r="F328" s="524">
        <v>182.57</v>
      </c>
      <c r="G328" s="524">
        <f>AVERAGE(12,12.5,13)</f>
        <v>12.5</v>
      </c>
      <c r="H328" s="526">
        <f>F328*G328*365</f>
        <v>832975.625</v>
      </c>
      <c r="I328" s="41">
        <v>208243.91</v>
      </c>
      <c r="J328" s="42">
        <f>ROUND(G328*F328*365/4,0)</f>
        <v>208244</v>
      </c>
      <c r="K328" s="44">
        <f>J328</f>
        <v>208244</v>
      </c>
      <c r="L328" s="44">
        <f>ROUND(13*365*F328/4,0)</f>
        <v>216574</v>
      </c>
      <c r="M328" s="44">
        <f>L328</f>
        <v>216574</v>
      </c>
      <c r="N328" s="44">
        <f>M328</f>
        <v>216574</v>
      </c>
      <c r="O328" s="43">
        <f>N328</f>
        <v>216574</v>
      </c>
      <c r="P328" s="44">
        <f>O328</f>
        <v>216574</v>
      </c>
      <c r="Q328" s="44">
        <f>P328</f>
        <v>216574</v>
      </c>
      <c r="R328" s="44">
        <f>ROUND(Q328*(1+取值表!$D$16)*取值表!$H$16,0)</f>
        <v>216108</v>
      </c>
      <c r="S328" s="44">
        <f>R328</f>
        <v>216108</v>
      </c>
      <c r="T328" s="44">
        <f>S328</f>
        <v>216108</v>
      </c>
      <c r="U328" s="44">
        <f>T328</f>
        <v>216108</v>
      </c>
      <c r="V328" s="44">
        <f>ROUND(U328*(1+取值表!$D$16)*取值表!$H$16,0)</f>
        <v>215643</v>
      </c>
      <c r="W328" s="44">
        <f>V328</f>
        <v>215643</v>
      </c>
      <c r="X328" s="44">
        <f>W328</f>
        <v>215643</v>
      </c>
      <c r="Y328" s="44">
        <f>X328</f>
        <v>215643</v>
      </c>
      <c r="Z328" s="44">
        <f>ROUND(Y328*(1+取值表!$D$16)*取值表!$H$16,0)</f>
        <v>215179</v>
      </c>
      <c r="AA328" s="44">
        <f t="shared" ref="AA328:AC328" si="4966">Z328</f>
        <v>215179</v>
      </c>
      <c r="AB328" s="44">
        <f t="shared" si="4966"/>
        <v>215179</v>
      </c>
      <c r="AC328" s="44">
        <f t="shared" si="4966"/>
        <v>215179</v>
      </c>
      <c r="AD328" s="44">
        <f>ROUND(AC328*(1+取值表!$D$16)*取值表!$H$16,0)</f>
        <v>214716</v>
      </c>
      <c r="AE328" s="44">
        <f t="shared" ref="AE328:AG328" si="4967">AD328</f>
        <v>214716</v>
      </c>
      <c r="AF328" s="44">
        <f t="shared" si="4967"/>
        <v>214716</v>
      </c>
      <c r="AG328" s="44">
        <f t="shared" si="4967"/>
        <v>214716</v>
      </c>
      <c r="AH328" s="44">
        <f>ROUND(AG328*(1+取值表!$D$16)*取值表!$H$16,0)</f>
        <v>214254</v>
      </c>
      <c r="AI328" s="44">
        <f t="shared" ref="AI328:AK328" si="4968">AH328</f>
        <v>214254</v>
      </c>
      <c r="AJ328" s="44">
        <f t="shared" si="4968"/>
        <v>214254</v>
      </c>
      <c r="AK328" s="44">
        <f t="shared" si="4968"/>
        <v>214254</v>
      </c>
      <c r="AL328" s="44">
        <f>ROUND(AK328*(1+取值表!$D$16)*取值表!$H$16,0)</f>
        <v>213793</v>
      </c>
      <c r="AM328" s="44">
        <f t="shared" ref="AM328:AO328" si="4969">AL328</f>
        <v>213793</v>
      </c>
      <c r="AN328" s="44">
        <f t="shared" si="4969"/>
        <v>213793</v>
      </c>
      <c r="AO328" s="44">
        <f t="shared" si="4969"/>
        <v>213793</v>
      </c>
      <c r="AP328" s="44">
        <f>ROUND(AO328*(1+取值表!$D$16)*取值表!$H$16,0)</f>
        <v>213333</v>
      </c>
      <c r="AQ328" s="44">
        <f t="shared" ref="AQ328:AS328" si="4970">AP328</f>
        <v>213333</v>
      </c>
      <c r="AR328" s="44">
        <f t="shared" si="4970"/>
        <v>213333</v>
      </c>
      <c r="AS328" s="44">
        <f t="shared" si="4970"/>
        <v>213333</v>
      </c>
      <c r="AT328" s="44">
        <f>ROUND(AS328*(1+取值表!$D$16)*取值表!$H$16,0)</f>
        <v>212874</v>
      </c>
      <c r="AU328" s="44">
        <f t="shared" ref="AU328:AW328" si="4971">AT328</f>
        <v>212874</v>
      </c>
      <c r="AV328" s="44">
        <f t="shared" si="4971"/>
        <v>212874</v>
      </c>
      <c r="AW328" s="44">
        <f t="shared" si="4971"/>
        <v>212874</v>
      </c>
      <c r="AX328" s="44">
        <f>ROUND(AW328*(1+取值表!$D$16)*取值表!$H$16,0)</f>
        <v>212416</v>
      </c>
      <c r="AY328" s="44">
        <f t="shared" ref="AY328:BA328" si="4972">AX328</f>
        <v>212416</v>
      </c>
      <c r="AZ328" s="44">
        <f t="shared" si="4972"/>
        <v>212416</v>
      </c>
      <c r="BA328" s="44">
        <f t="shared" si="4972"/>
        <v>212416</v>
      </c>
      <c r="BB328" s="44">
        <f>ROUND(BA328*(1+取值表!$D$16)*取值表!$H$16,0)</f>
        <v>211959</v>
      </c>
      <c r="BC328" s="44">
        <f t="shared" ref="BC328:BE328" si="4973">BB328</f>
        <v>211959</v>
      </c>
      <c r="BD328" s="44">
        <f t="shared" si="4973"/>
        <v>211959</v>
      </c>
      <c r="BE328" s="44">
        <f t="shared" si="4973"/>
        <v>211959</v>
      </c>
      <c r="BF328" s="44">
        <f>ROUND(BE328*(1+取值表!$D$16)*取值表!$H$16,0)</f>
        <v>211503</v>
      </c>
      <c r="BG328" s="44">
        <f t="shared" ref="BG328:BI328" si="4974">BF328</f>
        <v>211503</v>
      </c>
      <c r="BH328" s="44">
        <f t="shared" si="4974"/>
        <v>211503</v>
      </c>
      <c r="BI328" s="44">
        <f t="shared" si="4974"/>
        <v>211503</v>
      </c>
      <c r="BJ328" s="44">
        <f>ROUND(BI328*(1+取值表!$D$16)*取值表!$H$16,0)</f>
        <v>211048</v>
      </c>
      <c r="BK328" s="44">
        <f t="shared" ref="BK328:BM328" si="4975">BJ328</f>
        <v>211048</v>
      </c>
      <c r="BL328" s="44">
        <f t="shared" si="4975"/>
        <v>211048</v>
      </c>
      <c r="BM328" s="44">
        <f t="shared" si="4975"/>
        <v>211048</v>
      </c>
      <c r="BN328" s="44">
        <f>ROUND(BM328*(1+取值表!$D$16)*取值表!$H$16,0)</f>
        <v>210594</v>
      </c>
      <c r="BO328" s="44">
        <f t="shared" ref="BO328:BQ328" si="4976">BN328</f>
        <v>210594</v>
      </c>
      <c r="BP328" s="44">
        <f t="shared" si="4976"/>
        <v>210594</v>
      </c>
      <c r="BQ328" s="44">
        <f t="shared" si="4976"/>
        <v>210594</v>
      </c>
      <c r="BR328" s="44">
        <f>ROUND(BQ328*(1+取值表!$D$16)*取值表!$H$16,0)</f>
        <v>210141</v>
      </c>
      <c r="BS328" s="44">
        <f t="shared" ref="BS328:BU328" si="4977">BR328</f>
        <v>210141</v>
      </c>
      <c r="BT328" s="44">
        <f t="shared" si="4977"/>
        <v>210141</v>
      </c>
      <c r="BU328" s="44">
        <f t="shared" si="4977"/>
        <v>210141</v>
      </c>
      <c r="BV328" s="44">
        <f>ROUND(BU328*(1+取值表!$D$16)*取值表!$H$16,0)</f>
        <v>209689</v>
      </c>
      <c r="BW328" s="44">
        <f t="shared" ref="BW328:BY328" si="4978">BV328</f>
        <v>209689</v>
      </c>
      <c r="BX328" s="44">
        <f t="shared" si="4978"/>
        <v>209689</v>
      </c>
      <c r="BY328" s="44">
        <f t="shared" si="4978"/>
        <v>209689</v>
      </c>
      <c r="BZ328" s="44">
        <f>ROUND(BY328*(1+取值表!$D$16)*取值表!$H$16,0)</f>
        <v>209238</v>
      </c>
      <c r="CA328" s="44">
        <f t="shared" ref="CA328:CC328" si="4979">BZ328</f>
        <v>209238</v>
      </c>
      <c r="CB328" s="44">
        <f t="shared" si="4979"/>
        <v>209238</v>
      </c>
      <c r="CC328" s="44">
        <f t="shared" si="4979"/>
        <v>209238</v>
      </c>
      <c r="CD328" s="44">
        <f>ROUND(CC328*(1+取值表!$D$16)*取值表!$H$16,0)</f>
        <v>208788</v>
      </c>
      <c r="CE328" s="44">
        <f t="shared" ref="CE328:CG328" si="4980">CD328</f>
        <v>208788</v>
      </c>
      <c r="CF328" s="44">
        <f t="shared" si="4980"/>
        <v>208788</v>
      </c>
      <c r="CG328" s="44">
        <f t="shared" si="4980"/>
        <v>208788</v>
      </c>
      <c r="CH328" s="44">
        <f>ROUND(CG328*(1+取值表!$D$16)*取值表!$H$16,0)</f>
        <v>208339</v>
      </c>
      <c r="CI328" s="44">
        <f t="shared" ref="CI328:CK328" si="4981">CH328</f>
        <v>208339</v>
      </c>
      <c r="CJ328" s="44">
        <f t="shared" si="4981"/>
        <v>208339</v>
      </c>
      <c r="CK328" s="44">
        <f t="shared" si="4981"/>
        <v>208339</v>
      </c>
      <c r="CL328" s="44">
        <f>ROUND(CK328*(1+取值表!$D$16)*取值表!$H$16,0)</f>
        <v>207891</v>
      </c>
      <c r="CM328" s="44">
        <f t="shared" ref="CM328:CO328" si="4982">CL328</f>
        <v>207891</v>
      </c>
      <c r="CN328" s="44">
        <f t="shared" si="4982"/>
        <v>207891</v>
      </c>
      <c r="CO328" s="44">
        <f t="shared" si="4982"/>
        <v>207891</v>
      </c>
      <c r="CP328" s="44">
        <f>ROUND(CO328*(1+取值表!$D$16)*取值表!$H$16,0)</f>
        <v>207444</v>
      </c>
      <c r="CQ328" s="44">
        <f t="shared" ref="CQ328" si="4983">CP328</f>
        <v>207444</v>
      </c>
      <c r="CR328" s="44">
        <f t="shared" ref="CR328" si="4984">CQ328</f>
        <v>207444</v>
      </c>
      <c r="CS328" s="44">
        <f t="shared" ref="CS328" si="4985">CR328</f>
        <v>207444</v>
      </c>
      <c r="CT328" s="44">
        <f>ROUND(CS328*(1+取值表!$D$16)*取值表!$H$16,0)</f>
        <v>206998</v>
      </c>
      <c r="CU328" s="44">
        <f t="shared" ref="CU328" si="4986">CT328</f>
        <v>206998</v>
      </c>
      <c r="CV328" s="44">
        <f t="shared" ref="CV328" si="4987">CU328</f>
        <v>206998</v>
      </c>
      <c r="CW328" s="44">
        <f t="shared" ref="CW328" si="4988">CV328</f>
        <v>206998</v>
      </c>
      <c r="CX328" s="44">
        <f>ROUND(CW328*(1+取值表!$D$16)*取值表!$H$16,0)</f>
        <v>206553</v>
      </c>
      <c r="CY328" s="44">
        <f t="shared" ref="CY328" si="4989">CX328</f>
        <v>206553</v>
      </c>
      <c r="CZ328" s="44">
        <f t="shared" ref="CZ328" si="4990">CY328</f>
        <v>206553</v>
      </c>
      <c r="DA328" s="44">
        <f t="shared" ref="DA328" si="4991">CZ328</f>
        <v>206553</v>
      </c>
      <c r="DB328" s="44">
        <f>ROUND(DA328*(1+取值表!$D$16)*取值表!$H$16,0)</f>
        <v>206109</v>
      </c>
      <c r="DC328" s="44">
        <f t="shared" ref="DC328" si="4992">DB328</f>
        <v>206109</v>
      </c>
      <c r="DD328" s="44">
        <f t="shared" ref="DD328" si="4993">DC328</f>
        <v>206109</v>
      </c>
      <c r="DE328" s="44">
        <f t="shared" ref="DE328" si="4994">DD328</f>
        <v>206109</v>
      </c>
      <c r="DF328" s="45">
        <f t="shared" si="4935"/>
        <v>21134372</v>
      </c>
    </row>
    <row r="329" spans="1:228" s="40" customFormat="1" ht="12">
      <c r="A329" s="505"/>
      <c r="B329" s="535"/>
      <c r="C329" s="531"/>
      <c r="D329" s="533"/>
      <c r="E329" s="515"/>
      <c r="F329" s="525"/>
      <c r="G329" s="525"/>
      <c r="H329" s="527"/>
      <c r="I329" s="41"/>
      <c r="J329" s="42"/>
      <c r="K329" s="44"/>
      <c r="L329" s="44"/>
      <c r="M329" s="44"/>
      <c r="N329" s="44"/>
      <c r="O329" s="44"/>
      <c r="P329" s="44"/>
      <c r="Q329" s="44"/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  <c r="AH329" s="44"/>
      <c r="AI329" s="44"/>
      <c r="AJ329" s="44"/>
      <c r="AK329" s="44"/>
      <c r="AL329" s="44"/>
      <c r="AM329" s="44"/>
      <c r="AN329" s="44"/>
      <c r="AO329" s="44"/>
      <c r="AP329" s="44"/>
      <c r="AQ329" s="44"/>
      <c r="AR329" s="44"/>
      <c r="AS329" s="44"/>
      <c r="AT329" s="44"/>
      <c r="AU329" s="44"/>
      <c r="AV329" s="44"/>
      <c r="AW329" s="44"/>
      <c r="AX329" s="44"/>
      <c r="AY329" s="44"/>
      <c r="AZ329" s="44"/>
      <c r="BA329" s="44"/>
      <c r="BB329" s="44"/>
      <c r="BC329" s="44"/>
      <c r="BD329" s="44"/>
      <c r="BE329" s="44"/>
      <c r="BF329" s="44"/>
      <c r="BG329" s="44"/>
      <c r="BH329" s="44"/>
      <c r="BI329" s="44"/>
      <c r="BJ329" s="44"/>
      <c r="BK329" s="44"/>
      <c r="BL329" s="44"/>
      <c r="BM329" s="44"/>
      <c r="BN329" s="44"/>
      <c r="BO329" s="44"/>
      <c r="BP329" s="44"/>
      <c r="BQ329" s="44"/>
      <c r="BR329" s="44"/>
      <c r="BS329" s="44"/>
      <c r="BT329" s="44"/>
      <c r="BU329" s="44"/>
      <c r="BV329" s="44"/>
      <c r="BW329" s="44"/>
      <c r="BX329" s="44"/>
      <c r="BY329" s="44"/>
      <c r="BZ329" s="44"/>
      <c r="CA329" s="44"/>
      <c r="CB329" s="44"/>
      <c r="CC329" s="44"/>
      <c r="CD329" s="44"/>
      <c r="CE329" s="44"/>
      <c r="CF329" s="44"/>
      <c r="CG329" s="44"/>
      <c r="CH329" s="44"/>
      <c r="CI329" s="44"/>
      <c r="CJ329" s="44"/>
      <c r="CK329" s="44"/>
      <c r="CL329" s="44"/>
      <c r="CM329" s="44"/>
      <c r="CN329" s="44"/>
      <c r="CO329" s="44"/>
      <c r="CP329" s="44"/>
      <c r="CQ329" s="44"/>
      <c r="CR329" s="44"/>
      <c r="CS329" s="44"/>
      <c r="CT329" s="44"/>
      <c r="CU329" s="44"/>
      <c r="CV329" s="44"/>
      <c r="CW329" s="44"/>
      <c r="CX329" s="44"/>
      <c r="CY329" s="44"/>
      <c r="CZ329" s="44"/>
      <c r="DA329" s="44"/>
      <c r="DB329" s="44"/>
      <c r="DC329" s="44"/>
      <c r="DD329" s="44"/>
      <c r="DE329" s="44"/>
      <c r="DF329" s="45">
        <f t="shared" si="4935"/>
        <v>0</v>
      </c>
    </row>
    <row r="330" spans="1:228" s="40" customFormat="1" ht="12" customHeight="1">
      <c r="A330" s="504">
        <v>169</v>
      </c>
      <c r="B330" s="534" t="s">
        <v>297</v>
      </c>
      <c r="C330" s="530" t="s">
        <v>298</v>
      </c>
      <c r="D330" s="532" t="s">
        <v>299</v>
      </c>
      <c r="E330" s="514" t="s">
        <v>526</v>
      </c>
      <c r="F330" s="524">
        <v>366.85</v>
      </c>
      <c r="G330" s="524">
        <f>AVERAGE(8.5,7.5)</f>
        <v>8</v>
      </c>
      <c r="H330" s="526">
        <f>F330*G330*365</f>
        <v>1071202</v>
      </c>
      <c r="I330" s="41">
        <v>267800.5</v>
      </c>
      <c r="J330" s="42">
        <f>ROUND(7.5*F330*365/4,0)</f>
        <v>251063</v>
      </c>
      <c r="K330" s="44">
        <f>J330</f>
        <v>251063</v>
      </c>
      <c r="L330" s="44">
        <f>K330</f>
        <v>251063</v>
      </c>
      <c r="M330" s="44">
        <f>L330</f>
        <v>251063</v>
      </c>
      <c r="N330" s="44">
        <f>ROUND(8.5*F330*365/4,0)</f>
        <v>284538</v>
      </c>
      <c r="O330" s="44">
        <f t="shared" ref="O330:U330" si="4995">N330</f>
        <v>284538</v>
      </c>
      <c r="P330" s="44">
        <f t="shared" si="4995"/>
        <v>284538</v>
      </c>
      <c r="Q330" s="44">
        <f t="shared" si="4995"/>
        <v>284538</v>
      </c>
      <c r="R330" s="43">
        <f t="shared" si="4995"/>
        <v>284538</v>
      </c>
      <c r="S330" s="44">
        <f t="shared" si="4995"/>
        <v>284538</v>
      </c>
      <c r="T330" s="44">
        <f t="shared" si="4995"/>
        <v>284538</v>
      </c>
      <c r="U330" s="44">
        <f t="shared" si="4995"/>
        <v>284538</v>
      </c>
      <c r="V330" s="44">
        <f>ROUND(U330*(1+取值表!$D$16)*取值表!$H$16,0)</f>
        <v>283926</v>
      </c>
      <c r="W330" s="44">
        <f>V330</f>
        <v>283926</v>
      </c>
      <c r="X330" s="44">
        <f>W330</f>
        <v>283926</v>
      </c>
      <c r="Y330" s="44">
        <f>X330</f>
        <v>283926</v>
      </c>
      <c r="Z330" s="44">
        <f>ROUND(Y330*(1+取值表!$D$16)*取值表!$H$16,0)</f>
        <v>283316</v>
      </c>
      <c r="AA330" s="44">
        <f t="shared" ref="AA330:AC330" si="4996">Z330</f>
        <v>283316</v>
      </c>
      <c r="AB330" s="44">
        <f t="shared" si="4996"/>
        <v>283316</v>
      </c>
      <c r="AC330" s="44">
        <f t="shared" si="4996"/>
        <v>283316</v>
      </c>
      <c r="AD330" s="44">
        <f>ROUND(AC330*(1+取值表!$D$16)*取值表!$H$16,0)</f>
        <v>282707</v>
      </c>
      <c r="AE330" s="44">
        <f t="shared" ref="AE330:AG330" si="4997">AD330</f>
        <v>282707</v>
      </c>
      <c r="AF330" s="44">
        <f t="shared" si="4997"/>
        <v>282707</v>
      </c>
      <c r="AG330" s="44">
        <f t="shared" si="4997"/>
        <v>282707</v>
      </c>
      <c r="AH330" s="44">
        <f>ROUND(AG330*(1+取值表!$D$16)*取值表!$H$16,0)</f>
        <v>282099</v>
      </c>
      <c r="AI330" s="44">
        <f t="shared" ref="AI330:AK330" si="4998">AH330</f>
        <v>282099</v>
      </c>
      <c r="AJ330" s="44">
        <f t="shared" si="4998"/>
        <v>282099</v>
      </c>
      <c r="AK330" s="44">
        <f t="shared" si="4998"/>
        <v>282099</v>
      </c>
      <c r="AL330" s="44">
        <f>ROUND(AK330*(1+取值表!$D$16)*取值表!$H$16,0)</f>
        <v>281493</v>
      </c>
      <c r="AM330" s="44">
        <f t="shared" ref="AM330:AO330" si="4999">AL330</f>
        <v>281493</v>
      </c>
      <c r="AN330" s="44">
        <f t="shared" si="4999"/>
        <v>281493</v>
      </c>
      <c r="AO330" s="44">
        <f t="shared" si="4999"/>
        <v>281493</v>
      </c>
      <c r="AP330" s="44">
        <f>ROUND(AO330*(1+取值表!$D$16)*取值表!$H$16,0)</f>
        <v>280888</v>
      </c>
      <c r="AQ330" s="44">
        <f t="shared" ref="AQ330:AS330" si="5000">AP330</f>
        <v>280888</v>
      </c>
      <c r="AR330" s="44">
        <f t="shared" si="5000"/>
        <v>280888</v>
      </c>
      <c r="AS330" s="44">
        <f t="shared" si="5000"/>
        <v>280888</v>
      </c>
      <c r="AT330" s="44">
        <f>ROUND(AS330*(1+取值表!$D$16)*取值表!$H$16,0)</f>
        <v>280284</v>
      </c>
      <c r="AU330" s="44">
        <f t="shared" ref="AU330:AW330" si="5001">AT330</f>
        <v>280284</v>
      </c>
      <c r="AV330" s="44">
        <f t="shared" si="5001"/>
        <v>280284</v>
      </c>
      <c r="AW330" s="44">
        <f t="shared" si="5001"/>
        <v>280284</v>
      </c>
      <c r="AX330" s="44">
        <f>ROUND(AW330*(1+取值表!$D$16)*取值表!$H$16,0)</f>
        <v>279681</v>
      </c>
      <c r="AY330" s="44">
        <f t="shared" ref="AY330:BA330" si="5002">AX330</f>
        <v>279681</v>
      </c>
      <c r="AZ330" s="44">
        <f t="shared" si="5002"/>
        <v>279681</v>
      </c>
      <c r="BA330" s="44">
        <f t="shared" si="5002"/>
        <v>279681</v>
      </c>
      <c r="BB330" s="44">
        <f>ROUND(BA330*(1+取值表!$D$16)*取值表!$H$16,0)</f>
        <v>279080</v>
      </c>
      <c r="BC330" s="44">
        <f t="shared" ref="BC330:BE330" si="5003">BB330</f>
        <v>279080</v>
      </c>
      <c r="BD330" s="44">
        <f t="shared" si="5003"/>
        <v>279080</v>
      </c>
      <c r="BE330" s="44">
        <f t="shared" si="5003"/>
        <v>279080</v>
      </c>
      <c r="BF330" s="44">
        <f>ROUND(BE330*(1+取值表!$D$16)*取值表!$H$16,0)</f>
        <v>278480</v>
      </c>
      <c r="BG330" s="44">
        <f t="shared" ref="BG330:BI330" si="5004">BF330</f>
        <v>278480</v>
      </c>
      <c r="BH330" s="44">
        <f t="shared" si="5004"/>
        <v>278480</v>
      </c>
      <c r="BI330" s="44">
        <f t="shared" si="5004"/>
        <v>278480</v>
      </c>
      <c r="BJ330" s="44">
        <f>ROUND(BI330*(1+取值表!$D$16)*取值表!$H$16,0)</f>
        <v>277881</v>
      </c>
      <c r="BK330" s="44">
        <f t="shared" ref="BK330:BM330" si="5005">BJ330</f>
        <v>277881</v>
      </c>
      <c r="BL330" s="44">
        <f t="shared" si="5005"/>
        <v>277881</v>
      </c>
      <c r="BM330" s="44">
        <f t="shared" si="5005"/>
        <v>277881</v>
      </c>
      <c r="BN330" s="44">
        <f>ROUND(BM330*(1+取值表!$D$16)*取值表!$H$16,0)</f>
        <v>277284</v>
      </c>
      <c r="BO330" s="44">
        <f t="shared" ref="BO330:BQ330" si="5006">BN330</f>
        <v>277284</v>
      </c>
      <c r="BP330" s="44">
        <f t="shared" si="5006"/>
        <v>277284</v>
      </c>
      <c r="BQ330" s="44">
        <f t="shared" si="5006"/>
        <v>277284</v>
      </c>
      <c r="BR330" s="44">
        <f>ROUND(BQ330*(1+取值表!$D$16)*取值表!$H$16,0)</f>
        <v>276688</v>
      </c>
      <c r="BS330" s="44">
        <f t="shared" ref="BS330:BU330" si="5007">BR330</f>
        <v>276688</v>
      </c>
      <c r="BT330" s="44">
        <f t="shared" si="5007"/>
        <v>276688</v>
      </c>
      <c r="BU330" s="44">
        <f t="shared" si="5007"/>
        <v>276688</v>
      </c>
      <c r="BV330" s="44">
        <f>ROUND(BU330*(1+取值表!$D$16)*取值表!$H$16,0)</f>
        <v>276093</v>
      </c>
      <c r="BW330" s="44">
        <f t="shared" ref="BW330:BY330" si="5008">BV330</f>
        <v>276093</v>
      </c>
      <c r="BX330" s="44">
        <f t="shared" si="5008"/>
        <v>276093</v>
      </c>
      <c r="BY330" s="44">
        <f t="shared" si="5008"/>
        <v>276093</v>
      </c>
      <c r="BZ330" s="44">
        <f>ROUND(BY330*(1+取值表!$D$16)*取值表!$H$16,0)</f>
        <v>275499</v>
      </c>
      <c r="CA330" s="44">
        <f t="shared" ref="CA330:CC330" si="5009">BZ330</f>
        <v>275499</v>
      </c>
      <c r="CB330" s="44">
        <f t="shared" si="5009"/>
        <v>275499</v>
      </c>
      <c r="CC330" s="44">
        <f t="shared" si="5009"/>
        <v>275499</v>
      </c>
      <c r="CD330" s="44">
        <f>ROUND(CC330*(1+取值表!$D$16)*取值表!$H$16,0)</f>
        <v>274907</v>
      </c>
      <c r="CE330" s="44">
        <f t="shared" ref="CE330:CG330" si="5010">CD330</f>
        <v>274907</v>
      </c>
      <c r="CF330" s="44">
        <f t="shared" si="5010"/>
        <v>274907</v>
      </c>
      <c r="CG330" s="44">
        <f t="shared" si="5010"/>
        <v>274907</v>
      </c>
      <c r="CH330" s="44">
        <f>ROUND(CG330*(1+取值表!$D$16)*取值表!$H$16,0)</f>
        <v>274316</v>
      </c>
      <c r="CI330" s="44">
        <f t="shared" ref="CI330:CK330" si="5011">CH330</f>
        <v>274316</v>
      </c>
      <c r="CJ330" s="44">
        <f t="shared" si="5011"/>
        <v>274316</v>
      </c>
      <c r="CK330" s="44">
        <f t="shared" si="5011"/>
        <v>274316</v>
      </c>
      <c r="CL330" s="44">
        <f>ROUND(CK330*(1+取值表!$D$16)*取值表!$H$16,0)</f>
        <v>273726</v>
      </c>
      <c r="CM330" s="44">
        <f t="shared" ref="CM330:CO330" si="5012">CL330</f>
        <v>273726</v>
      </c>
      <c r="CN330" s="44">
        <f t="shared" si="5012"/>
        <v>273726</v>
      </c>
      <c r="CO330" s="44">
        <f t="shared" si="5012"/>
        <v>273726</v>
      </c>
      <c r="CP330" s="44">
        <f>ROUND(CO330*(1+取值表!$D$16)*取值表!$H$16,0)</f>
        <v>273138</v>
      </c>
      <c r="CQ330" s="44">
        <f t="shared" ref="CQ330" si="5013">CP330</f>
        <v>273138</v>
      </c>
      <c r="CR330" s="44">
        <f t="shared" ref="CR330" si="5014">CQ330</f>
        <v>273138</v>
      </c>
      <c r="CS330" s="44">
        <f t="shared" ref="CS330" si="5015">CR330</f>
        <v>273138</v>
      </c>
      <c r="CT330" s="44">
        <f>ROUND(CS330*(1+取值表!$D$16)*取值表!$H$16,0)</f>
        <v>272551</v>
      </c>
      <c r="CU330" s="44">
        <f t="shared" ref="CU330" si="5016">CT330</f>
        <v>272551</v>
      </c>
      <c r="CV330" s="44">
        <f t="shared" ref="CV330" si="5017">CU330</f>
        <v>272551</v>
      </c>
      <c r="CW330" s="44">
        <f t="shared" ref="CW330" si="5018">CV330</f>
        <v>272551</v>
      </c>
      <c r="CX330" s="44">
        <f>ROUND(CW330*(1+取值表!$D$16)*取值表!$H$16,0)</f>
        <v>271965</v>
      </c>
      <c r="CY330" s="44">
        <f t="shared" ref="CY330" si="5019">CX330</f>
        <v>271965</v>
      </c>
      <c r="CZ330" s="44">
        <f t="shared" ref="CZ330" si="5020">CY330</f>
        <v>271965</v>
      </c>
      <c r="DA330" s="44">
        <f t="shared" ref="DA330" si="5021">CZ330</f>
        <v>271965</v>
      </c>
      <c r="DB330" s="44">
        <f>ROUND(DA330*(1+取值表!$D$16)*取值表!$H$16,0)</f>
        <v>271380</v>
      </c>
      <c r="DC330" s="44">
        <f t="shared" ref="DC330" si="5022">DB330</f>
        <v>271380</v>
      </c>
      <c r="DD330" s="44">
        <f t="shared" ref="DD330" si="5023">DC330</f>
        <v>271380</v>
      </c>
      <c r="DE330" s="44">
        <f t="shared" ref="DE330" si="5024">DD330</f>
        <v>271380</v>
      </c>
      <c r="DF330" s="45">
        <f t="shared" si="4935"/>
        <v>27710084</v>
      </c>
    </row>
    <row r="331" spans="1:228" s="40" customFormat="1" ht="12">
      <c r="A331" s="505"/>
      <c r="B331" s="535"/>
      <c r="C331" s="531"/>
      <c r="D331" s="533"/>
      <c r="E331" s="515"/>
      <c r="F331" s="525"/>
      <c r="G331" s="525"/>
      <c r="H331" s="527"/>
      <c r="I331" s="41"/>
      <c r="J331" s="42"/>
      <c r="K331" s="44"/>
      <c r="L331" s="44"/>
      <c r="M331" s="44"/>
      <c r="N331" s="44"/>
      <c r="O331" s="44"/>
      <c r="P331" s="44"/>
      <c r="Q331" s="44"/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  <c r="AH331" s="44"/>
      <c r="AI331" s="44"/>
      <c r="AJ331" s="44"/>
      <c r="AK331" s="44"/>
      <c r="AL331" s="44"/>
      <c r="AM331" s="44"/>
      <c r="AN331" s="44"/>
      <c r="AO331" s="44"/>
      <c r="AP331" s="44"/>
      <c r="AQ331" s="44"/>
      <c r="AR331" s="44"/>
      <c r="AS331" s="44"/>
      <c r="AT331" s="44"/>
      <c r="AU331" s="44"/>
      <c r="AV331" s="44"/>
      <c r="AW331" s="44"/>
      <c r="AX331" s="44"/>
      <c r="AY331" s="44"/>
      <c r="AZ331" s="44"/>
      <c r="BA331" s="44"/>
      <c r="BB331" s="44"/>
      <c r="BC331" s="44"/>
      <c r="BD331" s="44"/>
      <c r="BE331" s="44"/>
      <c r="BF331" s="44"/>
      <c r="BG331" s="44"/>
      <c r="BH331" s="44"/>
      <c r="BI331" s="44"/>
      <c r="BJ331" s="44"/>
      <c r="BK331" s="44"/>
      <c r="BL331" s="44"/>
      <c r="BM331" s="44"/>
      <c r="BN331" s="44"/>
      <c r="BO331" s="44"/>
      <c r="BP331" s="44"/>
      <c r="BQ331" s="44"/>
      <c r="BR331" s="44"/>
      <c r="BS331" s="44"/>
      <c r="BT331" s="44"/>
      <c r="BU331" s="44"/>
      <c r="BV331" s="44"/>
      <c r="BW331" s="44"/>
      <c r="BX331" s="44"/>
      <c r="BY331" s="44"/>
      <c r="BZ331" s="44"/>
      <c r="CA331" s="44"/>
      <c r="CB331" s="44"/>
      <c r="CC331" s="44"/>
      <c r="CD331" s="44"/>
      <c r="CE331" s="44"/>
      <c r="CF331" s="44"/>
      <c r="CG331" s="44"/>
      <c r="CH331" s="44"/>
      <c r="CI331" s="44"/>
      <c r="CJ331" s="44"/>
      <c r="CK331" s="44"/>
      <c r="CL331" s="44"/>
      <c r="CM331" s="44"/>
      <c r="CN331" s="44"/>
      <c r="CO331" s="44"/>
      <c r="CP331" s="44"/>
      <c r="CQ331" s="44"/>
      <c r="CR331" s="44"/>
      <c r="CS331" s="44"/>
      <c r="CT331" s="44"/>
      <c r="CU331" s="44"/>
      <c r="CV331" s="44"/>
      <c r="CW331" s="44"/>
      <c r="CX331" s="44"/>
      <c r="CY331" s="44"/>
      <c r="CZ331" s="44"/>
      <c r="DA331" s="44"/>
      <c r="DB331" s="44"/>
      <c r="DC331" s="44"/>
      <c r="DD331" s="44"/>
      <c r="DE331" s="44"/>
      <c r="DF331" s="45">
        <f t="shared" si="4935"/>
        <v>0</v>
      </c>
    </row>
    <row r="332" spans="1:228" s="52" customFormat="1" ht="12">
      <c r="A332" s="504">
        <v>170</v>
      </c>
      <c r="B332" s="506" t="s">
        <v>300</v>
      </c>
      <c r="C332" s="508" t="s">
        <v>757</v>
      </c>
      <c r="D332" s="510" t="s">
        <v>301</v>
      </c>
      <c r="E332" s="512" t="s">
        <v>526</v>
      </c>
      <c r="F332" s="500">
        <v>511.86</v>
      </c>
      <c r="G332" s="500">
        <v>7.5</v>
      </c>
      <c r="H332" s="502">
        <f>F332*G332*365</f>
        <v>1401216.75</v>
      </c>
      <c r="I332" s="219">
        <v>317609.09999999998</v>
      </c>
      <c r="J332" s="42">
        <f>ROUND(G332*F332*365/4,0)</f>
        <v>350304</v>
      </c>
      <c r="K332" s="43">
        <f>J332</f>
        <v>350304</v>
      </c>
      <c r="L332" s="42">
        <f>K332</f>
        <v>350304</v>
      </c>
      <c r="M332" s="42">
        <f>L332</f>
        <v>350304</v>
      </c>
      <c r="N332" s="44">
        <f>ROUND(M332*(1+取值表!$D$16)*取值表!$H$16,0)</f>
        <v>349551</v>
      </c>
      <c r="O332" s="42">
        <f>N332</f>
        <v>349551</v>
      </c>
      <c r="P332" s="42">
        <f>O332</f>
        <v>349551</v>
      </c>
      <c r="Q332" s="42">
        <f>P332</f>
        <v>349551</v>
      </c>
      <c r="R332" s="44">
        <f>ROUND(Q332*(1+取值表!$D$16)*取值表!$H$16,0)</f>
        <v>348800</v>
      </c>
      <c r="S332" s="42">
        <f t="shared" ref="S332:U332" si="5025">R332</f>
        <v>348800</v>
      </c>
      <c r="T332" s="42">
        <f t="shared" si="5025"/>
        <v>348800</v>
      </c>
      <c r="U332" s="42">
        <f t="shared" si="5025"/>
        <v>348800</v>
      </c>
      <c r="V332" s="44">
        <f>ROUND(U332*(1+取值表!$D$16)*取值表!$H$16,0)</f>
        <v>348050</v>
      </c>
      <c r="W332" s="42">
        <f t="shared" ref="W332:Y332" si="5026">V332</f>
        <v>348050</v>
      </c>
      <c r="X332" s="42">
        <f t="shared" si="5026"/>
        <v>348050</v>
      </c>
      <c r="Y332" s="42">
        <f t="shared" si="5026"/>
        <v>348050</v>
      </c>
      <c r="Z332" s="44">
        <f>ROUND(Y332*(1+取值表!$D$16)*取值表!$H$16,0)</f>
        <v>347302</v>
      </c>
      <c r="AA332" s="42">
        <f t="shared" ref="AA332:AC332" si="5027">Z332</f>
        <v>347302</v>
      </c>
      <c r="AB332" s="42">
        <f t="shared" si="5027"/>
        <v>347302</v>
      </c>
      <c r="AC332" s="42">
        <f t="shared" si="5027"/>
        <v>347302</v>
      </c>
      <c r="AD332" s="44">
        <f>ROUND(AC332*(1+取值表!$D$16)*取值表!$H$16,0)</f>
        <v>346555</v>
      </c>
      <c r="AE332" s="42">
        <f t="shared" ref="AE332:AG332" si="5028">AD332</f>
        <v>346555</v>
      </c>
      <c r="AF332" s="42">
        <f t="shared" si="5028"/>
        <v>346555</v>
      </c>
      <c r="AG332" s="42">
        <f t="shared" si="5028"/>
        <v>346555</v>
      </c>
      <c r="AH332" s="44">
        <f>ROUND(AG332*(1+取值表!$D$16)*取值表!$H$16,0)</f>
        <v>345810</v>
      </c>
      <c r="AI332" s="42">
        <f t="shared" ref="AI332:AK332" si="5029">AH332</f>
        <v>345810</v>
      </c>
      <c r="AJ332" s="42">
        <f t="shared" si="5029"/>
        <v>345810</v>
      </c>
      <c r="AK332" s="42">
        <f t="shared" si="5029"/>
        <v>345810</v>
      </c>
      <c r="AL332" s="44">
        <f>ROUND(AK332*(1+取值表!$D$16)*取值表!$H$16,0)</f>
        <v>345067</v>
      </c>
      <c r="AM332" s="42">
        <f t="shared" ref="AM332:AO332" si="5030">AL332</f>
        <v>345067</v>
      </c>
      <c r="AN332" s="42">
        <f t="shared" si="5030"/>
        <v>345067</v>
      </c>
      <c r="AO332" s="42">
        <f t="shared" si="5030"/>
        <v>345067</v>
      </c>
      <c r="AP332" s="44">
        <f>ROUND(AO332*(1+取值表!$D$16)*取值表!$H$16,0)</f>
        <v>344325</v>
      </c>
      <c r="AQ332" s="42">
        <f t="shared" ref="AQ332:AS332" si="5031">AP332</f>
        <v>344325</v>
      </c>
      <c r="AR332" s="42">
        <f t="shared" si="5031"/>
        <v>344325</v>
      </c>
      <c r="AS332" s="42">
        <f t="shared" si="5031"/>
        <v>344325</v>
      </c>
      <c r="AT332" s="44">
        <f>ROUND(AS332*(1+取值表!$D$16)*取值表!$H$16,0)</f>
        <v>343585</v>
      </c>
      <c r="AU332" s="42">
        <f t="shared" ref="AU332:AW332" si="5032">AT332</f>
        <v>343585</v>
      </c>
      <c r="AV332" s="42">
        <f t="shared" si="5032"/>
        <v>343585</v>
      </c>
      <c r="AW332" s="42">
        <f t="shared" si="5032"/>
        <v>343585</v>
      </c>
      <c r="AX332" s="44">
        <f>ROUND(AW332*(1+取值表!$D$16)*取值表!$H$16,0)</f>
        <v>342846</v>
      </c>
      <c r="AY332" s="42">
        <f t="shared" ref="AY332:BA332" si="5033">AX332</f>
        <v>342846</v>
      </c>
      <c r="AZ332" s="42">
        <f t="shared" si="5033"/>
        <v>342846</v>
      </c>
      <c r="BA332" s="42">
        <f t="shared" si="5033"/>
        <v>342846</v>
      </c>
      <c r="BB332" s="44">
        <f>ROUND(BA332*(1+取值表!$D$16)*取值表!$H$16,0)</f>
        <v>342109</v>
      </c>
      <c r="BC332" s="42">
        <f t="shared" ref="BC332:BE332" si="5034">BB332</f>
        <v>342109</v>
      </c>
      <c r="BD332" s="42">
        <f t="shared" si="5034"/>
        <v>342109</v>
      </c>
      <c r="BE332" s="42">
        <f t="shared" si="5034"/>
        <v>342109</v>
      </c>
      <c r="BF332" s="44">
        <f>ROUND(BE332*(1+取值表!$D$16)*取值表!$H$16,0)</f>
        <v>341374</v>
      </c>
      <c r="BG332" s="42">
        <f t="shared" ref="BG332:BI332" si="5035">BF332</f>
        <v>341374</v>
      </c>
      <c r="BH332" s="42">
        <f t="shared" si="5035"/>
        <v>341374</v>
      </c>
      <c r="BI332" s="42">
        <f t="shared" si="5035"/>
        <v>341374</v>
      </c>
      <c r="BJ332" s="44">
        <f>ROUND(BI332*(1+取值表!$D$16)*取值表!$H$16,0)</f>
        <v>340640</v>
      </c>
      <c r="BK332" s="42">
        <f t="shared" ref="BK332:BM332" si="5036">BJ332</f>
        <v>340640</v>
      </c>
      <c r="BL332" s="42">
        <f t="shared" si="5036"/>
        <v>340640</v>
      </c>
      <c r="BM332" s="42">
        <f t="shared" si="5036"/>
        <v>340640</v>
      </c>
      <c r="BN332" s="44">
        <f>ROUND(BM332*(1+取值表!$D$16)*取值表!$H$16,0)</f>
        <v>339908</v>
      </c>
      <c r="BO332" s="42">
        <f t="shared" ref="BO332:BQ332" si="5037">BN332</f>
        <v>339908</v>
      </c>
      <c r="BP332" s="42">
        <f t="shared" si="5037"/>
        <v>339908</v>
      </c>
      <c r="BQ332" s="42">
        <f t="shared" si="5037"/>
        <v>339908</v>
      </c>
      <c r="BR332" s="44">
        <f>ROUND(BQ332*(1+取值表!$D$16)*取值表!$H$16,0)</f>
        <v>339177</v>
      </c>
      <c r="BS332" s="42">
        <f t="shared" ref="BS332:BU332" si="5038">BR332</f>
        <v>339177</v>
      </c>
      <c r="BT332" s="42">
        <f t="shared" si="5038"/>
        <v>339177</v>
      </c>
      <c r="BU332" s="42">
        <f t="shared" si="5038"/>
        <v>339177</v>
      </c>
      <c r="BV332" s="44">
        <f>ROUND(BU332*(1+取值表!$D$16)*取值表!$H$16,0)</f>
        <v>338448</v>
      </c>
      <c r="BW332" s="42">
        <f t="shared" ref="BW332:BY332" si="5039">BV332</f>
        <v>338448</v>
      </c>
      <c r="BX332" s="42">
        <f t="shared" si="5039"/>
        <v>338448</v>
      </c>
      <c r="BY332" s="42">
        <f t="shared" si="5039"/>
        <v>338448</v>
      </c>
      <c r="BZ332" s="44">
        <f>ROUND(BY332*(1+取值表!$D$16)*取值表!$H$16,0)</f>
        <v>337720</v>
      </c>
      <c r="CA332" s="42">
        <f t="shared" ref="CA332:CC332" si="5040">BZ332</f>
        <v>337720</v>
      </c>
      <c r="CB332" s="42">
        <f t="shared" si="5040"/>
        <v>337720</v>
      </c>
      <c r="CC332" s="42">
        <f t="shared" si="5040"/>
        <v>337720</v>
      </c>
      <c r="CD332" s="44">
        <f>ROUND(CC332*(1+取值表!$D$16)*取值表!$H$16,0)</f>
        <v>336994</v>
      </c>
      <c r="CE332" s="42">
        <f t="shared" ref="CE332:CG332" si="5041">CD332</f>
        <v>336994</v>
      </c>
      <c r="CF332" s="42">
        <f t="shared" si="5041"/>
        <v>336994</v>
      </c>
      <c r="CG332" s="42">
        <f t="shared" si="5041"/>
        <v>336994</v>
      </c>
      <c r="CH332" s="44">
        <f>ROUND(CG332*(1+取值表!$D$16)*取值表!$H$16,0)</f>
        <v>336270</v>
      </c>
      <c r="CI332" s="42">
        <f t="shared" ref="CI332:CK332" si="5042">CH332</f>
        <v>336270</v>
      </c>
      <c r="CJ332" s="42">
        <f t="shared" si="5042"/>
        <v>336270</v>
      </c>
      <c r="CK332" s="42">
        <f t="shared" si="5042"/>
        <v>336270</v>
      </c>
      <c r="CL332" s="44">
        <f>ROUND(CK332*(1+取值表!$D$16)*取值表!$H$16,0)</f>
        <v>335547</v>
      </c>
      <c r="CM332" s="42">
        <f t="shared" ref="CM332:CO332" si="5043">CL332</f>
        <v>335547</v>
      </c>
      <c r="CN332" s="42">
        <f t="shared" si="5043"/>
        <v>335547</v>
      </c>
      <c r="CO332" s="42">
        <f t="shared" si="5043"/>
        <v>335547</v>
      </c>
      <c r="CP332" s="44">
        <f>ROUND(CO332*(1+取值表!$D$16)*取值表!$H$16,0)</f>
        <v>334826</v>
      </c>
      <c r="CQ332" s="42">
        <f t="shared" ref="CQ332" si="5044">CP332</f>
        <v>334826</v>
      </c>
      <c r="CR332" s="42">
        <f t="shared" ref="CR332" si="5045">CQ332</f>
        <v>334826</v>
      </c>
      <c r="CS332" s="42">
        <f t="shared" ref="CS332" si="5046">CR332</f>
        <v>334826</v>
      </c>
      <c r="CT332" s="44">
        <f>ROUND(CS332*(1+取值表!$D$16)*取值表!$H$16,0)</f>
        <v>334106</v>
      </c>
      <c r="CU332" s="42">
        <f t="shared" ref="CU332" si="5047">CT332</f>
        <v>334106</v>
      </c>
      <c r="CV332" s="42">
        <f t="shared" ref="CV332" si="5048">CU332</f>
        <v>334106</v>
      </c>
      <c r="CW332" s="42">
        <f t="shared" ref="CW332" si="5049">CV332</f>
        <v>334106</v>
      </c>
      <c r="CX332" s="44">
        <f>ROUND(CW332*(1+取值表!$D$16)*取值表!$H$16,0)</f>
        <v>333388</v>
      </c>
      <c r="CY332" s="42">
        <f t="shared" ref="CY332" si="5050">CX332</f>
        <v>333388</v>
      </c>
      <c r="CZ332" s="42">
        <f t="shared" ref="CZ332" si="5051">CY332</f>
        <v>333388</v>
      </c>
      <c r="DA332" s="42">
        <f t="shared" ref="DA332" si="5052">CZ332</f>
        <v>333388</v>
      </c>
      <c r="DB332" s="44">
        <f>ROUND(DA332*(1+取值表!$D$16)*取值表!$H$16,0)</f>
        <v>332671</v>
      </c>
      <c r="DC332" s="42">
        <f t="shared" ref="DC332" si="5053">DB332</f>
        <v>332671</v>
      </c>
      <c r="DD332" s="42">
        <f t="shared" ref="DD332" si="5054">DC332</f>
        <v>332671</v>
      </c>
      <c r="DE332" s="42">
        <f t="shared" ref="DE332" si="5055">DD332</f>
        <v>332671</v>
      </c>
      <c r="DF332" s="45">
        <f t="shared" si="4935"/>
        <v>34141492</v>
      </c>
    </row>
    <row r="333" spans="1:228" s="52" customFormat="1" ht="12">
      <c r="A333" s="505"/>
      <c r="B333" s="507"/>
      <c r="C333" s="509"/>
      <c r="D333" s="511"/>
      <c r="E333" s="513"/>
      <c r="F333" s="501"/>
      <c r="G333" s="501"/>
      <c r="H333" s="503"/>
      <c r="I333" s="219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  <c r="DB333" s="42"/>
      <c r="DC333" s="42"/>
      <c r="DD333" s="42"/>
      <c r="DE333" s="42"/>
      <c r="DF333" s="45">
        <f t="shared" si="4935"/>
        <v>0</v>
      </c>
    </row>
    <row r="334" spans="1:228" s="52" customFormat="1" ht="12" customHeight="1">
      <c r="A334" s="504">
        <v>171</v>
      </c>
      <c r="B334" s="534" t="s">
        <v>302</v>
      </c>
      <c r="C334" s="530" t="s">
        <v>758</v>
      </c>
      <c r="D334" s="532" t="s">
        <v>301</v>
      </c>
      <c r="E334" s="514" t="s">
        <v>526</v>
      </c>
      <c r="F334" s="524">
        <v>416.25</v>
      </c>
      <c r="G334" s="524">
        <v>7</v>
      </c>
      <c r="H334" s="526">
        <f>F334*G334*365</f>
        <v>1063518.75</v>
      </c>
      <c r="I334" s="219">
        <v>235493.4</v>
      </c>
      <c r="J334" s="42">
        <f>ROUND(G334*F334*365/4,0)</f>
        <v>265880</v>
      </c>
      <c r="K334" s="43">
        <f>J334</f>
        <v>265880</v>
      </c>
      <c r="L334" s="42">
        <f>K334</f>
        <v>265880</v>
      </c>
      <c r="M334" s="42">
        <f>L334</f>
        <v>265880</v>
      </c>
      <c r="N334" s="44">
        <f>ROUND(M334*(1+取值表!$D$16)*取值表!$H$16,0)</f>
        <v>265308</v>
      </c>
      <c r="O334" s="42">
        <f>N334</f>
        <v>265308</v>
      </c>
      <c r="P334" s="42">
        <f>O334</f>
        <v>265308</v>
      </c>
      <c r="Q334" s="42">
        <f>P334</f>
        <v>265308</v>
      </c>
      <c r="R334" s="44">
        <f>ROUND(Q334*(1+取值表!$D$16)*取值表!$H$16,0)</f>
        <v>264738</v>
      </c>
      <c r="S334" s="42">
        <f t="shared" ref="S334:U334" si="5056">R334</f>
        <v>264738</v>
      </c>
      <c r="T334" s="42">
        <f t="shared" si="5056"/>
        <v>264738</v>
      </c>
      <c r="U334" s="42">
        <f t="shared" si="5056"/>
        <v>264738</v>
      </c>
      <c r="V334" s="44">
        <f>ROUND(U334*(1+取值表!$D$16)*取值表!$H$16,0)</f>
        <v>264169</v>
      </c>
      <c r="W334" s="42">
        <f t="shared" ref="W334:Y334" si="5057">V334</f>
        <v>264169</v>
      </c>
      <c r="X334" s="42">
        <f t="shared" si="5057"/>
        <v>264169</v>
      </c>
      <c r="Y334" s="42">
        <f t="shared" si="5057"/>
        <v>264169</v>
      </c>
      <c r="Z334" s="44">
        <f>ROUND(Y334*(1+取值表!$D$16)*取值表!$H$16,0)</f>
        <v>263601</v>
      </c>
      <c r="AA334" s="42">
        <f t="shared" ref="AA334:AC334" si="5058">Z334</f>
        <v>263601</v>
      </c>
      <c r="AB334" s="42">
        <f t="shared" si="5058"/>
        <v>263601</v>
      </c>
      <c r="AC334" s="42">
        <f t="shared" si="5058"/>
        <v>263601</v>
      </c>
      <c r="AD334" s="44">
        <f>ROUND(AC334*(1+取值表!$D$16)*取值表!$H$16,0)</f>
        <v>263034</v>
      </c>
      <c r="AE334" s="42">
        <f t="shared" ref="AE334:AG334" si="5059">AD334</f>
        <v>263034</v>
      </c>
      <c r="AF334" s="42">
        <f t="shared" si="5059"/>
        <v>263034</v>
      </c>
      <c r="AG334" s="42">
        <f t="shared" si="5059"/>
        <v>263034</v>
      </c>
      <c r="AH334" s="44">
        <f>ROUND(AG334*(1+取值表!$D$16)*取值表!$H$16,0)</f>
        <v>262469</v>
      </c>
      <c r="AI334" s="42">
        <f t="shared" ref="AI334:AK334" si="5060">AH334</f>
        <v>262469</v>
      </c>
      <c r="AJ334" s="42">
        <f t="shared" si="5060"/>
        <v>262469</v>
      </c>
      <c r="AK334" s="42">
        <f t="shared" si="5060"/>
        <v>262469</v>
      </c>
      <c r="AL334" s="44">
        <f>ROUND(AK334*(1+取值表!$D$16)*取值表!$H$16,0)</f>
        <v>261905</v>
      </c>
      <c r="AM334" s="42">
        <f t="shared" ref="AM334:AO334" si="5061">AL334</f>
        <v>261905</v>
      </c>
      <c r="AN334" s="42">
        <f t="shared" si="5061"/>
        <v>261905</v>
      </c>
      <c r="AO334" s="42">
        <f t="shared" si="5061"/>
        <v>261905</v>
      </c>
      <c r="AP334" s="44">
        <f>ROUND(AO334*(1+取值表!$D$16)*取值表!$H$16,0)</f>
        <v>261342</v>
      </c>
      <c r="AQ334" s="42">
        <f t="shared" ref="AQ334:AS334" si="5062">AP334</f>
        <v>261342</v>
      </c>
      <c r="AR334" s="42">
        <f t="shared" si="5062"/>
        <v>261342</v>
      </c>
      <c r="AS334" s="42">
        <f t="shared" si="5062"/>
        <v>261342</v>
      </c>
      <c r="AT334" s="44">
        <f>ROUND(AS334*(1+取值表!$D$16)*取值表!$H$16,0)</f>
        <v>260780</v>
      </c>
      <c r="AU334" s="42">
        <f t="shared" ref="AU334:AW334" si="5063">AT334</f>
        <v>260780</v>
      </c>
      <c r="AV334" s="42">
        <f t="shared" si="5063"/>
        <v>260780</v>
      </c>
      <c r="AW334" s="42">
        <f t="shared" si="5063"/>
        <v>260780</v>
      </c>
      <c r="AX334" s="44">
        <f>ROUND(AW334*(1+取值表!$D$16)*取值表!$H$16,0)</f>
        <v>260219</v>
      </c>
      <c r="AY334" s="42">
        <f t="shared" ref="AY334:BA334" si="5064">AX334</f>
        <v>260219</v>
      </c>
      <c r="AZ334" s="42">
        <f t="shared" si="5064"/>
        <v>260219</v>
      </c>
      <c r="BA334" s="42">
        <f t="shared" si="5064"/>
        <v>260219</v>
      </c>
      <c r="BB334" s="44">
        <f>ROUND(BA334*(1+取值表!$D$16)*取值表!$H$16,0)</f>
        <v>259660</v>
      </c>
      <c r="BC334" s="42">
        <f t="shared" ref="BC334:BE334" si="5065">BB334</f>
        <v>259660</v>
      </c>
      <c r="BD334" s="42">
        <f t="shared" si="5065"/>
        <v>259660</v>
      </c>
      <c r="BE334" s="42">
        <f t="shared" si="5065"/>
        <v>259660</v>
      </c>
      <c r="BF334" s="44">
        <f>ROUND(BE334*(1+取值表!$D$16)*取值表!$H$16,0)</f>
        <v>259102</v>
      </c>
      <c r="BG334" s="42">
        <f t="shared" ref="BG334:BI334" si="5066">BF334</f>
        <v>259102</v>
      </c>
      <c r="BH334" s="42">
        <f t="shared" si="5066"/>
        <v>259102</v>
      </c>
      <c r="BI334" s="42">
        <f t="shared" si="5066"/>
        <v>259102</v>
      </c>
      <c r="BJ334" s="44">
        <f>ROUND(BI334*(1+取值表!$D$16)*取值表!$H$16,0)</f>
        <v>258545</v>
      </c>
      <c r="BK334" s="42">
        <f t="shared" ref="BK334:BM334" si="5067">BJ334</f>
        <v>258545</v>
      </c>
      <c r="BL334" s="42">
        <f t="shared" si="5067"/>
        <v>258545</v>
      </c>
      <c r="BM334" s="42">
        <f t="shared" si="5067"/>
        <v>258545</v>
      </c>
      <c r="BN334" s="44">
        <f>ROUND(BM334*(1+取值表!$D$16)*取值表!$H$16,0)</f>
        <v>257989</v>
      </c>
      <c r="BO334" s="42">
        <f t="shared" ref="BO334:BQ334" si="5068">BN334</f>
        <v>257989</v>
      </c>
      <c r="BP334" s="42">
        <f t="shared" si="5068"/>
        <v>257989</v>
      </c>
      <c r="BQ334" s="42">
        <f t="shared" si="5068"/>
        <v>257989</v>
      </c>
      <c r="BR334" s="44">
        <f>ROUND(BQ334*(1+取值表!$D$16)*取值表!$H$16,0)</f>
        <v>257434</v>
      </c>
      <c r="BS334" s="42">
        <f t="shared" ref="BS334:BU334" si="5069">BR334</f>
        <v>257434</v>
      </c>
      <c r="BT334" s="42">
        <f t="shared" si="5069"/>
        <v>257434</v>
      </c>
      <c r="BU334" s="42">
        <f t="shared" si="5069"/>
        <v>257434</v>
      </c>
      <c r="BV334" s="44">
        <f>ROUND(BU334*(1+取值表!$D$16)*取值表!$H$16,0)</f>
        <v>256881</v>
      </c>
      <c r="BW334" s="42">
        <f t="shared" ref="BW334:BY334" si="5070">BV334</f>
        <v>256881</v>
      </c>
      <c r="BX334" s="42">
        <f t="shared" si="5070"/>
        <v>256881</v>
      </c>
      <c r="BY334" s="42">
        <f t="shared" si="5070"/>
        <v>256881</v>
      </c>
      <c r="BZ334" s="44">
        <f>ROUND(BY334*(1+取值表!$D$16)*取值表!$H$16,0)</f>
        <v>256329</v>
      </c>
      <c r="CA334" s="42">
        <f t="shared" ref="CA334:CC334" si="5071">BZ334</f>
        <v>256329</v>
      </c>
      <c r="CB334" s="42">
        <f t="shared" si="5071"/>
        <v>256329</v>
      </c>
      <c r="CC334" s="42">
        <f t="shared" si="5071"/>
        <v>256329</v>
      </c>
      <c r="CD334" s="44">
        <f>ROUND(CC334*(1+取值表!$D$16)*取值表!$H$16,0)</f>
        <v>255778</v>
      </c>
      <c r="CE334" s="42">
        <f t="shared" ref="CE334:CG334" si="5072">CD334</f>
        <v>255778</v>
      </c>
      <c r="CF334" s="42">
        <f t="shared" si="5072"/>
        <v>255778</v>
      </c>
      <c r="CG334" s="42">
        <f t="shared" si="5072"/>
        <v>255778</v>
      </c>
      <c r="CH334" s="44">
        <f>ROUND(CG334*(1+取值表!$D$16)*取值表!$H$16,0)</f>
        <v>255228</v>
      </c>
      <c r="CI334" s="42">
        <f t="shared" ref="CI334:CK334" si="5073">CH334</f>
        <v>255228</v>
      </c>
      <c r="CJ334" s="42">
        <f t="shared" si="5073"/>
        <v>255228</v>
      </c>
      <c r="CK334" s="42">
        <f t="shared" si="5073"/>
        <v>255228</v>
      </c>
      <c r="CL334" s="44">
        <f>ROUND(CK334*(1+取值表!$D$16)*取值表!$H$16,0)</f>
        <v>254679</v>
      </c>
      <c r="CM334" s="42">
        <f t="shared" ref="CM334:CO334" si="5074">CL334</f>
        <v>254679</v>
      </c>
      <c r="CN334" s="42">
        <f t="shared" si="5074"/>
        <v>254679</v>
      </c>
      <c r="CO334" s="42">
        <f t="shared" si="5074"/>
        <v>254679</v>
      </c>
      <c r="CP334" s="44">
        <f>ROUND(CO334*(1+取值表!$D$16)*取值表!$H$16,0)</f>
        <v>254131</v>
      </c>
      <c r="CQ334" s="42">
        <f t="shared" ref="CQ334" si="5075">CP334</f>
        <v>254131</v>
      </c>
      <c r="CR334" s="42">
        <f t="shared" ref="CR334" si="5076">CQ334</f>
        <v>254131</v>
      </c>
      <c r="CS334" s="42">
        <f t="shared" ref="CS334" si="5077">CR334</f>
        <v>254131</v>
      </c>
      <c r="CT334" s="44">
        <f>ROUND(CS334*(1+取值表!$D$16)*取值表!$H$16,0)</f>
        <v>253585</v>
      </c>
      <c r="CU334" s="42">
        <f t="shared" ref="CU334" si="5078">CT334</f>
        <v>253585</v>
      </c>
      <c r="CV334" s="42">
        <f t="shared" ref="CV334" si="5079">CU334</f>
        <v>253585</v>
      </c>
      <c r="CW334" s="42">
        <f t="shared" ref="CW334" si="5080">CV334</f>
        <v>253585</v>
      </c>
      <c r="CX334" s="44">
        <f>ROUND(CW334*(1+取值表!$D$16)*取值表!$H$16,0)</f>
        <v>253040</v>
      </c>
      <c r="CY334" s="42">
        <f t="shared" ref="CY334" si="5081">CX334</f>
        <v>253040</v>
      </c>
      <c r="CZ334" s="42">
        <f t="shared" ref="CZ334" si="5082">CY334</f>
        <v>253040</v>
      </c>
      <c r="DA334" s="42">
        <f t="shared" ref="DA334" si="5083">CZ334</f>
        <v>253040</v>
      </c>
      <c r="DB334" s="44">
        <f>ROUND(DA334*(1+取值表!$D$16)*取值表!$H$16,0)</f>
        <v>252496</v>
      </c>
      <c r="DC334" s="42">
        <f t="shared" ref="DC334" si="5084">DB334</f>
        <v>252496</v>
      </c>
      <c r="DD334" s="42">
        <f t="shared" ref="DD334" si="5085">DC334</f>
        <v>252496</v>
      </c>
      <c r="DE334" s="42">
        <f t="shared" ref="DE334" si="5086">DD334</f>
        <v>252496</v>
      </c>
      <c r="DF334" s="45">
        <f t="shared" si="4935"/>
        <v>25913288</v>
      </c>
    </row>
    <row r="335" spans="1:228" s="40" customFormat="1" ht="12">
      <c r="A335" s="505"/>
      <c r="B335" s="535"/>
      <c r="C335" s="531"/>
      <c r="D335" s="533"/>
      <c r="E335" s="515"/>
      <c r="F335" s="525"/>
      <c r="G335" s="525"/>
      <c r="H335" s="527"/>
      <c r="I335" s="41"/>
      <c r="J335" s="42"/>
      <c r="K335" s="44"/>
      <c r="L335" s="44"/>
      <c r="M335" s="44"/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  <c r="AH335" s="44"/>
      <c r="AI335" s="44"/>
      <c r="AJ335" s="44"/>
      <c r="AK335" s="44"/>
      <c r="AL335" s="44"/>
      <c r="AM335" s="44"/>
      <c r="AN335" s="44"/>
      <c r="AO335" s="44"/>
      <c r="AP335" s="44"/>
      <c r="AQ335" s="44"/>
      <c r="AR335" s="44"/>
      <c r="AS335" s="44"/>
      <c r="AT335" s="44"/>
      <c r="AU335" s="44"/>
      <c r="AV335" s="44"/>
      <c r="AW335" s="44"/>
      <c r="AX335" s="44"/>
      <c r="AY335" s="44"/>
      <c r="AZ335" s="44"/>
      <c r="BA335" s="44"/>
      <c r="BB335" s="44"/>
      <c r="BC335" s="44"/>
      <c r="BD335" s="44"/>
      <c r="BE335" s="44"/>
      <c r="BF335" s="44"/>
      <c r="BG335" s="44"/>
      <c r="BH335" s="44"/>
      <c r="BI335" s="44"/>
      <c r="BJ335" s="44"/>
      <c r="BK335" s="44"/>
      <c r="BL335" s="44"/>
      <c r="BM335" s="44"/>
      <c r="BN335" s="44"/>
      <c r="BO335" s="44"/>
      <c r="BP335" s="44"/>
      <c r="BQ335" s="44"/>
      <c r="BR335" s="44"/>
      <c r="BS335" s="44"/>
      <c r="BT335" s="44"/>
      <c r="BU335" s="44"/>
      <c r="BV335" s="44"/>
      <c r="BW335" s="44"/>
      <c r="BX335" s="44"/>
      <c r="BY335" s="44"/>
      <c r="BZ335" s="44"/>
      <c r="CA335" s="44"/>
      <c r="CB335" s="44"/>
      <c r="CC335" s="44"/>
      <c r="CD335" s="44"/>
      <c r="CE335" s="44"/>
      <c r="CF335" s="44"/>
      <c r="CG335" s="44"/>
      <c r="CH335" s="44"/>
      <c r="CI335" s="44"/>
      <c r="CJ335" s="44"/>
      <c r="CK335" s="44"/>
      <c r="CL335" s="44"/>
      <c r="CM335" s="44"/>
      <c r="CN335" s="44"/>
      <c r="CO335" s="44"/>
      <c r="CP335" s="44"/>
      <c r="CQ335" s="44"/>
      <c r="CR335" s="44"/>
      <c r="CS335" s="44"/>
      <c r="CT335" s="44"/>
      <c r="CU335" s="44"/>
      <c r="CV335" s="44"/>
      <c r="CW335" s="44"/>
      <c r="CX335" s="44"/>
      <c r="CY335" s="44"/>
      <c r="CZ335" s="44"/>
      <c r="DA335" s="44"/>
      <c r="DB335" s="44"/>
      <c r="DC335" s="44"/>
      <c r="DD335" s="44"/>
      <c r="DE335" s="44"/>
      <c r="DF335" s="45">
        <f t="shared" si="4935"/>
        <v>0</v>
      </c>
    </row>
    <row r="336" spans="1:228" s="40" customFormat="1" ht="12">
      <c r="A336" s="504">
        <v>172</v>
      </c>
      <c r="B336" s="534" t="s">
        <v>303</v>
      </c>
      <c r="C336" s="530" t="s">
        <v>759</v>
      </c>
      <c r="D336" s="532" t="s">
        <v>301</v>
      </c>
      <c r="E336" s="514" t="s">
        <v>526</v>
      </c>
      <c r="F336" s="524">
        <v>100</v>
      </c>
      <c r="G336" s="524">
        <v>7</v>
      </c>
      <c r="H336" s="526">
        <f>F336*G336*365</f>
        <v>255500</v>
      </c>
      <c r="I336" s="41">
        <v>56575</v>
      </c>
      <c r="J336" s="42">
        <f>ROUND(G336*F336*365/4,0)</f>
        <v>63875</v>
      </c>
      <c r="K336" s="43">
        <f>J336</f>
        <v>63875</v>
      </c>
      <c r="L336" s="44">
        <f>K336</f>
        <v>63875</v>
      </c>
      <c r="M336" s="44">
        <f>L336</f>
        <v>63875</v>
      </c>
      <c r="N336" s="44">
        <f>ROUND(M336*(1+取值表!$D$16)*取值表!$H$16,0)</f>
        <v>63738</v>
      </c>
      <c r="O336" s="44">
        <f>N336</f>
        <v>63738</v>
      </c>
      <c r="P336" s="44">
        <f>O336</f>
        <v>63738</v>
      </c>
      <c r="Q336" s="44">
        <f>P336</f>
        <v>63738</v>
      </c>
      <c r="R336" s="44">
        <f>ROUND(Q336*(1+取值表!$D$16)*取值表!$H$16,0)</f>
        <v>63601</v>
      </c>
      <c r="S336" s="44">
        <f t="shared" ref="S336:U336" si="5087">R336</f>
        <v>63601</v>
      </c>
      <c r="T336" s="44">
        <f t="shared" si="5087"/>
        <v>63601</v>
      </c>
      <c r="U336" s="44">
        <f t="shared" si="5087"/>
        <v>63601</v>
      </c>
      <c r="V336" s="44">
        <f>ROUND(U336*(1+取值表!$D$16)*取值表!$H$16,0)</f>
        <v>63464</v>
      </c>
      <c r="W336" s="44">
        <f t="shared" ref="W336:Y336" si="5088">V336</f>
        <v>63464</v>
      </c>
      <c r="X336" s="44">
        <f t="shared" si="5088"/>
        <v>63464</v>
      </c>
      <c r="Y336" s="44">
        <f t="shared" si="5088"/>
        <v>63464</v>
      </c>
      <c r="Z336" s="44">
        <f>ROUND(Y336*(1+取值表!$D$16)*取值表!$H$16,0)</f>
        <v>63328</v>
      </c>
      <c r="AA336" s="44">
        <f t="shared" ref="AA336:AC336" si="5089">Z336</f>
        <v>63328</v>
      </c>
      <c r="AB336" s="44">
        <f t="shared" si="5089"/>
        <v>63328</v>
      </c>
      <c r="AC336" s="44">
        <f t="shared" si="5089"/>
        <v>63328</v>
      </c>
      <c r="AD336" s="44">
        <f>ROUND(AC336*(1+取值表!$D$16)*取值表!$H$16,0)</f>
        <v>63192</v>
      </c>
      <c r="AE336" s="44">
        <f t="shared" ref="AE336:AG336" si="5090">AD336</f>
        <v>63192</v>
      </c>
      <c r="AF336" s="44">
        <f t="shared" si="5090"/>
        <v>63192</v>
      </c>
      <c r="AG336" s="44">
        <f t="shared" si="5090"/>
        <v>63192</v>
      </c>
      <c r="AH336" s="44">
        <f>ROUND(AG336*(1+取值表!$D$16)*取值表!$H$16,0)</f>
        <v>63056</v>
      </c>
      <c r="AI336" s="44">
        <f t="shared" ref="AI336:AK336" si="5091">AH336</f>
        <v>63056</v>
      </c>
      <c r="AJ336" s="44">
        <f t="shared" si="5091"/>
        <v>63056</v>
      </c>
      <c r="AK336" s="44">
        <f t="shared" si="5091"/>
        <v>63056</v>
      </c>
      <c r="AL336" s="44">
        <f>ROUND(AK336*(1+取值表!$D$16)*取值表!$H$16,0)</f>
        <v>62920</v>
      </c>
      <c r="AM336" s="44">
        <f t="shared" ref="AM336:AO336" si="5092">AL336</f>
        <v>62920</v>
      </c>
      <c r="AN336" s="44">
        <f t="shared" si="5092"/>
        <v>62920</v>
      </c>
      <c r="AO336" s="44">
        <f t="shared" si="5092"/>
        <v>62920</v>
      </c>
      <c r="AP336" s="44">
        <f>ROUND(AO336*(1+取值表!$D$16)*取值表!$H$16,0)</f>
        <v>62785</v>
      </c>
      <c r="AQ336" s="44">
        <f t="shared" ref="AQ336:AS336" si="5093">AP336</f>
        <v>62785</v>
      </c>
      <c r="AR336" s="44">
        <f t="shared" si="5093"/>
        <v>62785</v>
      </c>
      <c r="AS336" s="44">
        <f t="shared" si="5093"/>
        <v>62785</v>
      </c>
      <c r="AT336" s="44">
        <f>ROUND(AS336*(1+取值表!$D$16)*取值表!$H$16,0)</f>
        <v>62650</v>
      </c>
      <c r="AU336" s="44">
        <f t="shared" ref="AU336:AW336" si="5094">AT336</f>
        <v>62650</v>
      </c>
      <c r="AV336" s="44">
        <f t="shared" si="5094"/>
        <v>62650</v>
      </c>
      <c r="AW336" s="44">
        <f t="shared" si="5094"/>
        <v>62650</v>
      </c>
      <c r="AX336" s="44">
        <f>ROUND(AW336*(1+取值表!$D$16)*取值表!$H$16,0)</f>
        <v>62515</v>
      </c>
      <c r="AY336" s="44">
        <f t="shared" ref="AY336:BA336" si="5095">AX336</f>
        <v>62515</v>
      </c>
      <c r="AZ336" s="44">
        <f t="shared" si="5095"/>
        <v>62515</v>
      </c>
      <c r="BA336" s="44">
        <f t="shared" si="5095"/>
        <v>62515</v>
      </c>
      <c r="BB336" s="44">
        <f>ROUND(BA336*(1+取值表!$D$16)*取值表!$H$16,0)</f>
        <v>62381</v>
      </c>
      <c r="BC336" s="44">
        <f t="shared" ref="BC336:BE336" si="5096">BB336</f>
        <v>62381</v>
      </c>
      <c r="BD336" s="44">
        <f t="shared" si="5096"/>
        <v>62381</v>
      </c>
      <c r="BE336" s="44">
        <f t="shared" si="5096"/>
        <v>62381</v>
      </c>
      <c r="BF336" s="44">
        <f>ROUND(BE336*(1+取值表!$D$16)*取值表!$H$16,0)</f>
        <v>62247</v>
      </c>
      <c r="BG336" s="44">
        <f t="shared" ref="BG336:BI336" si="5097">BF336</f>
        <v>62247</v>
      </c>
      <c r="BH336" s="44">
        <f t="shared" si="5097"/>
        <v>62247</v>
      </c>
      <c r="BI336" s="44">
        <f t="shared" si="5097"/>
        <v>62247</v>
      </c>
      <c r="BJ336" s="44">
        <f>ROUND(BI336*(1+取值表!$D$16)*取值表!$H$16,0)</f>
        <v>62113</v>
      </c>
      <c r="BK336" s="44">
        <f t="shared" ref="BK336:BM336" si="5098">BJ336</f>
        <v>62113</v>
      </c>
      <c r="BL336" s="44">
        <f t="shared" si="5098"/>
        <v>62113</v>
      </c>
      <c r="BM336" s="44">
        <f t="shared" si="5098"/>
        <v>62113</v>
      </c>
      <c r="BN336" s="44">
        <f>ROUND(BM336*(1+取值表!$D$16)*取值表!$H$16,0)</f>
        <v>61979</v>
      </c>
      <c r="BO336" s="44">
        <f t="shared" ref="BO336:BQ336" si="5099">BN336</f>
        <v>61979</v>
      </c>
      <c r="BP336" s="44">
        <f t="shared" si="5099"/>
        <v>61979</v>
      </c>
      <c r="BQ336" s="44">
        <f t="shared" si="5099"/>
        <v>61979</v>
      </c>
      <c r="BR336" s="44">
        <f>ROUND(BQ336*(1+取值表!$D$16)*取值表!$H$16,0)</f>
        <v>61846</v>
      </c>
      <c r="BS336" s="44">
        <f t="shared" ref="BS336:BU336" si="5100">BR336</f>
        <v>61846</v>
      </c>
      <c r="BT336" s="44">
        <f t="shared" si="5100"/>
        <v>61846</v>
      </c>
      <c r="BU336" s="44">
        <f t="shared" si="5100"/>
        <v>61846</v>
      </c>
      <c r="BV336" s="44">
        <f>ROUND(BU336*(1+取值表!$D$16)*取值表!$H$16,0)</f>
        <v>61713</v>
      </c>
      <c r="BW336" s="44">
        <f t="shared" ref="BW336:BY336" si="5101">BV336</f>
        <v>61713</v>
      </c>
      <c r="BX336" s="44">
        <f t="shared" si="5101"/>
        <v>61713</v>
      </c>
      <c r="BY336" s="44">
        <f t="shared" si="5101"/>
        <v>61713</v>
      </c>
      <c r="BZ336" s="44">
        <f>ROUND(BY336*(1+取值表!$D$16)*取值表!$H$16,0)</f>
        <v>61580</v>
      </c>
      <c r="CA336" s="44">
        <f t="shared" ref="CA336:CC336" si="5102">BZ336</f>
        <v>61580</v>
      </c>
      <c r="CB336" s="44">
        <f t="shared" si="5102"/>
        <v>61580</v>
      </c>
      <c r="CC336" s="44">
        <f t="shared" si="5102"/>
        <v>61580</v>
      </c>
      <c r="CD336" s="44">
        <f>ROUND(CC336*(1+取值表!$D$16)*取值表!$H$16,0)</f>
        <v>61448</v>
      </c>
      <c r="CE336" s="44">
        <f t="shared" ref="CE336:CG336" si="5103">CD336</f>
        <v>61448</v>
      </c>
      <c r="CF336" s="44">
        <f t="shared" si="5103"/>
        <v>61448</v>
      </c>
      <c r="CG336" s="44">
        <f t="shared" si="5103"/>
        <v>61448</v>
      </c>
      <c r="CH336" s="44">
        <f>ROUND(CG336*(1+取值表!$D$16)*取值表!$H$16,0)</f>
        <v>61316</v>
      </c>
      <c r="CI336" s="44">
        <f t="shared" ref="CI336:CK336" si="5104">CH336</f>
        <v>61316</v>
      </c>
      <c r="CJ336" s="44">
        <f t="shared" si="5104"/>
        <v>61316</v>
      </c>
      <c r="CK336" s="44">
        <f t="shared" si="5104"/>
        <v>61316</v>
      </c>
      <c r="CL336" s="44">
        <f>ROUND(CK336*(1+取值表!$D$16)*取值表!$H$16,0)</f>
        <v>61184</v>
      </c>
      <c r="CM336" s="44">
        <f t="shared" ref="CM336:CO336" si="5105">CL336</f>
        <v>61184</v>
      </c>
      <c r="CN336" s="44">
        <f t="shared" si="5105"/>
        <v>61184</v>
      </c>
      <c r="CO336" s="44">
        <f t="shared" si="5105"/>
        <v>61184</v>
      </c>
      <c r="CP336" s="44">
        <f>ROUND(CO336*(1+取值表!$D$16)*取值表!$H$16,0)</f>
        <v>61052</v>
      </c>
      <c r="CQ336" s="44">
        <f t="shared" ref="CQ336" si="5106">CP336</f>
        <v>61052</v>
      </c>
      <c r="CR336" s="44">
        <f t="shared" ref="CR336" si="5107">CQ336</f>
        <v>61052</v>
      </c>
      <c r="CS336" s="44">
        <f t="shared" ref="CS336" si="5108">CR336</f>
        <v>61052</v>
      </c>
      <c r="CT336" s="44">
        <f>ROUND(CS336*(1+取值表!$D$16)*取值表!$H$16,0)</f>
        <v>60921</v>
      </c>
      <c r="CU336" s="44">
        <f t="shared" ref="CU336" si="5109">CT336</f>
        <v>60921</v>
      </c>
      <c r="CV336" s="44">
        <f t="shared" ref="CV336" si="5110">CU336</f>
        <v>60921</v>
      </c>
      <c r="CW336" s="44">
        <f t="shared" ref="CW336" si="5111">CV336</f>
        <v>60921</v>
      </c>
      <c r="CX336" s="44">
        <f>ROUND(CW336*(1+取值表!$D$16)*取值表!$H$16,0)</f>
        <v>60790</v>
      </c>
      <c r="CY336" s="44">
        <f t="shared" ref="CY336" si="5112">CX336</f>
        <v>60790</v>
      </c>
      <c r="CZ336" s="44">
        <f t="shared" ref="CZ336" si="5113">CY336</f>
        <v>60790</v>
      </c>
      <c r="DA336" s="44">
        <f t="shared" ref="DA336" si="5114">CZ336</f>
        <v>60790</v>
      </c>
      <c r="DB336" s="44">
        <f>ROUND(DA336*(1+取值表!$D$16)*取值表!$H$16,0)</f>
        <v>60659</v>
      </c>
      <c r="DC336" s="44">
        <f t="shared" ref="DC336" si="5115">DB336</f>
        <v>60659</v>
      </c>
      <c r="DD336" s="44">
        <f t="shared" ref="DD336" si="5116">DC336</f>
        <v>60659</v>
      </c>
      <c r="DE336" s="44">
        <f t="shared" ref="DE336" si="5117">DD336</f>
        <v>60659</v>
      </c>
      <c r="DF336" s="45">
        <f t="shared" si="4935"/>
        <v>6225412</v>
      </c>
    </row>
    <row r="337" spans="1:228" s="40" customFormat="1" ht="12">
      <c r="A337" s="505"/>
      <c r="B337" s="535"/>
      <c r="C337" s="531"/>
      <c r="D337" s="533"/>
      <c r="E337" s="515"/>
      <c r="F337" s="525"/>
      <c r="G337" s="525"/>
      <c r="H337" s="527"/>
      <c r="I337" s="41"/>
      <c r="J337" s="42"/>
      <c r="K337" s="44"/>
      <c r="L337" s="44"/>
      <c r="M337" s="44"/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  <c r="AH337" s="44"/>
      <c r="AI337" s="44"/>
      <c r="AJ337" s="44"/>
      <c r="AK337" s="44"/>
      <c r="AL337" s="44"/>
      <c r="AM337" s="44"/>
      <c r="AN337" s="44"/>
      <c r="AO337" s="44"/>
      <c r="AP337" s="44"/>
      <c r="AQ337" s="44"/>
      <c r="AR337" s="44"/>
      <c r="AS337" s="44"/>
      <c r="AT337" s="44"/>
      <c r="AU337" s="44"/>
      <c r="AV337" s="44"/>
      <c r="AW337" s="44"/>
      <c r="AX337" s="44"/>
      <c r="AY337" s="44"/>
      <c r="AZ337" s="44"/>
      <c r="BA337" s="44"/>
      <c r="BB337" s="44"/>
      <c r="BC337" s="44"/>
      <c r="BD337" s="44"/>
      <c r="BE337" s="44"/>
      <c r="BF337" s="44"/>
      <c r="BG337" s="44"/>
      <c r="BH337" s="44"/>
      <c r="BI337" s="44"/>
      <c r="BJ337" s="44"/>
      <c r="BK337" s="44"/>
      <c r="BL337" s="44"/>
      <c r="BM337" s="44"/>
      <c r="BN337" s="44"/>
      <c r="BO337" s="44"/>
      <c r="BP337" s="44"/>
      <c r="BQ337" s="44"/>
      <c r="BR337" s="44"/>
      <c r="BS337" s="44"/>
      <c r="BT337" s="44"/>
      <c r="BU337" s="44"/>
      <c r="BV337" s="44"/>
      <c r="BW337" s="44"/>
      <c r="BX337" s="44"/>
      <c r="BY337" s="44"/>
      <c r="BZ337" s="44"/>
      <c r="CA337" s="44"/>
      <c r="CB337" s="44"/>
      <c r="CC337" s="44"/>
      <c r="CD337" s="44"/>
      <c r="CE337" s="44"/>
      <c r="CF337" s="44"/>
      <c r="CG337" s="44"/>
      <c r="CH337" s="44"/>
      <c r="CI337" s="44"/>
      <c r="CJ337" s="44"/>
      <c r="CK337" s="44"/>
      <c r="CL337" s="44"/>
      <c r="CM337" s="44"/>
      <c r="CN337" s="44"/>
      <c r="CO337" s="44"/>
      <c r="CP337" s="44"/>
      <c r="CQ337" s="44"/>
      <c r="CR337" s="44"/>
      <c r="CS337" s="44"/>
      <c r="CT337" s="44"/>
      <c r="CU337" s="44"/>
      <c r="CV337" s="44"/>
      <c r="CW337" s="44"/>
      <c r="CX337" s="44"/>
      <c r="CY337" s="44"/>
      <c r="CZ337" s="44"/>
      <c r="DA337" s="44"/>
      <c r="DB337" s="44"/>
      <c r="DC337" s="44"/>
      <c r="DD337" s="44"/>
      <c r="DE337" s="44"/>
      <c r="DF337" s="45">
        <f t="shared" si="4935"/>
        <v>0</v>
      </c>
    </row>
    <row r="338" spans="1:228" s="40" customFormat="1" ht="12" customHeight="1">
      <c r="A338" s="504">
        <v>173</v>
      </c>
      <c r="B338" s="528" t="s">
        <v>304</v>
      </c>
      <c r="C338" s="530" t="s">
        <v>293</v>
      </c>
      <c r="D338" s="532" t="s">
        <v>305</v>
      </c>
      <c r="E338" s="514" t="s">
        <v>526</v>
      </c>
      <c r="F338" s="524">
        <v>288.97000000000003</v>
      </c>
      <c r="G338" s="524">
        <v>5.5</v>
      </c>
      <c r="H338" s="526">
        <f>F338*G338*365</f>
        <v>580107.27500000002</v>
      </c>
      <c r="I338" s="41">
        <v>142389.97</v>
      </c>
      <c r="J338" s="42">
        <f>ROUND(G338*F338*365/4,0)</f>
        <v>145027</v>
      </c>
      <c r="K338" s="44">
        <f t="shared" ref="K338:R338" si="5118">J338</f>
        <v>145027</v>
      </c>
      <c r="L338" s="44">
        <f t="shared" si="5118"/>
        <v>145027</v>
      </c>
      <c r="M338" s="44">
        <f t="shared" si="5118"/>
        <v>145027</v>
      </c>
      <c r="N338" s="44">
        <f t="shared" si="5118"/>
        <v>145027</v>
      </c>
      <c r="O338" s="44">
        <f t="shared" si="5118"/>
        <v>145027</v>
      </c>
      <c r="P338" s="44">
        <f t="shared" si="5118"/>
        <v>145027</v>
      </c>
      <c r="Q338" s="44">
        <f t="shared" si="5118"/>
        <v>145027</v>
      </c>
      <c r="R338" s="43">
        <f t="shared" si="5118"/>
        <v>145027</v>
      </c>
      <c r="S338" s="44">
        <f>R338</f>
        <v>145027</v>
      </c>
      <c r="T338" s="44">
        <f>S338</f>
        <v>145027</v>
      </c>
      <c r="U338" s="44">
        <f>T338</f>
        <v>145027</v>
      </c>
      <c r="V338" s="44">
        <f>ROUND(U338*(1+取值表!$D$16)*取值表!$H$16,0)</f>
        <v>144715</v>
      </c>
      <c r="W338" s="44">
        <f>V338</f>
        <v>144715</v>
      </c>
      <c r="X338" s="44">
        <f>W338</f>
        <v>144715</v>
      </c>
      <c r="Y338" s="44">
        <f>X338</f>
        <v>144715</v>
      </c>
      <c r="Z338" s="44">
        <f>ROUND(Y338*(1+取值表!$D$16)*取值表!$H$16,0)</f>
        <v>144404</v>
      </c>
      <c r="AA338" s="44">
        <f t="shared" ref="AA338:AC338" si="5119">Z338</f>
        <v>144404</v>
      </c>
      <c r="AB338" s="44">
        <f t="shared" si="5119"/>
        <v>144404</v>
      </c>
      <c r="AC338" s="44">
        <f t="shared" si="5119"/>
        <v>144404</v>
      </c>
      <c r="AD338" s="44">
        <f>ROUND(AC338*(1+取值表!$D$16)*取值表!$H$16,0)</f>
        <v>144094</v>
      </c>
      <c r="AE338" s="44">
        <f t="shared" ref="AE338:AG338" si="5120">AD338</f>
        <v>144094</v>
      </c>
      <c r="AF338" s="44">
        <f t="shared" si="5120"/>
        <v>144094</v>
      </c>
      <c r="AG338" s="44">
        <f t="shared" si="5120"/>
        <v>144094</v>
      </c>
      <c r="AH338" s="44">
        <f>ROUND(AG338*(1+取值表!$D$16)*取值表!$H$16,0)</f>
        <v>143784</v>
      </c>
      <c r="AI338" s="44">
        <f t="shared" ref="AI338:AK338" si="5121">AH338</f>
        <v>143784</v>
      </c>
      <c r="AJ338" s="44">
        <f t="shared" si="5121"/>
        <v>143784</v>
      </c>
      <c r="AK338" s="44">
        <f t="shared" si="5121"/>
        <v>143784</v>
      </c>
      <c r="AL338" s="44">
        <f>ROUND(AK338*(1+取值表!$D$16)*取值表!$H$16,0)</f>
        <v>143475</v>
      </c>
      <c r="AM338" s="44">
        <f t="shared" ref="AM338:AO338" si="5122">AL338</f>
        <v>143475</v>
      </c>
      <c r="AN338" s="44">
        <f t="shared" si="5122"/>
        <v>143475</v>
      </c>
      <c r="AO338" s="44">
        <f t="shared" si="5122"/>
        <v>143475</v>
      </c>
      <c r="AP338" s="44">
        <f>ROUND(AO338*(1+取值表!$D$16)*取值表!$H$16,0)</f>
        <v>143167</v>
      </c>
      <c r="AQ338" s="44">
        <f t="shared" ref="AQ338:AS338" si="5123">AP338</f>
        <v>143167</v>
      </c>
      <c r="AR338" s="44">
        <f t="shared" si="5123"/>
        <v>143167</v>
      </c>
      <c r="AS338" s="44">
        <f t="shared" si="5123"/>
        <v>143167</v>
      </c>
      <c r="AT338" s="44">
        <f>ROUND(AS338*(1+取值表!$D$16)*取值表!$H$16,0)</f>
        <v>142859</v>
      </c>
      <c r="AU338" s="44">
        <f t="shared" ref="AU338:AW338" si="5124">AT338</f>
        <v>142859</v>
      </c>
      <c r="AV338" s="44">
        <f t="shared" si="5124"/>
        <v>142859</v>
      </c>
      <c r="AW338" s="44">
        <f t="shared" si="5124"/>
        <v>142859</v>
      </c>
      <c r="AX338" s="44">
        <f>ROUND(AW338*(1+取值表!$D$16)*取值表!$H$16,0)</f>
        <v>142552</v>
      </c>
      <c r="AY338" s="44">
        <f t="shared" ref="AY338:BA338" si="5125">AX338</f>
        <v>142552</v>
      </c>
      <c r="AZ338" s="44">
        <f t="shared" si="5125"/>
        <v>142552</v>
      </c>
      <c r="BA338" s="44">
        <f t="shared" si="5125"/>
        <v>142552</v>
      </c>
      <c r="BB338" s="44">
        <f>ROUND(BA338*(1+取值表!$D$16)*取值表!$H$16,0)</f>
        <v>142246</v>
      </c>
      <c r="BC338" s="44">
        <f t="shared" ref="BC338:BE338" si="5126">BB338</f>
        <v>142246</v>
      </c>
      <c r="BD338" s="44">
        <f t="shared" si="5126"/>
        <v>142246</v>
      </c>
      <c r="BE338" s="44">
        <f t="shared" si="5126"/>
        <v>142246</v>
      </c>
      <c r="BF338" s="44">
        <f>ROUND(BE338*(1+取值表!$D$16)*取值表!$H$16,0)</f>
        <v>141940</v>
      </c>
      <c r="BG338" s="44">
        <f t="shared" ref="BG338:BI338" si="5127">BF338</f>
        <v>141940</v>
      </c>
      <c r="BH338" s="44">
        <f t="shared" si="5127"/>
        <v>141940</v>
      </c>
      <c r="BI338" s="44">
        <f t="shared" si="5127"/>
        <v>141940</v>
      </c>
      <c r="BJ338" s="44">
        <f>ROUND(BI338*(1+取值表!$D$16)*取值表!$H$16,0)</f>
        <v>141635</v>
      </c>
      <c r="BK338" s="44">
        <f t="shared" ref="BK338:BM338" si="5128">BJ338</f>
        <v>141635</v>
      </c>
      <c r="BL338" s="44">
        <f t="shared" si="5128"/>
        <v>141635</v>
      </c>
      <c r="BM338" s="44">
        <f t="shared" si="5128"/>
        <v>141635</v>
      </c>
      <c r="BN338" s="44">
        <f>ROUND(BM338*(1+取值表!$D$16)*取值表!$H$16,0)</f>
        <v>141331</v>
      </c>
      <c r="BO338" s="44">
        <f t="shared" ref="BO338:BQ338" si="5129">BN338</f>
        <v>141331</v>
      </c>
      <c r="BP338" s="44">
        <f t="shared" si="5129"/>
        <v>141331</v>
      </c>
      <c r="BQ338" s="44">
        <f t="shared" si="5129"/>
        <v>141331</v>
      </c>
      <c r="BR338" s="44">
        <f>ROUND(BQ338*(1+取值表!$D$16)*取值表!$H$16,0)</f>
        <v>141027</v>
      </c>
      <c r="BS338" s="44">
        <f t="shared" ref="BS338:BU338" si="5130">BR338</f>
        <v>141027</v>
      </c>
      <c r="BT338" s="44">
        <f t="shared" si="5130"/>
        <v>141027</v>
      </c>
      <c r="BU338" s="44">
        <f t="shared" si="5130"/>
        <v>141027</v>
      </c>
      <c r="BV338" s="44">
        <f>ROUND(BU338*(1+取值表!$D$16)*取值表!$H$16,0)</f>
        <v>140724</v>
      </c>
      <c r="BW338" s="44">
        <f t="shared" ref="BW338:BY338" si="5131">BV338</f>
        <v>140724</v>
      </c>
      <c r="BX338" s="44">
        <f t="shared" si="5131"/>
        <v>140724</v>
      </c>
      <c r="BY338" s="44">
        <f t="shared" si="5131"/>
        <v>140724</v>
      </c>
      <c r="BZ338" s="44">
        <f>ROUND(BY338*(1+取值表!$D$16)*取值表!$H$16,0)</f>
        <v>140421</v>
      </c>
      <c r="CA338" s="44">
        <f t="shared" ref="CA338:CC338" si="5132">BZ338</f>
        <v>140421</v>
      </c>
      <c r="CB338" s="44">
        <f t="shared" si="5132"/>
        <v>140421</v>
      </c>
      <c r="CC338" s="44">
        <f t="shared" si="5132"/>
        <v>140421</v>
      </c>
      <c r="CD338" s="44">
        <f>ROUND(CC338*(1+取值表!$D$16)*取值表!$H$16,0)</f>
        <v>140119</v>
      </c>
      <c r="CE338" s="44">
        <f t="shared" ref="CE338:CG338" si="5133">CD338</f>
        <v>140119</v>
      </c>
      <c r="CF338" s="44">
        <f t="shared" si="5133"/>
        <v>140119</v>
      </c>
      <c r="CG338" s="44">
        <f t="shared" si="5133"/>
        <v>140119</v>
      </c>
      <c r="CH338" s="44">
        <f>ROUND(CG338*(1+取值表!$D$16)*取值表!$H$16,0)</f>
        <v>139818</v>
      </c>
      <c r="CI338" s="44">
        <f t="shared" ref="CI338:CK338" si="5134">CH338</f>
        <v>139818</v>
      </c>
      <c r="CJ338" s="44">
        <f t="shared" si="5134"/>
        <v>139818</v>
      </c>
      <c r="CK338" s="44">
        <f t="shared" si="5134"/>
        <v>139818</v>
      </c>
      <c r="CL338" s="44">
        <f>ROUND(CK338*(1+取值表!$D$16)*取值表!$H$16,0)</f>
        <v>139517</v>
      </c>
      <c r="CM338" s="44">
        <f t="shared" ref="CM338:CO338" si="5135">CL338</f>
        <v>139517</v>
      </c>
      <c r="CN338" s="44">
        <f t="shared" si="5135"/>
        <v>139517</v>
      </c>
      <c r="CO338" s="44">
        <f t="shared" si="5135"/>
        <v>139517</v>
      </c>
      <c r="CP338" s="44">
        <f>ROUND(CO338*(1+取值表!$D$16)*取值表!$H$16,0)</f>
        <v>139217</v>
      </c>
      <c r="CQ338" s="44">
        <f t="shared" ref="CQ338" si="5136">CP338</f>
        <v>139217</v>
      </c>
      <c r="CR338" s="44">
        <f t="shared" ref="CR338" si="5137">CQ338</f>
        <v>139217</v>
      </c>
      <c r="CS338" s="44">
        <f t="shared" ref="CS338" si="5138">CR338</f>
        <v>139217</v>
      </c>
      <c r="CT338" s="44">
        <f>ROUND(CS338*(1+取值表!$D$16)*取值表!$H$16,0)</f>
        <v>138918</v>
      </c>
      <c r="CU338" s="44">
        <f t="shared" ref="CU338" si="5139">CT338</f>
        <v>138918</v>
      </c>
      <c r="CV338" s="44">
        <f t="shared" ref="CV338" si="5140">CU338</f>
        <v>138918</v>
      </c>
      <c r="CW338" s="44">
        <f t="shared" ref="CW338" si="5141">CV338</f>
        <v>138918</v>
      </c>
      <c r="CX338" s="44">
        <f>ROUND(CW338*(1+取值表!$D$16)*取值表!$H$16,0)</f>
        <v>138619</v>
      </c>
      <c r="CY338" s="44">
        <f t="shared" ref="CY338" si="5142">CX338</f>
        <v>138619</v>
      </c>
      <c r="CZ338" s="44">
        <f t="shared" ref="CZ338" si="5143">CY338</f>
        <v>138619</v>
      </c>
      <c r="DA338" s="44">
        <f t="shared" ref="DA338" si="5144">CZ338</f>
        <v>138619</v>
      </c>
      <c r="DB338" s="44">
        <f>ROUND(DA338*(1+取值表!$D$16)*取值表!$H$16,0)</f>
        <v>138321</v>
      </c>
      <c r="DC338" s="44">
        <f t="shared" ref="DC338" si="5145">DB338</f>
        <v>138321</v>
      </c>
      <c r="DD338" s="44">
        <f t="shared" ref="DD338" si="5146">DC338</f>
        <v>138321</v>
      </c>
      <c r="DE338" s="44">
        <f t="shared" ref="DE338" si="5147">DD338</f>
        <v>138321</v>
      </c>
      <c r="DF338" s="45">
        <f t="shared" si="4935"/>
        <v>14191936</v>
      </c>
    </row>
    <row r="339" spans="1:228" s="40" customFormat="1" ht="12">
      <c r="A339" s="505"/>
      <c r="B339" s="529"/>
      <c r="C339" s="531"/>
      <c r="D339" s="533"/>
      <c r="E339" s="515"/>
      <c r="F339" s="525"/>
      <c r="G339" s="525"/>
      <c r="H339" s="527"/>
      <c r="I339" s="41"/>
      <c r="J339" s="42"/>
      <c r="K339" s="44"/>
      <c r="L339" s="44"/>
      <c r="M339" s="44"/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  <c r="AH339" s="44"/>
      <c r="AI339" s="44"/>
      <c r="AJ339" s="44"/>
      <c r="AK339" s="44"/>
      <c r="AL339" s="44"/>
      <c r="AM339" s="44"/>
      <c r="AN339" s="44"/>
      <c r="AO339" s="44"/>
      <c r="AP339" s="44"/>
      <c r="AQ339" s="44"/>
      <c r="AR339" s="44"/>
      <c r="AS339" s="44"/>
      <c r="AT339" s="44"/>
      <c r="AU339" s="44"/>
      <c r="AV339" s="44"/>
      <c r="AW339" s="44"/>
      <c r="AX339" s="44"/>
      <c r="AY339" s="44"/>
      <c r="AZ339" s="44"/>
      <c r="BA339" s="44"/>
      <c r="BB339" s="44"/>
      <c r="BC339" s="44"/>
      <c r="BD339" s="44"/>
      <c r="BE339" s="44"/>
      <c r="BF339" s="44"/>
      <c r="BG339" s="44"/>
      <c r="BH339" s="44"/>
      <c r="BI339" s="44"/>
      <c r="BJ339" s="44"/>
      <c r="BK339" s="44"/>
      <c r="BL339" s="44"/>
      <c r="BM339" s="44"/>
      <c r="BN339" s="44"/>
      <c r="BO339" s="44"/>
      <c r="BP339" s="44"/>
      <c r="BQ339" s="44"/>
      <c r="BR339" s="44"/>
      <c r="BS339" s="44"/>
      <c r="BT339" s="44"/>
      <c r="BU339" s="44"/>
      <c r="BV339" s="44"/>
      <c r="BW339" s="44"/>
      <c r="BX339" s="44"/>
      <c r="BY339" s="44"/>
      <c r="BZ339" s="44"/>
      <c r="CA339" s="44"/>
      <c r="CB339" s="44"/>
      <c r="CC339" s="44"/>
      <c r="CD339" s="44"/>
      <c r="CE339" s="44"/>
      <c r="CF339" s="44"/>
      <c r="CG339" s="44"/>
      <c r="CH339" s="44"/>
      <c r="CI339" s="44"/>
      <c r="CJ339" s="44"/>
      <c r="CK339" s="44"/>
      <c r="CL339" s="44"/>
      <c r="CM339" s="44"/>
      <c r="CN339" s="44"/>
      <c r="CO339" s="44"/>
      <c r="CP339" s="44"/>
      <c r="CQ339" s="44"/>
      <c r="CR339" s="44"/>
      <c r="CS339" s="44"/>
      <c r="CT339" s="44"/>
      <c r="CU339" s="44"/>
      <c r="CV339" s="44"/>
      <c r="CW339" s="44"/>
      <c r="CX339" s="44"/>
      <c r="CY339" s="44"/>
      <c r="CZ339" s="44"/>
      <c r="DA339" s="44"/>
      <c r="DB339" s="44"/>
      <c r="DC339" s="44"/>
      <c r="DD339" s="44"/>
      <c r="DE339" s="44"/>
      <c r="DF339" s="45">
        <f t="shared" si="4935"/>
        <v>0</v>
      </c>
    </row>
    <row r="340" spans="1:228" s="40" customFormat="1" ht="12">
      <c r="A340" s="504">
        <v>174</v>
      </c>
      <c r="B340" s="528" t="s">
        <v>306</v>
      </c>
      <c r="C340" s="530" t="s">
        <v>274</v>
      </c>
      <c r="D340" s="532" t="s">
        <v>307</v>
      </c>
      <c r="E340" s="514" t="s">
        <v>526</v>
      </c>
      <c r="F340" s="524">
        <v>98.58</v>
      </c>
      <c r="G340" s="524">
        <v>11</v>
      </c>
      <c r="H340" s="526">
        <f>F340*G340*365</f>
        <v>395798.69999999995</v>
      </c>
      <c r="I340" s="41">
        <v>98949.68</v>
      </c>
      <c r="J340" s="42">
        <f>ROUND(G340*F340*365/4,0)</f>
        <v>98950</v>
      </c>
      <c r="K340" s="43">
        <f>J340</f>
        <v>98950</v>
      </c>
      <c r="L340" s="44">
        <f>K340</f>
        <v>98950</v>
      </c>
      <c r="M340" s="44">
        <f>L340</f>
        <v>98950</v>
      </c>
      <c r="N340" s="44">
        <f>ROUND(M340*(1+取值表!$D$16)*取值表!$H$16,0)</f>
        <v>98737</v>
      </c>
      <c r="O340" s="44">
        <f>N340</f>
        <v>98737</v>
      </c>
      <c r="P340" s="44">
        <f>O340</f>
        <v>98737</v>
      </c>
      <c r="Q340" s="44">
        <f>P340</f>
        <v>98737</v>
      </c>
      <c r="R340" s="44">
        <f>ROUND(Q340*(1+取值表!$D$16)*取值表!$H$16,0)</f>
        <v>98525</v>
      </c>
      <c r="S340" s="44">
        <f>R340</f>
        <v>98525</v>
      </c>
      <c r="T340" s="44">
        <f>S340</f>
        <v>98525</v>
      </c>
      <c r="U340" s="44">
        <f>T340</f>
        <v>98525</v>
      </c>
      <c r="V340" s="44">
        <f>ROUND(U340*(1+取值表!$D$16)*取值表!$H$16,0)</f>
        <v>98313</v>
      </c>
      <c r="W340" s="44">
        <f t="shared" ref="W340:Y340" si="5148">V340</f>
        <v>98313</v>
      </c>
      <c r="X340" s="44">
        <f t="shared" si="5148"/>
        <v>98313</v>
      </c>
      <c r="Y340" s="44">
        <f t="shared" si="5148"/>
        <v>98313</v>
      </c>
      <c r="Z340" s="44">
        <f>ROUND(Y340*(1+取值表!$D$16)*取值表!$H$16,0)</f>
        <v>98102</v>
      </c>
      <c r="AA340" s="44">
        <f t="shared" ref="AA340:AC340" si="5149">Z340</f>
        <v>98102</v>
      </c>
      <c r="AB340" s="44">
        <f t="shared" si="5149"/>
        <v>98102</v>
      </c>
      <c r="AC340" s="44">
        <f t="shared" si="5149"/>
        <v>98102</v>
      </c>
      <c r="AD340" s="44">
        <f>ROUND(AC340*(1+取值表!$D$16)*取值表!$H$16,0)</f>
        <v>97891</v>
      </c>
      <c r="AE340" s="44">
        <f t="shared" ref="AE340:AG340" si="5150">AD340</f>
        <v>97891</v>
      </c>
      <c r="AF340" s="44">
        <f t="shared" si="5150"/>
        <v>97891</v>
      </c>
      <c r="AG340" s="44">
        <f t="shared" si="5150"/>
        <v>97891</v>
      </c>
      <c r="AH340" s="44">
        <f>ROUND(AG340*(1+取值表!$D$16)*取值表!$H$16,0)</f>
        <v>97681</v>
      </c>
      <c r="AI340" s="44">
        <f t="shared" ref="AI340:AK340" si="5151">AH340</f>
        <v>97681</v>
      </c>
      <c r="AJ340" s="44">
        <f t="shared" si="5151"/>
        <v>97681</v>
      </c>
      <c r="AK340" s="44">
        <f t="shared" si="5151"/>
        <v>97681</v>
      </c>
      <c r="AL340" s="44">
        <f>ROUND(AK340*(1+取值表!$D$16)*取值表!$H$16,0)</f>
        <v>97471</v>
      </c>
      <c r="AM340" s="44">
        <f t="shared" ref="AM340:AO340" si="5152">AL340</f>
        <v>97471</v>
      </c>
      <c r="AN340" s="44">
        <f t="shared" si="5152"/>
        <v>97471</v>
      </c>
      <c r="AO340" s="44">
        <f t="shared" si="5152"/>
        <v>97471</v>
      </c>
      <c r="AP340" s="44">
        <f>ROUND(AO340*(1+取值表!$D$16)*取值表!$H$16,0)</f>
        <v>97261</v>
      </c>
      <c r="AQ340" s="44">
        <f t="shared" ref="AQ340:AS340" si="5153">AP340</f>
        <v>97261</v>
      </c>
      <c r="AR340" s="44">
        <f t="shared" si="5153"/>
        <v>97261</v>
      </c>
      <c r="AS340" s="44">
        <f t="shared" si="5153"/>
        <v>97261</v>
      </c>
      <c r="AT340" s="44">
        <f>ROUND(AS340*(1+取值表!$D$16)*取值表!$H$16,0)</f>
        <v>97052</v>
      </c>
      <c r="AU340" s="44">
        <f t="shared" ref="AU340:AW340" si="5154">AT340</f>
        <v>97052</v>
      </c>
      <c r="AV340" s="44">
        <f t="shared" si="5154"/>
        <v>97052</v>
      </c>
      <c r="AW340" s="44">
        <f t="shared" si="5154"/>
        <v>97052</v>
      </c>
      <c r="AX340" s="44">
        <f>ROUND(AW340*(1+取值表!$D$16)*取值表!$H$16,0)</f>
        <v>96843</v>
      </c>
      <c r="AY340" s="44">
        <f t="shared" ref="AY340:BA340" si="5155">AX340</f>
        <v>96843</v>
      </c>
      <c r="AZ340" s="44">
        <f t="shared" si="5155"/>
        <v>96843</v>
      </c>
      <c r="BA340" s="44">
        <f t="shared" si="5155"/>
        <v>96843</v>
      </c>
      <c r="BB340" s="44">
        <f>ROUND(BA340*(1+取值表!$D$16)*取值表!$H$16,0)</f>
        <v>96635</v>
      </c>
      <c r="BC340" s="44">
        <f t="shared" ref="BC340:BE340" si="5156">BB340</f>
        <v>96635</v>
      </c>
      <c r="BD340" s="44">
        <f t="shared" si="5156"/>
        <v>96635</v>
      </c>
      <c r="BE340" s="44">
        <f t="shared" si="5156"/>
        <v>96635</v>
      </c>
      <c r="BF340" s="44">
        <f>ROUND(BE340*(1+取值表!$D$16)*取值表!$H$16,0)</f>
        <v>96427</v>
      </c>
      <c r="BG340" s="44">
        <f t="shared" ref="BG340:BI340" si="5157">BF340</f>
        <v>96427</v>
      </c>
      <c r="BH340" s="44">
        <f t="shared" si="5157"/>
        <v>96427</v>
      </c>
      <c r="BI340" s="44">
        <f t="shared" si="5157"/>
        <v>96427</v>
      </c>
      <c r="BJ340" s="44">
        <f>ROUND(BI340*(1+取值表!$D$16)*取值表!$H$16,0)</f>
        <v>96220</v>
      </c>
      <c r="BK340" s="44">
        <f t="shared" ref="BK340:BM340" si="5158">BJ340</f>
        <v>96220</v>
      </c>
      <c r="BL340" s="44">
        <f t="shared" si="5158"/>
        <v>96220</v>
      </c>
      <c r="BM340" s="44">
        <f t="shared" si="5158"/>
        <v>96220</v>
      </c>
      <c r="BN340" s="44">
        <f>ROUND(BM340*(1+取值表!$D$16)*取值表!$H$16,0)</f>
        <v>96013</v>
      </c>
      <c r="BO340" s="44">
        <f t="shared" ref="BO340:BQ340" si="5159">BN340</f>
        <v>96013</v>
      </c>
      <c r="BP340" s="44">
        <f t="shared" si="5159"/>
        <v>96013</v>
      </c>
      <c r="BQ340" s="44">
        <f t="shared" si="5159"/>
        <v>96013</v>
      </c>
      <c r="BR340" s="44">
        <f>ROUND(BQ340*(1+取值表!$D$16)*取值表!$H$16,0)</f>
        <v>95807</v>
      </c>
      <c r="BS340" s="44">
        <f t="shared" ref="BS340:BU340" si="5160">BR340</f>
        <v>95807</v>
      </c>
      <c r="BT340" s="44">
        <f t="shared" si="5160"/>
        <v>95807</v>
      </c>
      <c r="BU340" s="44">
        <f t="shared" si="5160"/>
        <v>95807</v>
      </c>
      <c r="BV340" s="44">
        <f>ROUND(BU340*(1+取值表!$D$16)*取值表!$H$16,0)</f>
        <v>95601</v>
      </c>
      <c r="BW340" s="44">
        <f t="shared" ref="BW340:BY340" si="5161">BV340</f>
        <v>95601</v>
      </c>
      <c r="BX340" s="44">
        <f t="shared" si="5161"/>
        <v>95601</v>
      </c>
      <c r="BY340" s="44">
        <f t="shared" si="5161"/>
        <v>95601</v>
      </c>
      <c r="BZ340" s="44">
        <f>ROUND(BY340*(1+取值表!$D$16)*取值表!$H$16,0)</f>
        <v>95395</v>
      </c>
      <c r="CA340" s="44">
        <f t="shared" ref="CA340:CC340" si="5162">BZ340</f>
        <v>95395</v>
      </c>
      <c r="CB340" s="44">
        <f t="shared" si="5162"/>
        <v>95395</v>
      </c>
      <c r="CC340" s="44">
        <f t="shared" si="5162"/>
        <v>95395</v>
      </c>
      <c r="CD340" s="44">
        <f>ROUND(CC340*(1+取值表!$D$16)*取值表!$H$16,0)</f>
        <v>95190</v>
      </c>
      <c r="CE340" s="44">
        <f t="shared" ref="CE340:CG340" si="5163">CD340</f>
        <v>95190</v>
      </c>
      <c r="CF340" s="44">
        <f t="shared" si="5163"/>
        <v>95190</v>
      </c>
      <c r="CG340" s="44">
        <f t="shared" si="5163"/>
        <v>95190</v>
      </c>
      <c r="CH340" s="44">
        <f>ROUND(CG340*(1+取值表!$D$16)*取值表!$H$16,0)</f>
        <v>94985</v>
      </c>
      <c r="CI340" s="44">
        <f t="shared" ref="CI340:CK340" si="5164">CH340</f>
        <v>94985</v>
      </c>
      <c r="CJ340" s="44">
        <f t="shared" si="5164"/>
        <v>94985</v>
      </c>
      <c r="CK340" s="44">
        <f t="shared" si="5164"/>
        <v>94985</v>
      </c>
      <c r="CL340" s="44">
        <f>ROUND(CK340*(1+取值表!$D$16)*取值表!$H$16,0)</f>
        <v>94781</v>
      </c>
      <c r="CM340" s="44">
        <f t="shared" ref="CM340:CO340" si="5165">CL340</f>
        <v>94781</v>
      </c>
      <c r="CN340" s="44">
        <f t="shared" si="5165"/>
        <v>94781</v>
      </c>
      <c r="CO340" s="44">
        <f t="shared" si="5165"/>
        <v>94781</v>
      </c>
      <c r="CP340" s="44">
        <f>ROUND(CO340*(1+取值表!$D$16)*取值表!$H$16,0)</f>
        <v>94577</v>
      </c>
      <c r="CQ340" s="44">
        <f t="shared" ref="CQ340" si="5166">CP340</f>
        <v>94577</v>
      </c>
      <c r="CR340" s="44">
        <f t="shared" ref="CR340" si="5167">CQ340</f>
        <v>94577</v>
      </c>
      <c r="CS340" s="44">
        <f t="shared" ref="CS340" si="5168">CR340</f>
        <v>94577</v>
      </c>
      <c r="CT340" s="44">
        <f>ROUND(CS340*(1+取值表!$D$16)*取值表!$H$16,0)</f>
        <v>94374</v>
      </c>
      <c r="CU340" s="44">
        <f t="shared" ref="CU340" si="5169">CT340</f>
        <v>94374</v>
      </c>
      <c r="CV340" s="44">
        <f t="shared" ref="CV340" si="5170">CU340</f>
        <v>94374</v>
      </c>
      <c r="CW340" s="44">
        <f t="shared" ref="CW340" si="5171">CV340</f>
        <v>94374</v>
      </c>
      <c r="CX340" s="44">
        <f>ROUND(CW340*(1+取值表!$D$16)*取值表!$H$16,0)</f>
        <v>94171</v>
      </c>
      <c r="CY340" s="44">
        <f t="shared" ref="CY340" si="5172">CX340</f>
        <v>94171</v>
      </c>
      <c r="CZ340" s="44">
        <f t="shared" ref="CZ340" si="5173">CY340</f>
        <v>94171</v>
      </c>
      <c r="DA340" s="44">
        <f t="shared" ref="DA340" si="5174">CZ340</f>
        <v>94171</v>
      </c>
      <c r="DB340" s="44">
        <f>ROUND(DA340*(1+取值表!$D$16)*取值表!$H$16,0)</f>
        <v>93969</v>
      </c>
      <c r="DC340" s="44">
        <f t="shared" ref="DC340" si="5175">DB340</f>
        <v>93969</v>
      </c>
      <c r="DD340" s="44">
        <f t="shared" ref="DD340" si="5176">DC340</f>
        <v>93969</v>
      </c>
      <c r="DE340" s="44">
        <f t="shared" ref="DE340" si="5177">DD340</f>
        <v>93969</v>
      </c>
      <c r="DF340" s="45">
        <f t="shared" si="4935"/>
        <v>9643884</v>
      </c>
    </row>
    <row r="341" spans="1:228" s="40" customFormat="1" ht="12">
      <c r="A341" s="505"/>
      <c r="B341" s="529"/>
      <c r="C341" s="531"/>
      <c r="D341" s="533"/>
      <c r="E341" s="515"/>
      <c r="F341" s="525"/>
      <c r="G341" s="525"/>
      <c r="H341" s="527"/>
      <c r="I341" s="41"/>
      <c r="J341" s="42"/>
      <c r="K341" s="44"/>
      <c r="L341" s="44"/>
      <c r="M341" s="44"/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  <c r="AH341" s="44"/>
      <c r="AI341" s="44"/>
      <c r="AJ341" s="44"/>
      <c r="AK341" s="44"/>
      <c r="AL341" s="44"/>
      <c r="AM341" s="44"/>
      <c r="AN341" s="44"/>
      <c r="AO341" s="44"/>
      <c r="AP341" s="44"/>
      <c r="AQ341" s="44"/>
      <c r="AR341" s="44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44"/>
      <c r="CB341" s="44"/>
      <c r="CC341" s="44"/>
      <c r="CD341" s="44"/>
      <c r="CE341" s="44"/>
      <c r="CF341" s="44"/>
      <c r="CG341" s="44"/>
      <c r="CH341" s="44"/>
      <c r="CI341" s="44"/>
      <c r="CJ341" s="44"/>
      <c r="CK341" s="44"/>
      <c r="CL341" s="44"/>
      <c r="CM341" s="44"/>
      <c r="CN341" s="44"/>
      <c r="CO341" s="44"/>
      <c r="CP341" s="44"/>
      <c r="CQ341" s="44"/>
      <c r="CR341" s="44"/>
      <c r="CS341" s="44"/>
      <c r="CT341" s="44"/>
      <c r="CU341" s="44"/>
      <c r="CV341" s="44"/>
      <c r="CW341" s="44"/>
      <c r="CX341" s="44"/>
      <c r="CY341" s="44"/>
      <c r="CZ341" s="44"/>
      <c r="DA341" s="44"/>
      <c r="DB341" s="44"/>
      <c r="DC341" s="44"/>
      <c r="DD341" s="44"/>
      <c r="DE341" s="44"/>
      <c r="DF341" s="45">
        <f t="shared" si="4935"/>
        <v>0</v>
      </c>
    </row>
    <row r="342" spans="1:228" s="40" customFormat="1" ht="12">
      <c r="A342" s="504">
        <v>175</v>
      </c>
      <c r="B342" s="528" t="s">
        <v>308</v>
      </c>
      <c r="C342" s="530" t="s">
        <v>309</v>
      </c>
      <c r="D342" s="532" t="s">
        <v>528</v>
      </c>
      <c r="E342" s="514" t="s">
        <v>526</v>
      </c>
      <c r="F342" s="524">
        <v>60</v>
      </c>
      <c r="G342" s="524">
        <v>16</v>
      </c>
      <c r="H342" s="526">
        <f>F342*G342*365</f>
        <v>350400</v>
      </c>
      <c r="I342" s="41">
        <v>57513.05</v>
      </c>
      <c r="J342" s="42">
        <f>ROUND(G342*F342*365/4,0)</f>
        <v>87600</v>
      </c>
      <c r="K342" s="44">
        <f t="shared" ref="K342:Q342" si="5178">J342</f>
        <v>87600</v>
      </c>
      <c r="L342" s="44">
        <f t="shared" si="5178"/>
        <v>87600</v>
      </c>
      <c r="M342" s="44">
        <f t="shared" si="5178"/>
        <v>87600</v>
      </c>
      <c r="N342" s="43">
        <f t="shared" si="5178"/>
        <v>87600</v>
      </c>
      <c r="O342" s="44">
        <f t="shared" si="5178"/>
        <v>87600</v>
      </c>
      <c r="P342" s="44">
        <f t="shared" si="5178"/>
        <v>87600</v>
      </c>
      <c r="Q342" s="44">
        <f t="shared" si="5178"/>
        <v>87600</v>
      </c>
      <c r="R342" s="44">
        <f>ROUND(Q342*(1+取值表!$D$16)*取值表!$H$16,0)</f>
        <v>87412</v>
      </c>
      <c r="S342" s="44">
        <f>R342</f>
        <v>87412</v>
      </c>
      <c r="T342" s="44">
        <f>S342</f>
        <v>87412</v>
      </c>
      <c r="U342" s="44">
        <f>T342</f>
        <v>87412</v>
      </c>
      <c r="V342" s="44">
        <f>ROUND(U342*(1+取值表!$D$16)*取值表!$H$16,0)</f>
        <v>87224</v>
      </c>
      <c r="W342" s="44">
        <f t="shared" ref="W342:Y342" si="5179">V342</f>
        <v>87224</v>
      </c>
      <c r="X342" s="44">
        <f t="shared" si="5179"/>
        <v>87224</v>
      </c>
      <c r="Y342" s="44">
        <f t="shared" si="5179"/>
        <v>87224</v>
      </c>
      <c r="Z342" s="44">
        <f>ROUND(Y342*(1+取值表!$D$16)*取值表!$H$16,0)</f>
        <v>87036</v>
      </c>
      <c r="AA342" s="44">
        <f t="shared" ref="AA342:AC342" si="5180">Z342</f>
        <v>87036</v>
      </c>
      <c r="AB342" s="44">
        <f t="shared" si="5180"/>
        <v>87036</v>
      </c>
      <c r="AC342" s="44">
        <f t="shared" si="5180"/>
        <v>87036</v>
      </c>
      <c r="AD342" s="44">
        <f>ROUND(AC342*(1+取值表!$D$16)*取值表!$H$16,0)</f>
        <v>86849</v>
      </c>
      <c r="AE342" s="44">
        <f t="shared" ref="AE342:AG342" si="5181">AD342</f>
        <v>86849</v>
      </c>
      <c r="AF342" s="44">
        <f t="shared" si="5181"/>
        <v>86849</v>
      </c>
      <c r="AG342" s="44">
        <f t="shared" si="5181"/>
        <v>86849</v>
      </c>
      <c r="AH342" s="44">
        <f>ROUND(AG342*(1+取值表!$D$16)*取值表!$H$16,0)</f>
        <v>86662</v>
      </c>
      <c r="AI342" s="44">
        <f t="shared" ref="AI342:AK342" si="5182">AH342</f>
        <v>86662</v>
      </c>
      <c r="AJ342" s="44">
        <f t="shared" si="5182"/>
        <v>86662</v>
      </c>
      <c r="AK342" s="44">
        <f t="shared" si="5182"/>
        <v>86662</v>
      </c>
      <c r="AL342" s="44">
        <f>ROUND(AK342*(1+取值表!$D$16)*取值表!$H$16,0)</f>
        <v>86476</v>
      </c>
      <c r="AM342" s="44">
        <f t="shared" ref="AM342:AO342" si="5183">AL342</f>
        <v>86476</v>
      </c>
      <c r="AN342" s="44">
        <f t="shared" si="5183"/>
        <v>86476</v>
      </c>
      <c r="AO342" s="44">
        <f t="shared" si="5183"/>
        <v>86476</v>
      </c>
      <c r="AP342" s="44">
        <f>ROUND(AO342*(1+取值表!$D$16)*取值表!$H$16,0)</f>
        <v>86290</v>
      </c>
      <c r="AQ342" s="44">
        <f t="shared" ref="AQ342:AS342" si="5184">AP342</f>
        <v>86290</v>
      </c>
      <c r="AR342" s="44">
        <f t="shared" si="5184"/>
        <v>86290</v>
      </c>
      <c r="AS342" s="44">
        <f t="shared" si="5184"/>
        <v>86290</v>
      </c>
      <c r="AT342" s="44">
        <f>ROUND(AS342*(1+取值表!$D$16)*取值表!$H$16,0)</f>
        <v>86104</v>
      </c>
      <c r="AU342" s="44">
        <f t="shared" ref="AU342:AW342" si="5185">AT342</f>
        <v>86104</v>
      </c>
      <c r="AV342" s="44">
        <f t="shared" si="5185"/>
        <v>86104</v>
      </c>
      <c r="AW342" s="44">
        <f t="shared" si="5185"/>
        <v>86104</v>
      </c>
      <c r="AX342" s="44">
        <f>ROUND(AW342*(1+取值表!$D$16)*取值表!$H$16,0)</f>
        <v>85919</v>
      </c>
      <c r="AY342" s="44">
        <f t="shared" ref="AY342:BA342" si="5186">AX342</f>
        <v>85919</v>
      </c>
      <c r="AZ342" s="44">
        <f t="shared" si="5186"/>
        <v>85919</v>
      </c>
      <c r="BA342" s="44">
        <f t="shared" si="5186"/>
        <v>85919</v>
      </c>
      <c r="BB342" s="44">
        <f>ROUND(BA342*(1+取值表!$D$16)*取值表!$H$16,0)</f>
        <v>85734</v>
      </c>
      <c r="BC342" s="44">
        <f t="shared" ref="BC342:BE342" si="5187">BB342</f>
        <v>85734</v>
      </c>
      <c r="BD342" s="44">
        <f t="shared" si="5187"/>
        <v>85734</v>
      </c>
      <c r="BE342" s="44">
        <f t="shared" si="5187"/>
        <v>85734</v>
      </c>
      <c r="BF342" s="44">
        <f>ROUND(BE342*(1+取值表!$D$16)*取值表!$H$16,0)</f>
        <v>85550</v>
      </c>
      <c r="BG342" s="44">
        <f t="shared" ref="BG342:BI342" si="5188">BF342</f>
        <v>85550</v>
      </c>
      <c r="BH342" s="44">
        <f t="shared" si="5188"/>
        <v>85550</v>
      </c>
      <c r="BI342" s="44">
        <f t="shared" si="5188"/>
        <v>85550</v>
      </c>
      <c r="BJ342" s="44">
        <f>ROUND(BI342*(1+取值表!$D$16)*取值表!$H$16,0)</f>
        <v>85366</v>
      </c>
      <c r="BK342" s="44">
        <f t="shared" ref="BK342:BM342" si="5189">BJ342</f>
        <v>85366</v>
      </c>
      <c r="BL342" s="44">
        <f t="shared" si="5189"/>
        <v>85366</v>
      </c>
      <c r="BM342" s="44">
        <f t="shared" si="5189"/>
        <v>85366</v>
      </c>
      <c r="BN342" s="44">
        <f>ROUND(BM342*(1+取值表!$D$16)*取值表!$H$16,0)</f>
        <v>85182</v>
      </c>
      <c r="BO342" s="44">
        <f t="shared" ref="BO342:BQ342" si="5190">BN342</f>
        <v>85182</v>
      </c>
      <c r="BP342" s="44">
        <f t="shared" si="5190"/>
        <v>85182</v>
      </c>
      <c r="BQ342" s="44">
        <f t="shared" si="5190"/>
        <v>85182</v>
      </c>
      <c r="BR342" s="44">
        <f>ROUND(BQ342*(1+取值表!$D$16)*取值表!$H$16,0)</f>
        <v>84999</v>
      </c>
      <c r="BS342" s="44">
        <f t="shared" ref="BS342:BU342" si="5191">BR342</f>
        <v>84999</v>
      </c>
      <c r="BT342" s="44">
        <f t="shared" si="5191"/>
        <v>84999</v>
      </c>
      <c r="BU342" s="44">
        <f t="shared" si="5191"/>
        <v>84999</v>
      </c>
      <c r="BV342" s="44">
        <f>ROUND(BU342*(1+取值表!$D$16)*取值表!$H$16,0)</f>
        <v>84816</v>
      </c>
      <c r="BW342" s="44">
        <f t="shared" ref="BW342:BY342" si="5192">BV342</f>
        <v>84816</v>
      </c>
      <c r="BX342" s="44">
        <f t="shared" si="5192"/>
        <v>84816</v>
      </c>
      <c r="BY342" s="44">
        <f t="shared" si="5192"/>
        <v>84816</v>
      </c>
      <c r="BZ342" s="44">
        <f>ROUND(BY342*(1+取值表!$D$16)*取值表!$H$16,0)</f>
        <v>84634</v>
      </c>
      <c r="CA342" s="44">
        <f t="shared" ref="CA342:CC342" si="5193">BZ342</f>
        <v>84634</v>
      </c>
      <c r="CB342" s="44">
        <f t="shared" si="5193"/>
        <v>84634</v>
      </c>
      <c r="CC342" s="44">
        <f t="shared" si="5193"/>
        <v>84634</v>
      </c>
      <c r="CD342" s="44">
        <f>ROUND(CC342*(1+取值表!$D$16)*取值表!$H$16,0)</f>
        <v>84452</v>
      </c>
      <c r="CE342" s="44">
        <f t="shared" ref="CE342:CG342" si="5194">CD342</f>
        <v>84452</v>
      </c>
      <c r="CF342" s="44">
        <f t="shared" si="5194"/>
        <v>84452</v>
      </c>
      <c r="CG342" s="44">
        <f t="shared" si="5194"/>
        <v>84452</v>
      </c>
      <c r="CH342" s="44">
        <f>ROUND(CG342*(1+取值表!$D$16)*取值表!$H$16,0)</f>
        <v>84270</v>
      </c>
      <c r="CI342" s="44">
        <f t="shared" ref="CI342:CK342" si="5195">CH342</f>
        <v>84270</v>
      </c>
      <c r="CJ342" s="44">
        <f t="shared" si="5195"/>
        <v>84270</v>
      </c>
      <c r="CK342" s="44">
        <f t="shared" si="5195"/>
        <v>84270</v>
      </c>
      <c r="CL342" s="44">
        <f>ROUND(CK342*(1+取值表!$D$16)*取值表!$H$16,0)</f>
        <v>84089</v>
      </c>
      <c r="CM342" s="44">
        <f t="shared" ref="CM342:CO342" si="5196">CL342</f>
        <v>84089</v>
      </c>
      <c r="CN342" s="44">
        <f t="shared" si="5196"/>
        <v>84089</v>
      </c>
      <c r="CO342" s="44">
        <f t="shared" si="5196"/>
        <v>84089</v>
      </c>
      <c r="CP342" s="44">
        <f>ROUND(CO342*(1+取值表!$D$16)*取值表!$H$16,0)</f>
        <v>83908</v>
      </c>
      <c r="CQ342" s="44">
        <f t="shared" ref="CQ342" si="5197">CP342</f>
        <v>83908</v>
      </c>
      <c r="CR342" s="44">
        <f t="shared" ref="CR342" si="5198">CQ342</f>
        <v>83908</v>
      </c>
      <c r="CS342" s="44">
        <f t="shared" ref="CS342" si="5199">CR342</f>
        <v>83908</v>
      </c>
      <c r="CT342" s="44">
        <f>ROUND(CS342*(1+取值表!$D$16)*取值表!$H$16,0)</f>
        <v>83728</v>
      </c>
      <c r="CU342" s="44">
        <f t="shared" ref="CU342" si="5200">CT342</f>
        <v>83728</v>
      </c>
      <c r="CV342" s="44">
        <f t="shared" ref="CV342" si="5201">CU342</f>
        <v>83728</v>
      </c>
      <c r="CW342" s="44">
        <f t="shared" ref="CW342" si="5202">CV342</f>
        <v>83728</v>
      </c>
      <c r="CX342" s="44">
        <f>ROUND(CW342*(1+取值表!$D$16)*取值表!$H$16,0)</f>
        <v>83548</v>
      </c>
      <c r="CY342" s="44">
        <f t="shared" ref="CY342" si="5203">CX342</f>
        <v>83548</v>
      </c>
      <c r="CZ342" s="44">
        <f t="shared" ref="CZ342" si="5204">CY342</f>
        <v>83548</v>
      </c>
      <c r="DA342" s="44">
        <f t="shared" ref="DA342" si="5205">CZ342</f>
        <v>83548</v>
      </c>
      <c r="DB342" s="44">
        <f>ROUND(DA342*(1+取值表!$D$16)*取值表!$H$16,0)</f>
        <v>83368</v>
      </c>
      <c r="DC342" s="44">
        <f t="shared" ref="DC342" si="5206">DB342</f>
        <v>83368</v>
      </c>
      <c r="DD342" s="44">
        <f t="shared" ref="DD342" si="5207">DC342</f>
        <v>83368</v>
      </c>
      <c r="DE342" s="44">
        <f t="shared" ref="DE342" si="5208">DD342</f>
        <v>83368</v>
      </c>
      <c r="DF342" s="45">
        <f t="shared" si="4935"/>
        <v>8555264</v>
      </c>
    </row>
    <row r="343" spans="1:228" s="40" customFormat="1" ht="12">
      <c r="A343" s="505"/>
      <c r="B343" s="529"/>
      <c r="C343" s="531"/>
      <c r="D343" s="533"/>
      <c r="E343" s="515"/>
      <c r="F343" s="525"/>
      <c r="G343" s="525"/>
      <c r="H343" s="527"/>
      <c r="I343" s="41"/>
      <c r="J343" s="42"/>
      <c r="K343" s="44"/>
      <c r="L343" s="44"/>
      <c r="M343" s="44"/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  <c r="AH343" s="44"/>
      <c r="AI343" s="44"/>
      <c r="AJ343" s="44"/>
      <c r="AK343" s="44"/>
      <c r="AL343" s="44"/>
      <c r="AM343" s="44"/>
      <c r="AN343" s="44"/>
      <c r="AO343" s="44"/>
      <c r="AP343" s="44"/>
      <c r="AQ343" s="44"/>
      <c r="AR343" s="44"/>
      <c r="AS343" s="44"/>
      <c r="AT343" s="44"/>
      <c r="AU343" s="44"/>
      <c r="AV343" s="44"/>
      <c r="AW343" s="44"/>
      <c r="AX343" s="44"/>
      <c r="AY343" s="44"/>
      <c r="AZ343" s="44"/>
      <c r="BA343" s="44"/>
      <c r="BB343" s="44"/>
      <c r="BC343" s="44"/>
      <c r="BD343" s="44"/>
      <c r="BE343" s="44"/>
      <c r="BF343" s="44"/>
      <c r="BG343" s="44"/>
      <c r="BH343" s="44"/>
      <c r="BI343" s="44"/>
      <c r="BJ343" s="44"/>
      <c r="BK343" s="44"/>
      <c r="BL343" s="44"/>
      <c r="BM343" s="44"/>
      <c r="BN343" s="44"/>
      <c r="BO343" s="44"/>
      <c r="BP343" s="44"/>
      <c r="BQ343" s="44"/>
      <c r="BR343" s="44"/>
      <c r="BS343" s="44"/>
      <c r="BT343" s="44"/>
      <c r="BU343" s="44"/>
      <c r="BV343" s="44"/>
      <c r="BW343" s="44"/>
      <c r="BX343" s="44"/>
      <c r="BY343" s="44"/>
      <c r="BZ343" s="44"/>
      <c r="CA343" s="44"/>
      <c r="CB343" s="44"/>
      <c r="CC343" s="44"/>
      <c r="CD343" s="44"/>
      <c r="CE343" s="44"/>
      <c r="CF343" s="44"/>
      <c r="CG343" s="44"/>
      <c r="CH343" s="44"/>
      <c r="CI343" s="44"/>
      <c r="CJ343" s="44"/>
      <c r="CK343" s="44"/>
      <c r="CL343" s="44"/>
      <c r="CM343" s="44"/>
      <c r="CN343" s="44"/>
      <c r="CO343" s="44"/>
      <c r="CP343" s="44"/>
      <c r="CQ343" s="44"/>
      <c r="CR343" s="44"/>
      <c r="CS343" s="44"/>
      <c r="CT343" s="44"/>
      <c r="CU343" s="44"/>
      <c r="CV343" s="44"/>
      <c r="CW343" s="44"/>
      <c r="CX343" s="44"/>
      <c r="CY343" s="44"/>
      <c r="CZ343" s="44"/>
      <c r="DA343" s="44"/>
      <c r="DB343" s="44"/>
      <c r="DC343" s="44"/>
      <c r="DD343" s="44"/>
      <c r="DE343" s="44"/>
      <c r="DF343" s="45">
        <f t="shared" si="4935"/>
        <v>0</v>
      </c>
    </row>
    <row r="344" spans="1:228" s="40" customFormat="1" ht="15" customHeight="1">
      <c r="A344" s="504">
        <v>176</v>
      </c>
      <c r="B344" s="528" t="s">
        <v>310</v>
      </c>
      <c r="C344" s="530" t="s">
        <v>311</v>
      </c>
      <c r="D344" s="532" t="s">
        <v>521</v>
      </c>
      <c r="E344" s="514" t="s">
        <v>526</v>
      </c>
      <c r="F344" s="524">
        <v>44.95</v>
      </c>
      <c r="G344" s="524">
        <v>18</v>
      </c>
      <c r="H344" s="526">
        <f>F344*G344*365</f>
        <v>295321.5</v>
      </c>
      <c r="I344" s="41">
        <v>73830.38</v>
      </c>
      <c r="J344" s="42">
        <f>ROUND(G344*F344*365/4,0)</f>
        <v>73830</v>
      </c>
      <c r="K344" s="43">
        <f>J344</f>
        <v>73830</v>
      </c>
      <c r="L344" s="44">
        <f>K344</f>
        <v>73830</v>
      </c>
      <c r="M344" s="44">
        <f>L344</f>
        <v>73830</v>
      </c>
      <c r="N344" s="44">
        <f>ROUND(M344*(1+取值表!$D$16)*取值表!$H$16,0)</f>
        <v>73671</v>
      </c>
      <c r="O344" s="44">
        <f>N344</f>
        <v>73671</v>
      </c>
      <c r="P344" s="44">
        <f>O344</f>
        <v>73671</v>
      </c>
      <c r="Q344" s="44">
        <f>P344</f>
        <v>73671</v>
      </c>
      <c r="R344" s="44">
        <f>ROUND(Q344*(1+取值表!$D$16)*取值表!$H$16,0)</f>
        <v>73513</v>
      </c>
      <c r="S344" s="44">
        <f t="shared" ref="S344:U344" si="5209">R344</f>
        <v>73513</v>
      </c>
      <c r="T344" s="44">
        <f t="shared" si="5209"/>
        <v>73513</v>
      </c>
      <c r="U344" s="44">
        <f t="shared" si="5209"/>
        <v>73513</v>
      </c>
      <c r="V344" s="44">
        <f>ROUND(U344*(1+取值表!$D$16)*取值表!$H$16,0)</f>
        <v>73355</v>
      </c>
      <c r="W344" s="44">
        <f t="shared" ref="W344:Y344" si="5210">V344</f>
        <v>73355</v>
      </c>
      <c r="X344" s="44">
        <f t="shared" si="5210"/>
        <v>73355</v>
      </c>
      <c r="Y344" s="44">
        <f t="shared" si="5210"/>
        <v>73355</v>
      </c>
      <c r="Z344" s="44">
        <f>ROUND(Y344*(1+取值表!$D$16)*取值表!$H$16,0)</f>
        <v>73197</v>
      </c>
      <c r="AA344" s="44">
        <f t="shared" ref="AA344:AC344" si="5211">Z344</f>
        <v>73197</v>
      </c>
      <c r="AB344" s="44">
        <f t="shared" si="5211"/>
        <v>73197</v>
      </c>
      <c r="AC344" s="44">
        <f t="shared" si="5211"/>
        <v>73197</v>
      </c>
      <c r="AD344" s="44">
        <f>ROUND(AC344*(1+取值表!$D$16)*取值表!$H$16,0)</f>
        <v>73040</v>
      </c>
      <c r="AE344" s="44">
        <f t="shared" ref="AE344:AG344" si="5212">AD344</f>
        <v>73040</v>
      </c>
      <c r="AF344" s="44">
        <f t="shared" si="5212"/>
        <v>73040</v>
      </c>
      <c r="AG344" s="44">
        <f t="shared" si="5212"/>
        <v>73040</v>
      </c>
      <c r="AH344" s="44">
        <f>ROUND(AG344*(1+取值表!$D$16)*取值表!$H$16,0)</f>
        <v>72883</v>
      </c>
      <c r="AI344" s="44">
        <f t="shared" ref="AI344:AK344" si="5213">AH344</f>
        <v>72883</v>
      </c>
      <c r="AJ344" s="44">
        <f t="shared" si="5213"/>
        <v>72883</v>
      </c>
      <c r="AK344" s="44">
        <f t="shared" si="5213"/>
        <v>72883</v>
      </c>
      <c r="AL344" s="44">
        <f>ROUND(AK344*(1+取值表!$D$16)*取值表!$H$16,0)</f>
        <v>72726</v>
      </c>
      <c r="AM344" s="44">
        <f t="shared" ref="AM344:AO344" si="5214">AL344</f>
        <v>72726</v>
      </c>
      <c r="AN344" s="44">
        <f t="shared" si="5214"/>
        <v>72726</v>
      </c>
      <c r="AO344" s="44">
        <f t="shared" si="5214"/>
        <v>72726</v>
      </c>
      <c r="AP344" s="44">
        <f>ROUND(AO344*(1+取值表!$D$16)*取值表!$H$16,0)</f>
        <v>72570</v>
      </c>
      <c r="AQ344" s="44">
        <f t="shared" ref="AQ344:AS344" si="5215">AP344</f>
        <v>72570</v>
      </c>
      <c r="AR344" s="44">
        <f t="shared" si="5215"/>
        <v>72570</v>
      </c>
      <c r="AS344" s="44">
        <f t="shared" si="5215"/>
        <v>72570</v>
      </c>
      <c r="AT344" s="44">
        <f>ROUND(AS344*(1+取值表!$D$16)*取值表!$H$16,0)</f>
        <v>72414</v>
      </c>
      <c r="AU344" s="44">
        <f t="shared" ref="AU344:AW344" si="5216">AT344</f>
        <v>72414</v>
      </c>
      <c r="AV344" s="44">
        <f t="shared" si="5216"/>
        <v>72414</v>
      </c>
      <c r="AW344" s="44">
        <f t="shared" si="5216"/>
        <v>72414</v>
      </c>
      <c r="AX344" s="44">
        <f>ROUND(AW344*(1+取值表!$D$16)*取值表!$H$16,0)</f>
        <v>72258</v>
      </c>
      <c r="AY344" s="44">
        <f t="shared" ref="AY344:BA344" si="5217">AX344</f>
        <v>72258</v>
      </c>
      <c r="AZ344" s="44">
        <f t="shared" si="5217"/>
        <v>72258</v>
      </c>
      <c r="BA344" s="44">
        <f t="shared" si="5217"/>
        <v>72258</v>
      </c>
      <c r="BB344" s="44">
        <f>ROUND(BA344*(1+取值表!$D$16)*取值表!$H$16,0)</f>
        <v>72103</v>
      </c>
      <c r="BC344" s="44">
        <f t="shared" ref="BC344:BE344" si="5218">BB344</f>
        <v>72103</v>
      </c>
      <c r="BD344" s="44">
        <f t="shared" si="5218"/>
        <v>72103</v>
      </c>
      <c r="BE344" s="44">
        <f t="shared" si="5218"/>
        <v>72103</v>
      </c>
      <c r="BF344" s="44">
        <f>ROUND(BE344*(1+取值表!$D$16)*取值表!$H$16,0)</f>
        <v>71948</v>
      </c>
      <c r="BG344" s="44">
        <f t="shared" ref="BG344:BI344" si="5219">BF344</f>
        <v>71948</v>
      </c>
      <c r="BH344" s="44">
        <f t="shared" si="5219"/>
        <v>71948</v>
      </c>
      <c r="BI344" s="44">
        <f t="shared" si="5219"/>
        <v>71948</v>
      </c>
      <c r="BJ344" s="44">
        <f>ROUND(BI344*(1+取值表!$D$16)*取值表!$H$16,0)</f>
        <v>71793</v>
      </c>
      <c r="BK344" s="44">
        <f t="shared" ref="BK344:BM344" si="5220">BJ344</f>
        <v>71793</v>
      </c>
      <c r="BL344" s="44">
        <f t="shared" si="5220"/>
        <v>71793</v>
      </c>
      <c r="BM344" s="44">
        <f t="shared" si="5220"/>
        <v>71793</v>
      </c>
      <c r="BN344" s="44">
        <f>ROUND(BM344*(1+取值表!$D$16)*取值表!$H$16,0)</f>
        <v>71639</v>
      </c>
      <c r="BO344" s="44">
        <f t="shared" ref="BO344:BQ344" si="5221">BN344</f>
        <v>71639</v>
      </c>
      <c r="BP344" s="44">
        <f t="shared" si="5221"/>
        <v>71639</v>
      </c>
      <c r="BQ344" s="44">
        <f t="shared" si="5221"/>
        <v>71639</v>
      </c>
      <c r="BR344" s="44">
        <f>ROUND(BQ344*(1+取值表!$D$16)*取值表!$H$16,0)</f>
        <v>71485</v>
      </c>
      <c r="BS344" s="44">
        <f t="shared" ref="BS344:BU344" si="5222">BR344</f>
        <v>71485</v>
      </c>
      <c r="BT344" s="44">
        <f t="shared" si="5222"/>
        <v>71485</v>
      </c>
      <c r="BU344" s="44">
        <f t="shared" si="5222"/>
        <v>71485</v>
      </c>
      <c r="BV344" s="44">
        <f>ROUND(BU344*(1+取值表!$D$16)*取值表!$H$16,0)</f>
        <v>71331</v>
      </c>
      <c r="BW344" s="44">
        <f t="shared" ref="BW344:BY344" si="5223">BV344</f>
        <v>71331</v>
      </c>
      <c r="BX344" s="44">
        <f t="shared" si="5223"/>
        <v>71331</v>
      </c>
      <c r="BY344" s="44">
        <f t="shared" si="5223"/>
        <v>71331</v>
      </c>
      <c r="BZ344" s="44">
        <f>ROUND(BY344*(1+取值表!$D$16)*取值表!$H$16,0)</f>
        <v>71178</v>
      </c>
      <c r="CA344" s="44">
        <f t="shared" ref="CA344:CC344" si="5224">BZ344</f>
        <v>71178</v>
      </c>
      <c r="CB344" s="44">
        <f t="shared" si="5224"/>
        <v>71178</v>
      </c>
      <c r="CC344" s="44">
        <f t="shared" si="5224"/>
        <v>71178</v>
      </c>
      <c r="CD344" s="44">
        <f>ROUND(CC344*(1+取值表!$D$16)*取值表!$H$16,0)</f>
        <v>71025</v>
      </c>
      <c r="CE344" s="44">
        <f t="shared" ref="CE344:CG344" si="5225">CD344</f>
        <v>71025</v>
      </c>
      <c r="CF344" s="44">
        <f t="shared" si="5225"/>
        <v>71025</v>
      </c>
      <c r="CG344" s="44">
        <f t="shared" si="5225"/>
        <v>71025</v>
      </c>
      <c r="CH344" s="44">
        <f>ROUND(CG344*(1+取值表!$D$16)*取值表!$H$16,0)</f>
        <v>70872</v>
      </c>
      <c r="CI344" s="44">
        <f t="shared" ref="CI344:CK344" si="5226">CH344</f>
        <v>70872</v>
      </c>
      <c r="CJ344" s="44">
        <f t="shared" si="5226"/>
        <v>70872</v>
      </c>
      <c r="CK344" s="44">
        <f t="shared" si="5226"/>
        <v>70872</v>
      </c>
      <c r="CL344" s="44">
        <f>ROUND(CK344*(1+取值表!$D$16)*取值表!$H$16,0)</f>
        <v>70720</v>
      </c>
      <c r="CM344" s="44">
        <f t="shared" ref="CM344:CO344" si="5227">CL344</f>
        <v>70720</v>
      </c>
      <c r="CN344" s="44">
        <f t="shared" si="5227"/>
        <v>70720</v>
      </c>
      <c r="CO344" s="44">
        <f t="shared" si="5227"/>
        <v>70720</v>
      </c>
      <c r="CP344" s="44">
        <f>ROUND(CO344*(1+取值表!$D$16)*取值表!$H$16,0)</f>
        <v>70568</v>
      </c>
      <c r="CQ344" s="44">
        <f t="shared" ref="CQ344" si="5228">CP344</f>
        <v>70568</v>
      </c>
      <c r="CR344" s="44">
        <f t="shared" ref="CR344" si="5229">CQ344</f>
        <v>70568</v>
      </c>
      <c r="CS344" s="44">
        <f t="shared" ref="CS344" si="5230">CR344</f>
        <v>70568</v>
      </c>
      <c r="CT344" s="44">
        <f>ROUND(CS344*(1+取值表!$D$16)*取值表!$H$16,0)</f>
        <v>70416</v>
      </c>
      <c r="CU344" s="44">
        <f t="shared" ref="CU344" si="5231">CT344</f>
        <v>70416</v>
      </c>
      <c r="CV344" s="44">
        <f t="shared" ref="CV344" si="5232">CU344</f>
        <v>70416</v>
      </c>
      <c r="CW344" s="44">
        <f t="shared" ref="CW344" si="5233">CV344</f>
        <v>70416</v>
      </c>
      <c r="CX344" s="44">
        <f>ROUND(CW344*(1+取值表!$D$16)*取值表!$H$16,0)</f>
        <v>70265</v>
      </c>
      <c r="CY344" s="44">
        <f t="shared" ref="CY344" si="5234">CX344</f>
        <v>70265</v>
      </c>
      <c r="CZ344" s="44">
        <f t="shared" ref="CZ344" si="5235">CY344</f>
        <v>70265</v>
      </c>
      <c r="DA344" s="44">
        <f t="shared" ref="DA344" si="5236">CZ344</f>
        <v>70265</v>
      </c>
      <c r="DB344" s="44">
        <f>ROUND(DA344*(1+取值表!$D$16)*取值表!$H$16,0)</f>
        <v>70114</v>
      </c>
      <c r="DC344" s="44">
        <f t="shared" ref="DC344" si="5237">DB344</f>
        <v>70114</v>
      </c>
      <c r="DD344" s="44">
        <f t="shared" ref="DD344" si="5238">DC344</f>
        <v>70114</v>
      </c>
      <c r="DE344" s="44">
        <f t="shared" ref="DE344" si="5239">DD344</f>
        <v>70114</v>
      </c>
      <c r="DF344" s="45">
        <f t="shared" si="4935"/>
        <v>7195656</v>
      </c>
    </row>
    <row r="345" spans="1:228" s="40" customFormat="1" ht="12">
      <c r="A345" s="505"/>
      <c r="B345" s="529"/>
      <c r="C345" s="531"/>
      <c r="D345" s="533"/>
      <c r="E345" s="515"/>
      <c r="F345" s="525"/>
      <c r="G345" s="525"/>
      <c r="H345" s="527"/>
      <c r="I345" s="41"/>
      <c r="J345" s="42"/>
      <c r="K345" s="44"/>
      <c r="L345" s="44"/>
      <c r="M345" s="44"/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  <c r="AH345" s="44"/>
      <c r="AI345" s="44"/>
      <c r="AJ345" s="44"/>
      <c r="AK345" s="44"/>
      <c r="AL345" s="44"/>
      <c r="AM345" s="44"/>
      <c r="AN345" s="44"/>
      <c r="AO345" s="44"/>
      <c r="AP345" s="44"/>
      <c r="AQ345" s="44"/>
      <c r="AR345" s="44"/>
      <c r="AS345" s="44"/>
      <c r="AT345" s="44"/>
      <c r="AU345" s="44"/>
      <c r="AV345" s="44"/>
      <c r="AW345" s="44"/>
      <c r="AX345" s="44"/>
      <c r="AY345" s="44"/>
      <c r="AZ345" s="44"/>
      <c r="BA345" s="44"/>
      <c r="BB345" s="44"/>
      <c r="BC345" s="44"/>
      <c r="BD345" s="44"/>
      <c r="BE345" s="44"/>
      <c r="BF345" s="44"/>
      <c r="BG345" s="44"/>
      <c r="BH345" s="44"/>
      <c r="BI345" s="44"/>
      <c r="BJ345" s="44"/>
      <c r="BK345" s="44"/>
      <c r="BL345" s="44"/>
      <c r="BM345" s="44"/>
      <c r="BN345" s="44"/>
      <c r="BO345" s="44"/>
      <c r="BP345" s="44"/>
      <c r="BQ345" s="44"/>
      <c r="BR345" s="44"/>
      <c r="BS345" s="44"/>
      <c r="BT345" s="44"/>
      <c r="BU345" s="44"/>
      <c r="BV345" s="44"/>
      <c r="BW345" s="44"/>
      <c r="BX345" s="44"/>
      <c r="BY345" s="44"/>
      <c r="BZ345" s="44"/>
      <c r="CA345" s="44"/>
      <c r="CB345" s="44"/>
      <c r="CC345" s="44"/>
      <c r="CD345" s="44"/>
      <c r="CE345" s="44"/>
      <c r="CF345" s="44"/>
      <c r="CG345" s="44"/>
      <c r="CH345" s="44"/>
      <c r="CI345" s="44"/>
      <c r="CJ345" s="44"/>
      <c r="CK345" s="44"/>
      <c r="CL345" s="44"/>
      <c r="CM345" s="44"/>
      <c r="CN345" s="44"/>
      <c r="CO345" s="44"/>
      <c r="CP345" s="44"/>
      <c r="CQ345" s="44"/>
      <c r="CR345" s="44"/>
      <c r="CS345" s="44"/>
      <c r="CT345" s="44"/>
      <c r="CU345" s="44"/>
      <c r="CV345" s="44"/>
      <c r="CW345" s="44"/>
      <c r="CX345" s="44"/>
      <c r="CY345" s="44"/>
      <c r="CZ345" s="44"/>
      <c r="DA345" s="44"/>
      <c r="DB345" s="44"/>
      <c r="DC345" s="44"/>
      <c r="DD345" s="44"/>
      <c r="DE345" s="44"/>
      <c r="DF345" s="45">
        <f t="shared" si="4935"/>
        <v>0</v>
      </c>
    </row>
    <row r="346" spans="1:228" s="40" customFormat="1" ht="12">
      <c r="A346" s="504">
        <v>177</v>
      </c>
      <c r="B346" s="523" t="s">
        <v>312</v>
      </c>
      <c r="C346" s="450" t="s">
        <v>313</v>
      </c>
      <c r="D346" s="451" t="s">
        <v>529</v>
      </c>
      <c r="E346" s="452" t="s">
        <v>526</v>
      </c>
      <c r="F346" s="446">
        <v>14.81</v>
      </c>
      <c r="G346" s="446">
        <v>20</v>
      </c>
      <c r="H346" s="447">
        <f>F346*G346*365</f>
        <v>108113</v>
      </c>
      <c r="I346" s="41">
        <v>24325.43</v>
      </c>
      <c r="J346" s="42">
        <f>ROUND(G346*F346*365/4,0)</f>
        <v>27028</v>
      </c>
      <c r="K346" s="44">
        <f>J346</f>
        <v>27028</v>
      </c>
      <c r="L346" s="266">
        <f>K346</f>
        <v>27028</v>
      </c>
      <c r="M346" s="267">
        <f>L346</f>
        <v>27028</v>
      </c>
      <c r="N346" s="44">
        <f>ROUND(M346*(1+取值表!$D$16)*取值表!$H$16,0)</f>
        <v>26970</v>
      </c>
      <c r="O346" s="266">
        <f>N346</f>
        <v>26970</v>
      </c>
      <c r="P346" s="266">
        <f>O346</f>
        <v>26970</v>
      </c>
      <c r="Q346" s="266">
        <f>P346</f>
        <v>26970</v>
      </c>
      <c r="R346" s="44">
        <f>ROUND(Q346*(1+取值表!$D$16)*取值表!$H$16,0)</f>
        <v>26912</v>
      </c>
      <c r="S346" s="266">
        <f t="shared" ref="S346:U346" si="5240">R346</f>
        <v>26912</v>
      </c>
      <c r="T346" s="266">
        <f t="shared" si="5240"/>
        <v>26912</v>
      </c>
      <c r="U346" s="266">
        <f t="shared" si="5240"/>
        <v>26912</v>
      </c>
      <c r="V346" s="44">
        <f>ROUND(U346*(1+取值表!$D$16)*取值表!$H$16,0)</f>
        <v>26854</v>
      </c>
      <c r="W346" s="266">
        <f t="shared" ref="W346:Y346" si="5241">V346</f>
        <v>26854</v>
      </c>
      <c r="X346" s="266">
        <f t="shared" si="5241"/>
        <v>26854</v>
      </c>
      <c r="Y346" s="266">
        <f t="shared" si="5241"/>
        <v>26854</v>
      </c>
      <c r="Z346" s="44">
        <f>ROUND(Y346*(1+取值表!$D$16)*取值表!$H$16,0)</f>
        <v>26796</v>
      </c>
      <c r="AA346" s="266">
        <f t="shared" ref="AA346:AC346" si="5242">Z346</f>
        <v>26796</v>
      </c>
      <c r="AB346" s="266">
        <f t="shared" si="5242"/>
        <v>26796</v>
      </c>
      <c r="AC346" s="266">
        <f t="shared" si="5242"/>
        <v>26796</v>
      </c>
      <c r="AD346" s="44">
        <f>ROUND(AC346*(1+取值表!$D$16)*取值表!$H$16,0)</f>
        <v>26738</v>
      </c>
      <c r="AE346" s="266">
        <f t="shared" ref="AE346:AG346" si="5243">AD346</f>
        <v>26738</v>
      </c>
      <c r="AF346" s="266">
        <f t="shared" si="5243"/>
        <v>26738</v>
      </c>
      <c r="AG346" s="266">
        <f t="shared" si="5243"/>
        <v>26738</v>
      </c>
      <c r="AH346" s="44">
        <f>ROUND(AG346*(1+取值表!$D$16)*取值表!$H$16,0)</f>
        <v>26681</v>
      </c>
      <c r="AI346" s="266">
        <f t="shared" ref="AI346:AK346" si="5244">AH346</f>
        <v>26681</v>
      </c>
      <c r="AJ346" s="266">
        <f t="shared" si="5244"/>
        <v>26681</v>
      </c>
      <c r="AK346" s="266">
        <f t="shared" si="5244"/>
        <v>26681</v>
      </c>
      <c r="AL346" s="44">
        <f>ROUND(AK346*(1+取值表!$D$16)*取值表!$H$16,0)</f>
        <v>26624</v>
      </c>
      <c r="AM346" s="266">
        <f t="shared" ref="AM346:AO346" si="5245">AL346</f>
        <v>26624</v>
      </c>
      <c r="AN346" s="266">
        <f t="shared" si="5245"/>
        <v>26624</v>
      </c>
      <c r="AO346" s="266">
        <f t="shared" si="5245"/>
        <v>26624</v>
      </c>
      <c r="AP346" s="44">
        <f>ROUND(AO346*(1+取值表!$D$16)*取值表!$H$16,0)</f>
        <v>26567</v>
      </c>
      <c r="AQ346" s="266">
        <f t="shared" ref="AQ346:AS346" si="5246">AP346</f>
        <v>26567</v>
      </c>
      <c r="AR346" s="266">
        <f t="shared" si="5246"/>
        <v>26567</v>
      </c>
      <c r="AS346" s="266">
        <f t="shared" si="5246"/>
        <v>26567</v>
      </c>
      <c r="AT346" s="44">
        <f>ROUND(AS346*(1+取值表!$D$16)*取值表!$H$16,0)</f>
        <v>26510</v>
      </c>
      <c r="AU346" s="266">
        <f t="shared" ref="AU346:AW346" si="5247">AT346</f>
        <v>26510</v>
      </c>
      <c r="AV346" s="266">
        <f t="shared" si="5247"/>
        <v>26510</v>
      </c>
      <c r="AW346" s="266">
        <f t="shared" si="5247"/>
        <v>26510</v>
      </c>
      <c r="AX346" s="44">
        <f>ROUND(AW346*(1+取值表!$D$16)*取值表!$H$16,0)</f>
        <v>26453</v>
      </c>
      <c r="AY346" s="266">
        <f t="shared" ref="AY346:BA346" si="5248">AX346</f>
        <v>26453</v>
      </c>
      <c r="AZ346" s="266">
        <f t="shared" si="5248"/>
        <v>26453</v>
      </c>
      <c r="BA346" s="266">
        <f t="shared" si="5248"/>
        <v>26453</v>
      </c>
      <c r="BB346" s="44">
        <f>ROUND(BA346*(1+取值表!$D$16)*取值表!$H$16,0)</f>
        <v>26396</v>
      </c>
      <c r="BC346" s="266">
        <f t="shared" ref="BC346:BE346" si="5249">BB346</f>
        <v>26396</v>
      </c>
      <c r="BD346" s="266">
        <f t="shared" si="5249"/>
        <v>26396</v>
      </c>
      <c r="BE346" s="266">
        <f t="shared" si="5249"/>
        <v>26396</v>
      </c>
      <c r="BF346" s="44">
        <f>ROUND(BE346*(1+取值表!$D$16)*取值表!$H$16,0)</f>
        <v>26339</v>
      </c>
      <c r="BG346" s="266">
        <f t="shared" ref="BG346:BI346" si="5250">BF346</f>
        <v>26339</v>
      </c>
      <c r="BH346" s="266">
        <f t="shared" si="5250"/>
        <v>26339</v>
      </c>
      <c r="BI346" s="266">
        <f t="shared" si="5250"/>
        <v>26339</v>
      </c>
      <c r="BJ346" s="44">
        <f>ROUND(BI346*(1+取值表!$D$16)*取值表!$H$16,0)</f>
        <v>26282</v>
      </c>
      <c r="BK346" s="266">
        <f t="shared" ref="BK346:BM346" si="5251">BJ346</f>
        <v>26282</v>
      </c>
      <c r="BL346" s="266">
        <f t="shared" si="5251"/>
        <v>26282</v>
      </c>
      <c r="BM346" s="266">
        <f t="shared" si="5251"/>
        <v>26282</v>
      </c>
      <c r="BN346" s="44">
        <f>ROUND(BM346*(1+取值表!$D$16)*取值表!$H$16,0)</f>
        <v>26225</v>
      </c>
      <c r="BO346" s="266">
        <f t="shared" ref="BO346:BQ346" si="5252">BN346</f>
        <v>26225</v>
      </c>
      <c r="BP346" s="266">
        <f t="shared" si="5252"/>
        <v>26225</v>
      </c>
      <c r="BQ346" s="266">
        <f t="shared" si="5252"/>
        <v>26225</v>
      </c>
      <c r="BR346" s="44">
        <f>ROUND(BQ346*(1+取值表!$D$16)*取值表!$H$16,0)</f>
        <v>26169</v>
      </c>
      <c r="BS346" s="266">
        <f t="shared" ref="BS346:BU346" si="5253">BR346</f>
        <v>26169</v>
      </c>
      <c r="BT346" s="266">
        <f t="shared" si="5253"/>
        <v>26169</v>
      </c>
      <c r="BU346" s="266">
        <f t="shared" si="5253"/>
        <v>26169</v>
      </c>
      <c r="BV346" s="44">
        <f>ROUND(BU346*(1+取值表!$D$16)*取值表!$H$16,0)</f>
        <v>26113</v>
      </c>
      <c r="BW346" s="266">
        <f t="shared" ref="BW346:BY346" si="5254">BV346</f>
        <v>26113</v>
      </c>
      <c r="BX346" s="266">
        <f t="shared" si="5254"/>
        <v>26113</v>
      </c>
      <c r="BY346" s="266">
        <f t="shared" si="5254"/>
        <v>26113</v>
      </c>
      <c r="BZ346" s="44">
        <f>ROUND(BY346*(1+取值表!$D$16)*取值表!$H$16,0)</f>
        <v>26057</v>
      </c>
      <c r="CA346" s="266">
        <f t="shared" ref="CA346:CC346" si="5255">BZ346</f>
        <v>26057</v>
      </c>
      <c r="CB346" s="266">
        <f t="shared" si="5255"/>
        <v>26057</v>
      </c>
      <c r="CC346" s="266">
        <f t="shared" si="5255"/>
        <v>26057</v>
      </c>
      <c r="CD346" s="44">
        <f>ROUND(CC346*(1+取值表!$D$16)*取值表!$H$16,0)</f>
        <v>26001</v>
      </c>
      <c r="CE346" s="266">
        <f t="shared" ref="CE346:CG346" si="5256">CD346</f>
        <v>26001</v>
      </c>
      <c r="CF346" s="266">
        <f t="shared" si="5256"/>
        <v>26001</v>
      </c>
      <c r="CG346" s="266">
        <f t="shared" si="5256"/>
        <v>26001</v>
      </c>
      <c r="CH346" s="44">
        <f>ROUND(CG346*(1+取值表!$D$16)*取值表!$H$16,0)</f>
        <v>25945</v>
      </c>
      <c r="CI346" s="266">
        <f t="shared" ref="CI346:CK346" si="5257">CH346</f>
        <v>25945</v>
      </c>
      <c r="CJ346" s="266">
        <f t="shared" si="5257"/>
        <v>25945</v>
      </c>
      <c r="CK346" s="266">
        <f t="shared" si="5257"/>
        <v>25945</v>
      </c>
      <c r="CL346" s="44">
        <f>ROUND(CK346*(1+取值表!$D$16)*取值表!$H$16,0)</f>
        <v>25889</v>
      </c>
      <c r="CM346" s="266">
        <f t="shared" ref="CM346:CO346" si="5258">CL346</f>
        <v>25889</v>
      </c>
      <c r="CN346" s="266">
        <f t="shared" si="5258"/>
        <v>25889</v>
      </c>
      <c r="CO346" s="266">
        <f t="shared" si="5258"/>
        <v>25889</v>
      </c>
      <c r="CP346" s="44">
        <f>ROUND(CO346*(1+取值表!$D$16)*取值表!$H$16,0)</f>
        <v>25833</v>
      </c>
      <c r="CQ346" s="266">
        <f t="shared" ref="CQ346" si="5259">CP346</f>
        <v>25833</v>
      </c>
      <c r="CR346" s="266">
        <f t="shared" ref="CR346" si="5260">CQ346</f>
        <v>25833</v>
      </c>
      <c r="CS346" s="266">
        <f t="shared" ref="CS346" si="5261">CR346</f>
        <v>25833</v>
      </c>
      <c r="CT346" s="44">
        <f>ROUND(CS346*(1+取值表!$D$16)*取值表!$H$16,0)</f>
        <v>25777</v>
      </c>
      <c r="CU346" s="266">
        <f t="shared" ref="CU346" si="5262">CT346</f>
        <v>25777</v>
      </c>
      <c r="CV346" s="266">
        <f t="shared" ref="CV346" si="5263">CU346</f>
        <v>25777</v>
      </c>
      <c r="CW346" s="266">
        <f t="shared" ref="CW346" si="5264">CV346</f>
        <v>25777</v>
      </c>
      <c r="CX346" s="44">
        <f>ROUND(CW346*(1+取值表!$D$16)*取值表!$H$16,0)</f>
        <v>25722</v>
      </c>
      <c r="CY346" s="266">
        <f t="shared" ref="CY346" si="5265">CX346</f>
        <v>25722</v>
      </c>
      <c r="CZ346" s="266">
        <f t="shared" ref="CZ346" si="5266">CY346</f>
        <v>25722</v>
      </c>
      <c r="DA346" s="266">
        <f t="shared" ref="DA346" si="5267">CZ346</f>
        <v>25722</v>
      </c>
      <c r="DB346" s="44">
        <f>ROUND(DA346*(1+取值表!$D$16)*取值表!$H$16,0)</f>
        <v>25667</v>
      </c>
      <c r="DC346" s="266">
        <f t="shared" ref="DC346" si="5268">DB346</f>
        <v>25667</v>
      </c>
      <c r="DD346" s="266">
        <f t="shared" ref="DD346" si="5269">DC346</f>
        <v>25667</v>
      </c>
      <c r="DE346" s="266">
        <f>DD346</f>
        <v>25667</v>
      </c>
      <c r="DF346" s="45">
        <f t="shared" si="4935"/>
        <v>2634192</v>
      </c>
    </row>
    <row r="347" spans="1:228" s="40" customFormat="1" ht="12">
      <c r="A347" s="505"/>
      <c r="B347" s="523"/>
      <c r="C347" s="450"/>
      <c r="D347" s="451"/>
      <c r="E347" s="452"/>
      <c r="F347" s="446"/>
      <c r="G347" s="446"/>
      <c r="H347" s="447"/>
      <c r="I347" s="41"/>
      <c r="J347" s="42"/>
      <c r="K347" s="44"/>
      <c r="L347" s="44"/>
      <c r="M347" s="44"/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  <c r="AH347" s="44"/>
      <c r="AI347" s="44"/>
      <c r="AJ347" s="44"/>
      <c r="AK347" s="44"/>
      <c r="AL347" s="44"/>
      <c r="AM347" s="44"/>
      <c r="AN347" s="44"/>
      <c r="AO347" s="44"/>
      <c r="AP347" s="44"/>
      <c r="AQ347" s="44"/>
      <c r="AR347" s="44"/>
      <c r="AS347" s="44"/>
      <c r="AT347" s="44"/>
      <c r="AU347" s="44"/>
      <c r="AV347" s="44"/>
      <c r="AW347" s="44"/>
      <c r="AX347" s="44"/>
      <c r="AY347" s="44"/>
      <c r="AZ347" s="44"/>
      <c r="BA347" s="44"/>
      <c r="BB347" s="44"/>
      <c r="BC347" s="44"/>
      <c r="BD347" s="44"/>
      <c r="BE347" s="44"/>
      <c r="BF347" s="44"/>
      <c r="BG347" s="44"/>
      <c r="BH347" s="44"/>
      <c r="BI347" s="44"/>
      <c r="BJ347" s="44"/>
      <c r="BK347" s="44"/>
      <c r="BL347" s="44"/>
      <c r="BM347" s="44"/>
      <c r="BN347" s="44"/>
      <c r="BO347" s="44"/>
      <c r="BP347" s="44"/>
      <c r="BQ347" s="44"/>
      <c r="BR347" s="44"/>
      <c r="BS347" s="44"/>
      <c r="BT347" s="44"/>
      <c r="BU347" s="44"/>
      <c r="BV347" s="44"/>
      <c r="BW347" s="44"/>
      <c r="BX347" s="44"/>
      <c r="BY347" s="44"/>
      <c r="BZ347" s="44"/>
      <c r="CA347" s="44"/>
      <c r="CB347" s="44"/>
      <c r="CC347" s="44"/>
      <c r="CD347" s="44"/>
      <c r="CE347" s="44"/>
      <c r="CF347" s="44"/>
      <c r="CG347" s="44"/>
      <c r="CH347" s="44"/>
      <c r="CI347" s="44"/>
      <c r="CJ347" s="44"/>
      <c r="CK347" s="44"/>
      <c r="CL347" s="44"/>
      <c r="CM347" s="44"/>
      <c r="CN347" s="44"/>
      <c r="CO347" s="44"/>
      <c r="CP347" s="44"/>
      <c r="CQ347" s="44"/>
      <c r="CR347" s="44"/>
      <c r="CS347" s="44"/>
      <c r="CT347" s="44"/>
      <c r="CU347" s="44"/>
      <c r="CV347" s="44"/>
      <c r="CW347" s="44"/>
      <c r="CX347" s="44"/>
      <c r="CY347" s="44"/>
      <c r="CZ347" s="44"/>
      <c r="DA347" s="44"/>
      <c r="DB347" s="44"/>
      <c r="DC347" s="44"/>
      <c r="DD347" s="44"/>
      <c r="DE347" s="44"/>
      <c r="DF347" s="45">
        <f t="shared" si="4935"/>
        <v>0</v>
      </c>
    </row>
    <row r="348" spans="1:228" s="40" customFormat="1" ht="11.25" customHeight="1">
      <c r="A348" s="504">
        <v>178</v>
      </c>
      <c r="B348" s="522" t="s">
        <v>314</v>
      </c>
      <c r="C348" s="450" t="s">
        <v>16</v>
      </c>
      <c r="D348" s="451" t="s">
        <v>530</v>
      </c>
      <c r="E348" s="452" t="s">
        <v>526</v>
      </c>
      <c r="F348" s="446">
        <v>1015.5</v>
      </c>
      <c r="G348" s="446">
        <f>AVERAGE(5.5,6.5,7,7.5)</f>
        <v>6.625</v>
      </c>
      <c r="H348" s="447">
        <f>F348*G348*365</f>
        <v>2455605.9375</v>
      </c>
      <c r="I348" s="41">
        <v>500000</v>
      </c>
      <c r="J348" s="42">
        <f>K348</f>
        <v>509654</v>
      </c>
      <c r="K348" s="44">
        <f>ROUND(5.5*365*F348/4,0)</f>
        <v>509654</v>
      </c>
      <c r="L348" s="44">
        <f t="shared" ref="L348:R348" si="5270">M348</f>
        <v>602318</v>
      </c>
      <c r="M348" s="44">
        <f t="shared" si="5270"/>
        <v>602318</v>
      </c>
      <c r="N348" s="44">
        <f t="shared" si="5270"/>
        <v>602318</v>
      </c>
      <c r="O348" s="44">
        <f t="shared" si="5270"/>
        <v>602318</v>
      </c>
      <c r="P348" s="44">
        <f t="shared" si="5270"/>
        <v>602318</v>
      </c>
      <c r="Q348" s="44">
        <f t="shared" si="5270"/>
        <v>602318</v>
      </c>
      <c r="R348" s="44">
        <f t="shared" si="5270"/>
        <v>602318</v>
      </c>
      <c r="S348" s="44">
        <f>ROUND(6.5*365*F348/4,0)</f>
        <v>602318</v>
      </c>
      <c r="T348" s="44">
        <f t="shared" ref="T348:Z348" si="5271">U348</f>
        <v>648651</v>
      </c>
      <c r="U348" s="44">
        <f t="shared" si="5271"/>
        <v>648651</v>
      </c>
      <c r="V348" s="44">
        <f t="shared" si="5271"/>
        <v>648651</v>
      </c>
      <c r="W348" s="44">
        <f t="shared" si="5271"/>
        <v>648651</v>
      </c>
      <c r="X348" s="44">
        <f t="shared" si="5271"/>
        <v>648651</v>
      </c>
      <c r="Y348" s="44">
        <f t="shared" si="5271"/>
        <v>648651</v>
      </c>
      <c r="Z348" s="44">
        <f t="shared" si="5271"/>
        <v>648651</v>
      </c>
      <c r="AA348" s="44">
        <f>ROUND(7*365*F348/4,0)</f>
        <v>648651</v>
      </c>
      <c r="AB348" s="44">
        <f t="shared" ref="AB348:AH348" si="5272">AC348</f>
        <v>694983</v>
      </c>
      <c r="AC348" s="44">
        <f t="shared" si="5272"/>
        <v>694983</v>
      </c>
      <c r="AD348" s="44">
        <f t="shared" si="5272"/>
        <v>694983</v>
      </c>
      <c r="AE348" s="44">
        <f t="shared" si="5272"/>
        <v>694983</v>
      </c>
      <c r="AF348" s="44">
        <f t="shared" si="5272"/>
        <v>694983</v>
      </c>
      <c r="AG348" s="44">
        <f t="shared" si="5272"/>
        <v>694983</v>
      </c>
      <c r="AH348" s="44">
        <f t="shared" si="5272"/>
        <v>694983</v>
      </c>
      <c r="AI348" s="43">
        <f>ROUND(7.5*365*F348/4,0)</f>
        <v>694983</v>
      </c>
      <c r="AJ348" s="44">
        <f>AI348</f>
        <v>694983</v>
      </c>
      <c r="AK348" s="44">
        <f>AJ348</f>
        <v>694983</v>
      </c>
      <c r="AL348" s="44">
        <f>ROUND(AK348*(1+取值表!$D$16)*取值表!$H$16,0)</f>
        <v>693489</v>
      </c>
      <c r="AM348" s="44">
        <f>AL348</f>
        <v>693489</v>
      </c>
      <c r="AN348" s="44">
        <f>AM348</f>
        <v>693489</v>
      </c>
      <c r="AO348" s="44">
        <f>AN348</f>
        <v>693489</v>
      </c>
      <c r="AP348" s="44">
        <f>ROUND(AO348*(1+取值表!$D$16)*取值表!$H$16,0)</f>
        <v>691998</v>
      </c>
      <c r="AQ348" s="44">
        <f t="shared" ref="AQ348:AS348" si="5273">AP348</f>
        <v>691998</v>
      </c>
      <c r="AR348" s="44">
        <f t="shared" si="5273"/>
        <v>691998</v>
      </c>
      <c r="AS348" s="44">
        <f t="shared" si="5273"/>
        <v>691998</v>
      </c>
      <c r="AT348" s="44">
        <f>ROUND(AS348*(1+取值表!$D$16)*取值表!$H$16,0)</f>
        <v>690510</v>
      </c>
      <c r="AU348" s="44">
        <f t="shared" ref="AU348:AW348" si="5274">AT348</f>
        <v>690510</v>
      </c>
      <c r="AV348" s="44">
        <f t="shared" si="5274"/>
        <v>690510</v>
      </c>
      <c r="AW348" s="44">
        <f t="shared" si="5274"/>
        <v>690510</v>
      </c>
      <c r="AX348" s="44">
        <f>ROUND(AW348*(1+取值表!$D$16)*取值表!$H$16,0)</f>
        <v>689025</v>
      </c>
      <c r="AY348" s="44">
        <f t="shared" ref="AY348:BA348" si="5275">AX348</f>
        <v>689025</v>
      </c>
      <c r="AZ348" s="44">
        <f t="shared" si="5275"/>
        <v>689025</v>
      </c>
      <c r="BA348" s="44">
        <f t="shared" si="5275"/>
        <v>689025</v>
      </c>
      <c r="BB348" s="44">
        <f>ROUND(BA348*(1+取值表!$D$16)*取值表!$H$16,0)</f>
        <v>687544</v>
      </c>
      <c r="BC348" s="44">
        <f t="shared" ref="BC348:BE348" si="5276">BB348</f>
        <v>687544</v>
      </c>
      <c r="BD348" s="44">
        <f t="shared" si="5276"/>
        <v>687544</v>
      </c>
      <c r="BE348" s="44">
        <f t="shared" si="5276"/>
        <v>687544</v>
      </c>
      <c r="BF348" s="44">
        <f>ROUND(BE348*(1+取值表!$D$16)*取值表!$H$16,0)</f>
        <v>686066</v>
      </c>
      <c r="BG348" s="44">
        <f t="shared" ref="BG348:BI348" si="5277">BF348</f>
        <v>686066</v>
      </c>
      <c r="BH348" s="44">
        <f t="shared" si="5277"/>
        <v>686066</v>
      </c>
      <c r="BI348" s="44">
        <f t="shared" si="5277"/>
        <v>686066</v>
      </c>
      <c r="BJ348" s="44">
        <f>ROUND(BI348*(1+取值表!$D$16)*取值表!$H$16,0)</f>
        <v>684591</v>
      </c>
      <c r="BK348" s="44">
        <f t="shared" ref="BK348:BM348" si="5278">BJ348</f>
        <v>684591</v>
      </c>
      <c r="BL348" s="44">
        <f t="shared" si="5278"/>
        <v>684591</v>
      </c>
      <c r="BM348" s="44">
        <f t="shared" si="5278"/>
        <v>684591</v>
      </c>
      <c r="BN348" s="44">
        <f>ROUND(BM348*(1+取值表!$D$16)*取值表!$H$16,0)</f>
        <v>683119</v>
      </c>
      <c r="BO348" s="44">
        <f t="shared" ref="BO348:BQ348" si="5279">BN348</f>
        <v>683119</v>
      </c>
      <c r="BP348" s="44">
        <f t="shared" si="5279"/>
        <v>683119</v>
      </c>
      <c r="BQ348" s="44">
        <f t="shared" si="5279"/>
        <v>683119</v>
      </c>
      <c r="BR348" s="44">
        <f>ROUND(BQ348*(1+取值表!$D$16)*取值表!$H$16,0)</f>
        <v>681650</v>
      </c>
      <c r="BS348" s="44">
        <f t="shared" ref="BS348:BU348" si="5280">BR348</f>
        <v>681650</v>
      </c>
      <c r="BT348" s="44">
        <f t="shared" si="5280"/>
        <v>681650</v>
      </c>
      <c r="BU348" s="44">
        <f t="shared" si="5280"/>
        <v>681650</v>
      </c>
      <c r="BV348" s="44">
        <f>ROUND(BU348*(1+取值表!$D$16)*取值表!$H$16,0)</f>
        <v>680185</v>
      </c>
      <c r="BW348" s="44">
        <f t="shared" ref="BW348:BY348" si="5281">BV348</f>
        <v>680185</v>
      </c>
      <c r="BX348" s="44">
        <f t="shared" si="5281"/>
        <v>680185</v>
      </c>
      <c r="BY348" s="44">
        <f t="shared" si="5281"/>
        <v>680185</v>
      </c>
      <c r="BZ348" s="44">
        <f>ROUND(BY348*(1+取值表!$D$16)*取值表!$H$16,0)</f>
        <v>678723</v>
      </c>
      <c r="CA348" s="44">
        <f t="shared" ref="CA348:CC348" si="5282">BZ348</f>
        <v>678723</v>
      </c>
      <c r="CB348" s="44">
        <f t="shared" si="5282"/>
        <v>678723</v>
      </c>
      <c r="CC348" s="44">
        <f t="shared" si="5282"/>
        <v>678723</v>
      </c>
      <c r="CD348" s="44">
        <f>ROUND(CC348*(1+取值表!$D$16)*取值表!$H$16,0)</f>
        <v>677264</v>
      </c>
      <c r="CE348" s="44">
        <f t="shared" ref="CE348:CG348" si="5283">CD348</f>
        <v>677264</v>
      </c>
      <c r="CF348" s="44">
        <f t="shared" si="5283"/>
        <v>677264</v>
      </c>
      <c r="CG348" s="44">
        <f t="shared" si="5283"/>
        <v>677264</v>
      </c>
      <c r="CH348" s="44">
        <f>ROUND(CG348*(1+取值表!$D$16)*取值表!$H$16,0)</f>
        <v>675808</v>
      </c>
      <c r="CI348" s="44">
        <f t="shared" ref="CI348:CK348" si="5284">CH348</f>
        <v>675808</v>
      </c>
      <c r="CJ348" s="44">
        <f t="shared" si="5284"/>
        <v>675808</v>
      </c>
      <c r="CK348" s="44">
        <f t="shared" si="5284"/>
        <v>675808</v>
      </c>
      <c r="CL348" s="44">
        <f>ROUND(CK348*(1+取值表!$D$16)*取值表!$H$16,0)</f>
        <v>674355</v>
      </c>
      <c r="CM348" s="44">
        <f t="shared" ref="CM348:CO348" si="5285">CL348</f>
        <v>674355</v>
      </c>
      <c r="CN348" s="44">
        <f t="shared" si="5285"/>
        <v>674355</v>
      </c>
      <c r="CO348" s="44">
        <f t="shared" si="5285"/>
        <v>674355</v>
      </c>
      <c r="CP348" s="44">
        <f>ROUND(CO348*(1+取值表!$D$16)*取值表!$H$16,0)</f>
        <v>672905</v>
      </c>
      <c r="CQ348" s="44">
        <f t="shared" ref="CQ348" si="5286">CP348</f>
        <v>672905</v>
      </c>
      <c r="CR348" s="44">
        <f t="shared" ref="CR348" si="5287">CQ348</f>
        <v>672905</v>
      </c>
      <c r="CS348" s="44">
        <f t="shared" ref="CS348" si="5288">CR348</f>
        <v>672905</v>
      </c>
      <c r="CT348" s="44">
        <f>ROUND(CS348*(1+取值表!$D$16)*取值表!$H$16,0)</f>
        <v>671458</v>
      </c>
      <c r="CU348" s="44">
        <f t="shared" ref="CU348" si="5289">CT348</f>
        <v>671458</v>
      </c>
      <c r="CV348" s="44">
        <f t="shared" ref="CV348" si="5290">CU348</f>
        <v>671458</v>
      </c>
      <c r="CW348" s="44">
        <f t="shared" ref="CW348" si="5291">CV348</f>
        <v>671458</v>
      </c>
      <c r="CX348" s="44">
        <f>ROUND(CW348*(1+取值表!$D$16)*取值表!$H$16,0)</f>
        <v>670014</v>
      </c>
      <c r="CY348" s="44">
        <f t="shared" ref="CY348" si="5292">CX348</f>
        <v>670014</v>
      </c>
      <c r="CZ348" s="44">
        <f t="shared" ref="CZ348" si="5293">CY348</f>
        <v>670014</v>
      </c>
      <c r="DA348" s="44">
        <f t="shared" ref="DA348" si="5294">CZ348</f>
        <v>670014</v>
      </c>
      <c r="DB348" s="44">
        <f>ROUND(DA348*(1+取值表!$D$16)*取值表!$H$16,0)</f>
        <v>668574</v>
      </c>
      <c r="DC348" s="44">
        <f t="shared" ref="DC348" si="5295">DB348</f>
        <v>668574</v>
      </c>
      <c r="DD348" s="44">
        <f t="shared" ref="DD348" si="5296">DC348</f>
        <v>668574</v>
      </c>
      <c r="DE348" s="44">
        <f t="shared" ref="DE348" si="5297">DD348</f>
        <v>668574</v>
      </c>
      <c r="DF348" s="45">
        <f t="shared" si="4935"/>
        <v>67006002</v>
      </c>
      <c r="DG348" s="268"/>
    </row>
    <row r="349" spans="1:228" s="40" customFormat="1" ht="12" customHeight="1">
      <c r="A349" s="505"/>
      <c r="B349" s="522"/>
      <c r="C349" s="450"/>
      <c r="D349" s="451"/>
      <c r="E349" s="452"/>
      <c r="F349" s="446"/>
      <c r="G349" s="446"/>
      <c r="H349" s="447"/>
      <c r="I349" s="41"/>
      <c r="J349" s="42"/>
      <c r="K349" s="44"/>
      <c r="L349" s="44"/>
      <c r="M349" s="44"/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  <c r="AH349" s="44"/>
      <c r="AI349" s="44"/>
      <c r="AJ349" s="44"/>
      <c r="AK349" s="44"/>
      <c r="AL349" s="44"/>
      <c r="AM349" s="44"/>
      <c r="AN349" s="44"/>
      <c r="AO349" s="44"/>
      <c r="AP349" s="44"/>
      <c r="AQ349" s="44"/>
      <c r="AR349" s="44"/>
      <c r="AS349" s="44"/>
      <c r="AT349" s="44"/>
      <c r="AU349" s="44"/>
      <c r="AV349" s="44"/>
      <c r="AW349" s="44"/>
      <c r="AX349" s="44"/>
      <c r="AY349" s="44"/>
      <c r="AZ349" s="44"/>
      <c r="BA349" s="44"/>
      <c r="BB349" s="44"/>
      <c r="BC349" s="44"/>
      <c r="BD349" s="44"/>
      <c r="BE349" s="44"/>
      <c r="BF349" s="44"/>
      <c r="BG349" s="44"/>
      <c r="BH349" s="44"/>
      <c r="BI349" s="44"/>
      <c r="BJ349" s="44"/>
      <c r="BK349" s="44"/>
      <c r="BL349" s="44"/>
      <c r="BM349" s="44"/>
      <c r="BN349" s="44"/>
      <c r="BO349" s="44"/>
      <c r="BP349" s="44"/>
      <c r="BQ349" s="44"/>
      <c r="BR349" s="44"/>
      <c r="BS349" s="44"/>
      <c r="BT349" s="44"/>
      <c r="BU349" s="44"/>
      <c r="BV349" s="44"/>
      <c r="BW349" s="44"/>
      <c r="BX349" s="44"/>
      <c r="BY349" s="44"/>
      <c r="BZ349" s="44"/>
      <c r="CA349" s="44"/>
      <c r="CB349" s="44"/>
      <c r="CC349" s="44"/>
      <c r="CD349" s="44"/>
      <c r="CE349" s="44"/>
      <c r="CF349" s="44"/>
      <c r="CG349" s="44"/>
      <c r="CH349" s="44"/>
      <c r="CI349" s="44"/>
      <c r="CJ349" s="44"/>
      <c r="CK349" s="44"/>
      <c r="CL349" s="44"/>
      <c r="CM349" s="44"/>
      <c r="CN349" s="44"/>
      <c r="CO349" s="44"/>
      <c r="CP349" s="44"/>
      <c r="CQ349" s="44"/>
      <c r="CR349" s="44"/>
      <c r="CS349" s="44"/>
      <c r="CT349" s="44"/>
      <c r="CU349" s="44"/>
      <c r="CV349" s="44"/>
      <c r="CW349" s="44"/>
      <c r="CX349" s="44"/>
      <c r="CY349" s="44"/>
      <c r="CZ349" s="44"/>
      <c r="DA349" s="44"/>
      <c r="DB349" s="44"/>
      <c r="DC349" s="44"/>
      <c r="DD349" s="44"/>
      <c r="DE349" s="44"/>
      <c r="DF349" s="45">
        <f t="shared" si="4935"/>
        <v>0</v>
      </c>
    </row>
    <row r="350" spans="1:228" s="40" customFormat="1" ht="12" customHeight="1">
      <c r="A350" s="504">
        <v>179</v>
      </c>
      <c r="B350" s="523" t="s">
        <v>315</v>
      </c>
      <c r="C350" s="450" t="s">
        <v>316</v>
      </c>
      <c r="D350" s="451" t="s">
        <v>531</v>
      </c>
      <c r="E350" s="452" t="s">
        <v>526</v>
      </c>
      <c r="F350" s="446">
        <v>153.44999999999999</v>
      </c>
      <c r="G350" s="446">
        <f>AVERAGE(10,11)</f>
        <v>10.5</v>
      </c>
      <c r="H350" s="447">
        <f>F350*G350*365</f>
        <v>588097.125</v>
      </c>
      <c r="I350" s="41">
        <v>144643.89000000001</v>
      </c>
      <c r="J350" s="42">
        <f>ROUND(10*F350*365/4,0)</f>
        <v>140023</v>
      </c>
      <c r="K350" s="44">
        <f>L350</f>
        <v>154025</v>
      </c>
      <c r="L350" s="44">
        <f>M350</f>
        <v>154025</v>
      </c>
      <c r="M350" s="44">
        <f>N350</f>
        <v>154025</v>
      </c>
      <c r="N350" s="43">
        <f>ROUND(F350*11*365/4,0)</f>
        <v>154025</v>
      </c>
      <c r="O350" s="44">
        <f>N350</f>
        <v>154025</v>
      </c>
      <c r="P350" s="44">
        <f>O350</f>
        <v>154025</v>
      </c>
      <c r="Q350" s="44">
        <f>P350</f>
        <v>154025</v>
      </c>
      <c r="R350" s="44">
        <f>ROUND(Q350*(1+取值表!$D$16)*取值表!$H$16,0)</f>
        <v>153694</v>
      </c>
      <c r="S350" s="44">
        <f>R350</f>
        <v>153694</v>
      </c>
      <c r="T350" s="44">
        <f>S350</f>
        <v>153694</v>
      </c>
      <c r="U350" s="44">
        <f>T350</f>
        <v>153694</v>
      </c>
      <c r="V350" s="44">
        <f>ROUND(U350*(1+取值表!$D$16)*取值表!$H$16,0)</f>
        <v>153364</v>
      </c>
      <c r="W350" s="44">
        <f t="shared" ref="W350:Y350" si="5298">V350</f>
        <v>153364</v>
      </c>
      <c r="X350" s="44">
        <f t="shared" si="5298"/>
        <v>153364</v>
      </c>
      <c r="Y350" s="44">
        <f t="shared" si="5298"/>
        <v>153364</v>
      </c>
      <c r="Z350" s="44">
        <f>ROUND(Y350*(1+取值表!$D$16)*取值表!$H$16,0)</f>
        <v>153034</v>
      </c>
      <c r="AA350" s="44">
        <f t="shared" ref="AA350:AC350" si="5299">Z350</f>
        <v>153034</v>
      </c>
      <c r="AB350" s="44">
        <f t="shared" si="5299"/>
        <v>153034</v>
      </c>
      <c r="AC350" s="44">
        <f t="shared" si="5299"/>
        <v>153034</v>
      </c>
      <c r="AD350" s="44">
        <f>ROUND(AC350*(1+取值表!$D$16)*取值表!$H$16,0)</f>
        <v>152705</v>
      </c>
      <c r="AE350" s="44">
        <f t="shared" ref="AE350:AG350" si="5300">AD350</f>
        <v>152705</v>
      </c>
      <c r="AF350" s="44">
        <f t="shared" si="5300"/>
        <v>152705</v>
      </c>
      <c r="AG350" s="44">
        <f t="shared" si="5300"/>
        <v>152705</v>
      </c>
      <c r="AH350" s="44">
        <f>ROUND(AG350*(1+取值表!$D$16)*取值表!$H$16,0)</f>
        <v>152377</v>
      </c>
      <c r="AI350" s="44">
        <f t="shared" ref="AI350:AK350" si="5301">AH350</f>
        <v>152377</v>
      </c>
      <c r="AJ350" s="44">
        <f t="shared" si="5301"/>
        <v>152377</v>
      </c>
      <c r="AK350" s="44">
        <f t="shared" si="5301"/>
        <v>152377</v>
      </c>
      <c r="AL350" s="44">
        <f>ROUND(AK350*(1+取值表!$D$16)*取值表!$H$16,0)</f>
        <v>152049</v>
      </c>
      <c r="AM350" s="44">
        <f t="shared" ref="AM350:AO350" si="5302">AL350</f>
        <v>152049</v>
      </c>
      <c r="AN350" s="44">
        <f t="shared" si="5302"/>
        <v>152049</v>
      </c>
      <c r="AO350" s="44">
        <f t="shared" si="5302"/>
        <v>152049</v>
      </c>
      <c r="AP350" s="44">
        <f>ROUND(AO350*(1+取值表!$D$16)*取值表!$H$16,0)</f>
        <v>151722</v>
      </c>
      <c r="AQ350" s="44">
        <f t="shared" ref="AQ350:AS350" si="5303">AP350</f>
        <v>151722</v>
      </c>
      <c r="AR350" s="44">
        <f t="shared" si="5303"/>
        <v>151722</v>
      </c>
      <c r="AS350" s="44">
        <f t="shared" si="5303"/>
        <v>151722</v>
      </c>
      <c r="AT350" s="44">
        <f>ROUND(AS350*(1+取值表!$D$16)*取值表!$H$16,0)</f>
        <v>151396</v>
      </c>
      <c r="AU350" s="44">
        <f t="shared" ref="AU350:AW350" si="5304">AT350</f>
        <v>151396</v>
      </c>
      <c r="AV350" s="44">
        <f t="shared" si="5304"/>
        <v>151396</v>
      </c>
      <c r="AW350" s="44">
        <f t="shared" si="5304"/>
        <v>151396</v>
      </c>
      <c r="AX350" s="44">
        <f>ROUND(AW350*(1+取值表!$D$16)*取值表!$H$16,0)</f>
        <v>151071</v>
      </c>
      <c r="AY350" s="44">
        <f t="shared" ref="AY350:BA350" si="5305">AX350</f>
        <v>151071</v>
      </c>
      <c r="AZ350" s="44">
        <f t="shared" si="5305"/>
        <v>151071</v>
      </c>
      <c r="BA350" s="44">
        <f t="shared" si="5305"/>
        <v>151071</v>
      </c>
      <c r="BB350" s="44">
        <f>ROUND(BA350*(1+取值表!$D$16)*取值表!$H$16,0)</f>
        <v>150746</v>
      </c>
      <c r="BC350" s="44">
        <f t="shared" ref="BC350:BE350" si="5306">BB350</f>
        <v>150746</v>
      </c>
      <c r="BD350" s="44">
        <f t="shared" si="5306"/>
        <v>150746</v>
      </c>
      <c r="BE350" s="44">
        <f t="shared" si="5306"/>
        <v>150746</v>
      </c>
      <c r="BF350" s="44">
        <f>ROUND(BE350*(1+取值表!$D$16)*取值表!$H$16,0)</f>
        <v>150422</v>
      </c>
      <c r="BG350" s="44">
        <f t="shared" ref="BG350:BI350" si="5307">BF350</f>
        <v>150422</v>
      </c>
      <c r="BH350" s="44">
        <f t="shared" si="5307"/>
        <v>150422</v>
      </c>
      <c r="BI350" s="44">
        <f t="shared" si="5307"/>
        <v>150422</v>
      </c>
      <c r="BJ350" s="44">
        <f>ROUND(BI350*(1+取值表!$D$16)*取值表!$H$16,0)</f>
        <v>150099</v>
      </c>
      <c r="BK350" s="44">
        <f t="shared" ref="BK350:BM350" si="5308">BJ350</f>
        <v>150099</v>
      </c>
      <c r="BL350" s="44">
        <f t="shared" si="5308"/>
        <v>150099</v>
      </c>
      <c r="BM350" s="44">
        <f t="shared" si="5308"/>
        <v>150099</v>
      </c>
      <c r="BN350" s="44">
        <f>ROUND(BM350*(1+取值表!$D$16)*取值表!$H$16,0)</f>
        <v>149776</v>
      </c>
      <c r="BO350" s="44">
        <f t="shared" ref="BO350:BQ350" si="5309">BN350</f>
        <v>149776</v>
      </c>
      <c r="BP350" s="44">
        <f t="shared" si="5309"/>
        <v>149776</v>
      </c>
      <c r="BQ350" s="44">
        <f t="shared" si="5309"/>
        <v>149776</v>
      </c>
      <c r="BR350" s="44">
        <f>ROUND(BQ350*(1+取值表!$D$16)*取值表!$H$16,0)</f>
        <v>149454</v>
      </c>
      <c r="BS350" s="44">
        <f t="shared" ref="BS350:BU350" si="5310">BR350</f>
        <v>149454</v>
      </c>
      <c r="BT350" s="44">
        <f t="shared" si="5310"/>
        <v>149454</v>
      </c>
      <c r="BU350" s="44">
        <f t="shared" si="5310"/>
        <v>149454</v>
      </c>
      <c r="BV350" s="44">
        <f>ROUND(BU350*(1+取值表!$D$16)*取值表!$H$16,0)</f>
        <v>149133</v>
      </c>
      <c r="BW350" s="44">
        <f t="shared" ref="BW350:BY350" si="5311">BV350</f>
        <v>149133</v>
      </c>
      <c r="BX350" s="44">
        <f t="shared" si="5311"/>
        <v>149133</v>
      </c>
      <c r="BY350" s="44">
        <f t="shared" si="5311"/>
        <v>149133</v>
      </c>
      <c r="BZ350" s="44">
        <f>ROUND(BY350*(1+取值表!$D$16)*取值表!$H$16,0)</f>
        <v>148812</v>
      </c>
      <c r="CA350" s="44">
        <f t="shared" ref="CA350:CC350" si="5312">BZ350</f>
        <v>148812</v>
      </c>
      <c r="CB350" s="44">
        <f t="shared" si="5312"/>
        <v>148812</v>
      </c>
      <c r="CC350" s="44">
        <f t="shared" si="5312"/>
        <v>148812</v>
      </c>
      <c r="CD350" s="44">
        <f>ROUND(CC350*(1+取值表!$D$16)*取值表!$H$16,0)</f>
        <v>148492</v>
      </c>
      <c r="CE350" s="44">
        <f t="shared" ref="CE350:CG350" si="5313">CD350</f>
        <v>148492</v>
      </c>
      <c r="CF350" s="44">
        <f t="shared" si="5313"/>
        <v>148492</v>
      </c>
      <c r="CG350" s="44">
        <f t="shared" si="5313"/>
        <v>148492</v>
      </c>
      <c r="CH350" s="44">
        <f>ROUND(CG350*(1+取值表!$D$16)*取值表!$H$16,0)</f>
        <v>148173</v>
      </c>
      <c r="CI350" s="44">
        <f t="shared" ref="CI350:CK350" si="5314">CH350</f>
        <v>148173</v>
      </c>
      <c r="CJ350" s="44">
        <f t="shared" si="5314"/>
        <v>148173</v>
      </c>
      <c r="CK350" s="44">
        <f t="shared" si="5314"/>
        <v>148173</v>
      </c>
      <c r="CL350" s="44">
        <f>ROUND(CK350*(1+取值表!$D$16)*取值表!$H$16,0)</f>
        <v>147854</v>
      </c>
      <c r="CM350" s="44">
        <f t="shared" ref="CM350:CO350" si="5315">CL350</f>
        <v>147854</v>
      </c>
      <c r="CN350" s="44">
        <f t="shared" si="5315"/>
        <v>147854</v>
      </c>
      <c r="CO350" s="44">
        <f t="shared" si="5315"/>
        <v>147854</v>
      </c>
      <c r="CP350" s="44">
        <f>ROUND(CO350*(1+取值表!$D$16)*取值表!$H$16,0)</f>
        <v>147536</v>
      </c>
      <c r="CQ350" s="44">
        <f t="shared" ref="CQ350" si="5316">CP350</f>
        <v>147536</v>
      </c>
      <c r="CR350" s="44">
        <f t="shared" ref="CR350" si="5317">CQ350</f>
        <v>147536</v>
      </c>
      <c r="CS350" s="44">
        <f t="shared" ref="CS350" si="5318">CR350</f>
        <v>147536</v>
      </c>
      <c r="CT350" s="44">
        <f>ROUND(CS350*(1+取值表!$D$16)*取值表!$H$16,0)</f>
        <v>147219</v>
      </c>
      <c r="CU350" s="44">
        <f t="shared" ref="CU350" si="5319">CT350</f>
        <v>147219</v>
      </c>
      <c r="CV350" s="44">
        <f t="shared" ref="CV350" si="5320">CU350</f>
        <v>147219</v>
      </c>
      <c r="CW350" s="44">
        <f t="shared" ref="CW350" si="5321">CV350</f>
        <v>147219</v>
      </c>
      <c r="CX350" s="44">
        <f>ROUND(CW350*(1+取值表!$D$16)*取值表!$H$16,0)</f>
        <v>146902</v>
      </c>
      <c r="CY350" s="44">
        <f t="shared" ref="CY350" si="5322">CX350</f>
        <v>146902</v>
      </c>
      <c r="CZ350" s="44">
        <f t="shared" ref="CZ350" si="5323">CY350</f>
        <v>146902</v>
      </c>
      <c r="DA350" s="44">
        <f t="shared" ref="DA350" si="5324">CZ350</f>
        <v>146902</v>
      </c>
      <c r="DB350" s="44">
        <f>ROUND(DA350*(1+取值表!$D$16)*取值表!$H$16,0)</f>
        <v>146586</v>
      </c>
      <c r="DC350" s="44">
        <f t="shared" ref="DC350" si="5325">DB350</f>
        <v>146586</v>
      </c>
      <c r="DD350" s="44">
        <f t="shared" ref="DD350" si="5326">DC350</f>
        <v>146586</v>
      </c>
      <c r="DE350" s="44">
        <f t="shared" ref="DE350" si="5327">DD350</f>
        <v>146586</v>
      </c>
      <c r="DF350" s="45">
        <f t="shared" si="4935"/>
        <v>15028662</v>
      </c>
    </row>
    <row r="351" spans="1:228" s="40" customFormat="1" ht="12">
      <c r="A351" s="505"/>
      <c r="B351" s="523"/>
      <c r="C351" s="450"/>
      <c r="D351" s="451"/>
      <c r="E351" s="452"/>
      <c r="F351" s="446"/>
      <c r="G351" s="446"/>
      <c r="H351" s="447"/>
      <c r="I351" s="41"/>
      <c r="J351" s="42"/>
      <c r="K351" s="44"/>
      <c r="L351" s="44"/>
      <c r="M351" s="44"/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  <c r="AH351" s="44"/>
      <c r="AI351" s="44"/>
      <c r="AJ351" s="44"/>
      <c r="AK351" s="44"/>
      <c r="AL351" s="44"/>
      <c r="AM351" s="44"/>
      <c r="AN351" s="44"/>
      <c r="AO351" s="44"/>
      <c r="AP351" s="44"/>
      <c r="AQ351" s="44"/>
      <c r="AR351" s="44"/>
      <c r="AS351" s="44"/>
      <c r="AT351" s="44"/>
      <c r="AU351" s="44"/>
      <c r="AV351" s="44"/>
      <c r="AW351" s="44"/>
      <c r="AX351" s="44"/>
      <c r="AY351" s="44"/>
      <c r="AZ351" s="44"/>
      <c r="BA351" s="44"/>
      <c r="BB351" s="44"/>
      <c r="BC351" s="44"/>
      <c r="BD351" s="44"/>
      <c r="BE351" s="44"/>
      <c r="BF351" s="44"/>
      <c r="BG351" s="44"/>
      <c r="BH351" s="44"/>
      <c r="BI351" s="44"/>
      <c r="BJ351" s="44"/>
      <c r="BK351" s="44"/>
      <c r="BL351" s="44"/>
      <c r="BM351" s="44"/>
      <c r="BN351" s="44"/>
      <c r="BO351" s="44"/>
      <c r="BP351" s="44"/>
      <c r="BQ351" s="44"/>
      <c r="BR351" s="44"/>
      <c r="BS351" s="44"/>
      <c r="BT351" s="44"/>
      <c r="BU351" s="44"/>
      <c r="BV351" s="44"/>
      <c r="BW351" s="44"/>
      <c r="BX351" s="44"/>
      <c r="BY351" s="44"/>
      <c r="BZ351" s="44"/>
      <c r="CA351" s="44"/>
      <c r="CB351" s="44"/>
      <c r="CC351" s="44"/>
      <c r="CD351" s="44"/>
      <c r="CE351" s="44"/>
      <c r="CF351" s="44"/>
      <c r="CG351" s="44"/>
      <c r="CH351" s="44"/>
      <c r="CI351" s="44"/>
      <c r="CJ351" s="44"/>
      <c r="CK351" s="44"/>
      <c r="CL351" s="44"/>
      <c r="CM351" s="44"/>
      <c r="CN351" s="44"/>
      <c r="CO351" s="44"/>
      <c r="CP351" s="44"/>
      <c r="CQ351" s="44"/>
      <c r="CR351" s="44"/>
      <c r="CS351" s="44"/>
      <c r="CT351" s="44"/>
      <c r="CU351" s="44"/>
      <c r="CV351" s="44"/>
      <c r="CW351" s="44"/>
      <c r="CX351" s="44"/>
      <c r="CY351" s="44"/>
      <c r="CZ351" s="44"/>
      <c r="DA351" s="44"/>
      <c r="DB351" s="44"/>
      <c r="DC351" s="44"/>
      <c r="DD351" s="44"/>
      <c r="DE351" s="44"/>
      <c r="DF351" s="45">
        <f t="shared" si="4935"/>
        <v>0</v>
      </c>
    </row>
    <row r="352" spans="1:228" s="52" customFormat="1" ht="12">
      <c r="A352" s="504">
        <v>180</v>
      </c>
      <c r="B352" s="522" t="s">
        <v>574</v>
      </c>
      <c r="C352" s="457" t="s">
        <v>721</v>
      </c>
      <c r="D352" s="458" t="s">
        <v>650</v>
      </c>
      <c r="E352" s="459" t="s">
        <v>526</v>
      </c>
      <c r="F352" s="453">
        <v>15.5</v>
      </c>
      <c r="G352" s="453">
        <v>24</v>
      </c>
      <c r="H352" s="454">
        <f>F352*G352*365</f>
        <v>135780</v>
      </c>
      <c r="I352" s="228">
        <v>33945</v>
      </c>
      <c r="J352" s="43">
        <f>ROUND(G352*F352*365/4,0)</f>
        <v>33945</v>
      </c>
      <c r="K352" s="42">
        <f>J352</f>
        <v>33945</v>
      </c>
      <c r="L352" s="42">
        <f>K352</f>
        <v>33945</v>
      </c>
      <c r="M352" s="42">
        <f>L352</f>
        <v>33945</v>
      </c>
      <c r="N352" s="44">
        <f>ROUND(M352*(1+取值表!$D$16)*取值表!$H$16,0)</f>
        <v>33872</v>
      </c>
      <c r="O352" s="42">
        <f>N352</f>
        <v>33872</v>
      </c>
      <c r="P352" s="42">
        <f>O352</f>
        <v>33872</v>
      </c>
      <c r="Q352" s="42">
        <f>P352</f>
        <v>33872</v>
      </c>
      <c r="R352" s="44">
        <f>ROUND(Q352*(1+取值表!$D$16)*取值表!$H$16,0)</f>
        <v>33799</v>
      </c>
      <c r="S352" s="42">
        <f t="shared" ref="S352:U352" si="5328">R352</f>
        <v>33799</v>
      </c>
      <c r="T352" s="42">
        <f t="shared" si="5328"/>
        <v>33799</v>
      </c>
      <c r="U352" s="42">
        <f t="shared" si="5328"/>
        <v>33799</v>
      </c>
      <c r="V352" s="44">
        <f>ROUND(U352*(1+取值表!$D$16)*取值表!$H$16,0)</f>
        <v>33726</v>
      </c>
      <c r="W352" s="42">
        <f t="shared" ref="W352:Y352" si="5329">V352</f>
        <v>33726</v>
      </c>
      <c r="X352" s="42">
        <f t="shared" si="5329"/>
        <v>33726</v>
      </c>
      <c r="Y352" s="42">
        <f t="shared" si="5329"/>
        <v>33726</v>
      </c>
      <c r="Z352" s="44">
        <f>ROUND(Y352*(1+取值表!$D$16)*取值表!$H$16,0)</f>
        <v>33653</v>
      </c>
      <c r="AA352" s="42">
        <f t="shared" ref="AA352:AC352" si="5330">Z352</f>
        <v>33653</v>
      </c>
      <c r="AB352" s="42">
        <f t="shared" si="5330"/>
        <v>33653</v>
      </c>
      <c r="AC352" s="42">
        <f t="shared" si="5330"/>
        <v>33653</v>
      </c>
      <c r="AD352" s="44">
        <f>ROUND(AC352*(1+取值表!$D$16)*取值表!$H$16,0)</f>
        <v>33581</v>
      </c>
      <c r="AE352" s="42">
        <f t="shared" ref="AE352:AG352" si="5331">AD352</f>
        <v>33581</v>
      </c>
      <c r="AF352" s="42">
        <f t="shared" si="5331"/>
        <v>33581</v>
      </c>
      <c r="AG352" s="42">
        <f t="shared" si="5331"/>
        <v>33581</v>
      </c>
      <c r="AH352" s="44">
        <f>ROUND(AG352*(1+取值表!$D$16)*取值表!$H$16,0)</f>
        <v>33509</v>
      </c>
      <c r="AI352" s="42">
        <f t="shared" ref="AI352:AK352" si="5332">AH352</f>
        <v>33509</v>
      </c>
      <c r="AJ352" s="42">
        <f t="shared" si="5332"/>
        <v>33509</v>
      </c>
      <c r="AK352" s="42">
        <f t="shared" si="5332"/>
        <v>33509</v>
      </c>
      <c r="AL352" s="44">
        <f>ROUND(AK352*(1+取值表!$D$16)*取值表!$H$16,0)</f>
        <v>33437</v>
      </c>
      <c r="AM352" s="42">
        <f t="shared" ref="AM352:AO352" si="5333">AL352</f>
        <v>33437</v>
      </c>
      <c r="AN352" s="42">
        <f t="shared" si="5333"/>
        <v>33437</v>
      </c>
      <c r="AO352" s="42">
        <f t="shared" si="5333"/>
        <v>33437</v>
      </c>
      <c r="AP352" s="44">
        <f>ROUND(AO352*(1+取值表!$D$16)*取值表!$H$16,0)</f>
        <v>33365</v>
      </c>
      <c r="AQ352" s="42">
        <f t="shared" ref="AQ352:AS352" si="5334">AP352</f>
        <v>33365</v>
      </c>
      <c r="AR352" s="42">
        <f t="shared" si="5334"/>
        <v>33365</v>
      </c>
      <c r="AS352" s="42">
        <f t="shared" si="5334"/>
        <v>33365</v>
      </c>
      <c r="AT352" s="44">
        <f>ROUND(AS352*(1+取值表!$D$16)*取值表!$H$16,0)</f>
        <v>33293</v>
      </c>
      <c r="AU352" s="42">
        <f t="shared" ref="AU352:AW352" si="5335">AT352</f>
        <v>33293</v>
      </c>
      <c r="AV352" s="42">
        <f t="shared" si="5335"/>
        <v>33293</v>
      </c>
      <c r="AW352" s="42">
        <f t="shared" si="5335"/>
        <v>33293</v>
      </c>
      <c r="AX352" s="44">
        <f>ROUND(AW352*(1+取值表!$D$16)*取值表!$H$16,0)</f>
        <v>33221</v>
      </c>
      <c r="AY352" s="42">
        <f t="shared" ref="AY352:BA352" si="5336">AX352</f>
        <v>33221</v>
      </c>
      <c r="AZ352" s="42">
        <f t="shared" si="5336"/>
        <v>33221</v>
      </c>
      <c r="BA352" s="42">
        <f t="shared" si="5336"/>
        <v>33221</v>
      </c>
      <c r="BB352" s="44">
        <f>ROUND(BA352*(1+取值表!$D$16)*取值表!$H$16,0)</f>
        <v>33150</v>
      </c>
      <c r="BC352" s="42">
        <f t="shared" ref="BC352:BE352" si="5337">BB352</f>
        <v>33150</v>
      </c>
      <c r="BD352" s="42">
        <f t="shared" si="5337"/>
        <v>33150</v>
      </c>
      <c r="BE352" s="42">
        <f t="shared" si="5337"/>
        <v>33150</v>
      </c>
      <c r="BF352" s="44">
        <f>ROUND(BE352*(1+取值表!$D$16)*取值表!$H$16,0)</f>
        <v>33079</v>
      </c>
      <c r="BG352" s="42">
        <f t="shared" ref="BG352:BI352" si="5338">BF352</f>
        <v>33079</v>
      </c>
      <c r="BH352" s="42">
        <f t="shared" si="5338"/>
        <v>33079</v>
      </c>
      <c r="BI352" s="42">
        <f t="shared" si="5338"/>
        <v>33079</v>
      </c>
      <c r="BJ352" s="44">
        <f>ROUND(BI352*(1+取值表!$D$16)*取值表!$H$16,0)</f>
        <v>33008</v>
      </c>
      <c r="BK352" s="42">
        <f t="shared" ref="BK352:BM352" si="5339">BJ352</f>
        <v>33008</v>
      </c>
      <c r="BL352" s="42">
        <f t="shared" si="5339"/>
        <v>33008</v>
      </c>
      <c r="BM352" s="42">
        <f t="shared" si="5339"/>
        <v>33008</v>
      </c>
      <c r="BN352" s="44">
        <f>ROUND(BM352*(1+取值表!$D$16)*取值表!$H$16,0)</f>
        <v>32937</v>
      </c>
      <c r="BO352" s="42">
        <f t="shared" ref="BO352:BQ352" si="5340">BN352</f>
        <v>32937</v>
      </c>
      <c r="BP352" s="42">
        <f t="shared" si="5340"/>
        <v>32937</v>
      </c>
      <c r="BQ352" s="42">
        <f t="shared" si="5340"/>
        <v>32937</v>
      </c>
      <c r="BR352" s="44">
        <f>ROUND(BQ352*(1+取值表!$D$16)*取值表!$H$16,0)</f>
        <v>32866</v>
      </c>
      <c r="BS352" s="42">
        <f t="shared" ref="BS352:BU352" si="5341">BR352</f>
        <v>32866</v>
      </c>
      <c r="BT352" s="42">
        <f t="shared" si="5341"/>
        <v>32866</v>
      </c>
      <c r="BU352" s="42">
        <f t="shared" si="5341"/>
        <v>32866</v>
      </c>
      <c r="BV352" s="44">
        <f>ROUND(BU352*(1+取值表!$D$16)*取值表!$H$16,0)</f>
        <v>32795</v>
      </c>
      <c r="BW352" s="42">
        <f t="shared" ref="BW352:BY352" si="5342">BV352</f>
        <v>32795</v>
      </c>
      <c r="BX352" s="42">
        <f t="shared" si="5342"/>
        <v>32795</v>
      </c>
      <c r="BY352" s="42">
        <f t="shared" si="5342"/>
        <v>32795</v>
      </c>
      <c r="BZ352" s="44">
        <f>ROUND(BY352*(1+取值表!$D$16)*取值表!$H$16,0)</f>
        <v>32724</v>
      </c>
      <c r="CA352" s="42">
        <f t="shared" ref="CA352:CC352" si="5343">BZ352</f>
        <v>32724</v>
      </c>
      <c r="CB352" s="42">
        <f t="shared" si="5343"/>
        <v>32724</v>
      </c>
      <c r="CC352" s="42">
        <f t="shared" si="5343"/>
        <v>32724</v>
      </c>
      <c r="CD352" s="44">
        <f>ROUND(CC352*(1+取值表!$D$16)*取值表!$H$16,0)</f>
        <v>32654</v>
      </c>
      <c r="CE352" s="42">
        <f t="shared" ref="CE352:CG352" si="5344">CD352</f>
        <v>32654</v>
      </c>
      <c r="CF352" s="42">
        <f t="shared" si="5344"/>
        <v>32654</v>
      </c>
      <c r="CG352" s="42">
        <f t="shared" si="5344"/>
        <v>32654</v>
      </c>
      <c r="CH352" s="44">
        <f>ROUND(CG352*(1+取值表!$D$16)*取值表!$H$16,0)</f>
        <v>32584</v>
      </c>
      <c r="CI352" s="42">
        <f t="shared" ref="CI352:CK352" si="5345">CH352</f>
        <v>32584</v>
      </c>
      <c r="CJ352" s="42">
        <f t="shared" si="5345"/>
        <v>32584</v>
      </c>
      <c r="CK352" s="42">
        <f t="shared" si="5345"/>
        <v>32584</v>
      </c>
      <c r="CL352" s="44">
        <f>ROUND(CK352*(1+取值表!$D$16)*取值表!$H$16,0)</f>
        <v>32514</v>
      </c>
      <c r="CM352" s="42">
        <f t="shared" ref="CM352:CO352" si="5346">CL352</f>
        <v>32514</v>
      </c>
      <c r="CN352" s="42">
        <f t="shared" si="5346"/>
        <v>32514</v>
      </c>
      <c r="CO352" s="42">
        <f t="shared" si="5346"/>
        <v>32514</v>
      </c>
      <c r="CP352" s="44">
        <f>ROUND(CO352*(1+取值表!$D$16)*取值表!$H$16,0)</f>
        <v>32444</v>
      </c>
      <c r="CQ352" s="42">
        <f t="shared" ref="CQ352" si="5347">CP352</f>
        <v>32444</v>
      </c>
      <c r="CR352" s="42">
        <f t="shared" ref="CR352" si="5348">CQ352</f>
        <v>32444</v>
      </c>
      <c r="CS352" s="42">
        <f t="shared" ref="CS352" si="5349">CR352</f>
        <v>32444</v>
      </c>
      <c r="CT352" s="44">
        <f>ROUND(CS352*(1+取值表!$D$16)*取值表!$H$16,0)</f>
        <v>32374</v>
      </c>
      <c r="CU352" s="42">
        <f t="shared" ref="CU352" si="5350">CT352</f>
        <v>32374</v>
      </c>
      <c r="CV352" s="42">
        <f t="shared" ref="CV352" si="5351">CU352</f>
        <v>32374</v>
      </c>
      <c r="CW352" s="42">
        <f t="shared" ref="CW352" si="5352">CV352</f>
        <v>32374</v>
      </c>
      <c r="CX352" s="44">
        <f>ROUND(CW352*(1+取值表!$D$16)*取值表!$H$16,0)</f>
        <v>32304</v>
      </c>
      <c r="CY352" s="42">
        <f t="shared" ref="CY352" si="5353">CX352</f>
        <v>32304</v>
      </c>
      <c r="CZ352" s="42">
        <f t="shared" ref="CZ352" si="5354">CY352</f>
        <v>32304</v>
      </c>
      <c r="DA352" s="42">
        <f t="shared" ref="DA352" si="5355">CZ352</f>
        <v>32304</v>
      </c>
      <c r="DB352" s="44">
        <f>ROUND(DA352*(1+取值表!$D$16)*取值表!$H$16,0)</f>
        <v>32235</v>
      </c>
      <c r="DC352" s="42">
        <f t="shared" ref="DC352" si="5356">DB352</f>
        <v>32235</v>
      </c>
      <c r="DD352" s="42">
        <f t="shared" ref="DD352" si="5357">DC352</f>
        <v>32235</v>
      </c>
      <c r="DE352" s="42">
        <f t="shared" ref="DE352" si="5358">DD352</f>
        <v>32235</v>
      </c>
      <c r="DF352" s="45">
        <f t="shared" si="4935"/>
        <v>3308276</v>
      </c>
      <c r="DG352" s="229"/>
      <c r="DH352" s="229"/>
      <c r="DI352" s="229"/>
      <c r="DJ352" s="229"/>
      <c r="DK352" s="229"/>
      <c r="DL352" s="229"/>
      <c r="DM352" s="229"/>
      <c r="DN352" s="229"/>
      <c r="DO352" s="229"/>
      <c r="DP352" s="229"/>
      <c r="DQ352" s="229"/>
      <c r="DR352" s="229"/>
      <c r="DS352" s="229"/>
      <c r="DT352" s="229"/>
      <c r="DU352" s="229"/>
      <c r="DV352" s="229"/>
      <c r="DW352" s="229"/>
      <c r="DX352" s="229"/>
      <c r="DY352" s="229"/>
      <c r="DZ352" s="229"/>
      <c r="EA352" s="229"/>
      <c r="EB352" s="229"/>
      <c r="EC352" s="229"/>
      <c r="ED352" s="229"/>
      <c r="EE352" s="229"/>
      <c r="EF352" s="229"/>
      <c r="EG352" s="229"/>
      <c r="EH352" s="229"/>
      <c r="EI352" s="229"/>
      <c r="EJ352" s="229"/>
      <c r="EK352" s="229"/>
      <c r="EL352" s="229"/>
      <c r="EM352" s="229"/>
      <c r="EN352" s="229"/>
      <c r="EO352" s="229"/>
      <c r="EP352" s="229"/>
      <c r="EQ352" s="229"/>
      <c r="ER352" s="229"/>
      <c r="ES352" s="229"/>
      <c r="ET352" s="229"/>
      <c r="EU352" s="229"/>
      <c r="EV352" s="229"/>
      <c r="EW352" s="229"/>
      <c r="EX352" s="229"/>
      <c r="EY352" s="229"/>
      <c r="EZ352" s="229"/>
      <c r="FA352" s="229"/>
      <c r="FB352" s="229"/>
      <c r="FC352" s="229"/>
      <c r="FD352" s="229"/>
      <c r="FE352" s="229"/>
      <c r="FF352" s="229"/>
      <c r="FG352" s="229"/>
      <c r="FH352" s="229"/>
      <c r="FI352" s="229"/>
      <c r="FJ352" s="229"/>
      <c r="FK352" s="229"/>
      <c r="FL352" s="229"/>
      <c r="FM352" s="229"/>
      <c r="FN352" s="229"/>
      <c r="FO352" s="229"/>
      <c r="FP352" s="229"/>
      <c r="FQ352" s="229"/>
      <c r="FR352" s="229"/>
      <c r="FS352" s="229"/>
      <c r="FT352" s="229"/>
      <c r="FU352" s="229"/>
      <c r="FV352" s="229"/>
      <c r="FW352" s="229"/>
      <c r="FX352" s="229"/>
      <c r="FY352" s="229"/>
      <c r="FZ352" s="229"/>
      <c r="GA352" s="229"/>
      <c r="GB352" s="229"/>
      <c r="GC352" s="229"/>
      <c r="GD352" s="229"/>
      <c r="GE352" s="229"/>
      <c r="GF352" s="229"/>
      <c r="GG352" s="229"/>
      <c r="GH352" s="229"/>
      <c r="GI352" s="229"/>
      <c r="GJ352" s="229"/>
      <c r="GK352" s="229"/>
      <c r="GL352" s="229"/>
      <c r="GM352" s="229"/>
      <c r="GN352" s="229"/>
      <c r="GO352" s="229"/>
      <c r="GP352" s="229"/>
      <c r="GQ352" s="229"/>
      <c r="GR352" s="229"/>
      <c r="GS352" s="229"/>
      <c r="GT352" s="229"/>
      <c r="GU352" s="229"/>
      <c r="GV352" s="229"/>
      <c r="GW352" s="229"/>
      <c r="GX352" s="229"/>
      <c r="GY352" s="229"/>
      <c r="GZ352" s="229"/>
      <c r="HA352" s="229"/>
      <c r="HB352" s="229"/>
      <c r="HC352" s="229"/>
      <c r="HD352" s="229"/>
      <c r="HE352" s="229"/>
      <c r="HF352" s="229"/>
      <c r="HG352" s="229"/>
      <c r="HH352" s="229"/>
      <c r="HI352" s="229"/>
      <c r="HJ352" s="229"/>
      <c r="HK352" s="229"/>
      <c r="HL352" s="229"/>
      <c r="HM352" s="229"/>
      <c r="HN352" s="229"/>
      <c r="HO352" s="229"/>
      <c r="HP352" s="229"/>
      <c r="HQ352" s="48">
        <f>SUM(J352:HP352)</f>
        <v>6616552</v>
      </c>
      <c r="HR352" s="230">
        <f>HS352*2</f>
        <v>5762.56</v>
      </c>
      <c r="HS352" s="231">
        <v>2881.28</v>
      </c>
      <c r="HT352" s="51">
        <v>225569.03099999999</v>
      </c>
    </row>
    <row r="353" spans="1:228" s="52" customFormat="1" ht="12">
      <c r="A353" s="505"/>
      <c r="B353" s="522"/>
      <c r="C353" s="457"/>
      <c r="D353" s="458"/>
      <c r="E353" s="459"/>
      <c r="F353" s="453"/>
      <c r="G353" s="453"/>
      <c r="H353" s="454"/>
      <c r="I353" s="233">
        <v>0</v>
      </c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  <c r="DB353" s="42"/>
      <c r="DC353" s="42"/>
      <c r="DD353" s="42"/>
      <c r="DE353" s="42"/>
      <c r="DF353" s="45">
        <f t="shared" si="4935"/>
        <v>0</v>
      </c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T353" s="47"/>
      <c r="EU353" s="47"/>
      <c r="EV353" s="47"/>
      <c r="EW353" s="47"/>
      <c r="EX353" s="47"/>
      <c r="EY353" s="47"/>
      <c r="EZ353" s="47"/>
      <c r="FA353" s="47"/>
      <c r="FB353" s="47"/>
      <c r="FC353" s="47"/>
      <c r="FD353" s="47"/>
      <c r="FE353" s="47"/>
      <c r="FF353" s="47"/>
      <c r="FG353" s="47"/>
      <c r="FH353" s="47"/>
      <c r="FI353" s="47"/>
      <c r="FJ353" s="47"/>
      <c r="FK353" s="47"/>
      <c r="FL353" s="47"/>
      <c r="FM353" s="47"/>
      <c r="FN353" s="47"/>
      <c r="FO353" s="47"/>
      <c r="FP353" s="47"/>
      <c r="FQ353" s="47"/>
      <c r="FR353" s="47"/>
      <c r="FS353" s="47"/>
      <c r="FT353" s="47"/>
      <c r="FU353" s="47"/>
      <c r="FV353" s="47"/>
      <c r="FW353" s="47"/>
      <c r="FX353" s="47"/>
      <c r="FY353" s="47"/>
      <c r="FZ353" s="47"/>
      <c r="GA353" s="47"/>
      <c r="GB353" s="47"/>
      <c r="GC353" s="47"/>
      <c r="GD353" s="47"/>
      <c r="GE353" s="47"/>
      <c r="GF353" s="47"/>
      <c r="GG353" s="47"/>
      <c r="GH353" s="47"/>
      <c r="GI353" s="47"/>
      <c r="GJ353" s="47"/>
      <c r="GK353" s="47"/>
      <c r="GL353" s="47"/>
      <c r="GM353" s="47"/>
      <c r="GN353" s="47"/>
      <c r="GO353" s="47"/>
      <c r="GP353" s="47"/>
      <c r="GQ353" s="47"/>
      <c r="GR353" s="47"/>
      <c r="GS353" s="47"/>
      <c r="GT353" s="47"/>
      <c r="GU353" s="47"/>
      <c r="GV353" s="47"/>
      <c r="GW353" s="47"/>
      <c r="GX353" s="47"/>
      <c r="GY353" s="47"/>
      <c r="GZ353" s="47"/>
      <c r="HA353" s="47"/>
      <c r="HB353" s="47"/>
      <c r="HC353" s="47"/>
      <c r="HD353" s="47"/>
      <c r="HE353" s="47"/>
      <c r="HF353" s="47"/>
      <c r="HG353" s="47"/>
      <c r="HH353" s="47"/>
      <c r="HI353" s="47"/>
      <c r="HJ353" s="47"/>
      <c r="HK353" s="47"/>
      <c r="HL353" s="47"/>
      <c r="HM353" s="47"/>
      <c r="HN353" s="47"/>
      <c r="HO353" s="47"/>
      <c r="HP353" s="47"/>
      <c r="HQ353" s="53">
        <f>SUM(J353:HP353)</f>
        <v>0</v>
      </c>
      <c r="HR353" s="49">
        <v>5762.56</v>
      </c>
      <c r="HS353" s="50">
        <v>2881.28</v>
      </c>
      <c r="HT353" s="51">
        <v>108906.6</v>
      </c>
    </row>
    <row r="354" spans="1:228" s="52" customFormat="1" ht="12.75" customHeight="1">
      <c r="A354" s="504">
        <v>181</v>
      </c>
      <c r="B354" s="522" t="s">
        <v>702</v>
      </c>
      <c r="C354" s="457" t="s">
        <v>760</v>
      </c>
      <c r="D354" s="458" t="s">
        <v>317</v>
      </c>
      <c r="E354" s="459" t="s">
        <v>532</v>
      </c>
      <c r="F354" s="453">
        <f>4065.8+767</f>
        <v>4832.8</v>
      </c>
      <c r="G354" s="453">
        <f>H354/F354/365</f>
        <v>3.6281755039195636</v>
      </c>
      <c r="H354" s="454">
        <f>6400000</f>
        <v>6400000</v>
      </c>
      <c r="I354" s="300">
        <f>500000+100000</f>
        <v>600000</v>
      </c>
      <c r="J354" s="42">
        <f>ROUND(H354/4,0)</f>
        <v>1600000</v>
      </c>
      <c r="K354" s="42">
        <f>J354</f>
        <v>1600000</v>
      </c>
      <c r="L354" s="42">
        <f t="shared" ref="L354:AW354" si="5359">K354</f>
        <v>1600000</v>
      </c>
      <c r="M354" s="42">
        <f t="shared" si="5359"/>
        <v>1600000</v>
      </c>
      <c r="N354" s="42">
        <f t="shared" si="5359"/>
        <v>1600000</v>
      </c>
      <c r="O354" s="42">
        <f t="shared" si="5359"/>
        <v>1600000</v>
      </c>
      <c r="P354" s="42">
        <f t="shared" si="5359"/>
        <v>1600000</v>
      </c>
      <c r="Q354" s="42">
        <f t="shared" si="5359"/>
        <v>1600000</v>
      </c>
      <c r="R354" s="42">
        <f t="shared" si="5359"/>
        <v>1600000</v>
      </c>
      <c r="S354" s="42">
        <f t="shared" si="5359"/>
        <v>1600000</v>
      </c>
      <c r="T354" s="42">
        <f t="shared" si="5359"/>
        <v>1600000</v>
      </c>
      <c r="U354" s="42">
        <f t="shared" si="5359"/>
        <v>1600000</v>
      </c>
      <c r="V354" s="42">
        <f t="shared" si="5359"/>
        <v>1600000</v>
      </c>
      <c r="W354" s="42">
        <f t="shared" si="5359"/>
        <v>1600000</v>
      </c>
      <c r="X354" s="42">
        <f t="shared" si="5359"/>
        <v>1600000</v>
      </c>
      <c r="Y354" s="42">
        <f t="shared" si="5359"/>
        <v>1600000</v>
      </c>
      <c r="Z354" s="42">
        <f t="shared" si="5359"/>
        <v>1600000</v>
      </c>
      <c r="AA354" s="42">
        <f t="shared" si="5359"/>
        <v>1600000</v>
      </c>
      <c r="AB354" s="42">
        <f t="shared" si="5359"/>
        <v>1600000</v>
      </c>
      <c r="AC354" s="42">
        <f t="shared" si="5359"/>
        <v>1600000</v>
      </c>
      <c r="AD354" s="42">
        <f t="shared" si="5359"/>
        <v>1600000</v>
      </c>
      <c r="AE354" s="42">
        <f t="shared" si="5359"/>
        <v>1600000</v>
      </c>
      <c r="AF354" s="42">
        <f t="shared" si="5359"/>
        <v>1600000</v>
      </c>
      <c r="AG354" s="42">
        <f t="shared" si="5359"/>
        <v>1600000</v>
      </c>
      <c r="AH354" s="42">
        <f t="shared" si="5359"/>
        <v>1600000</v>
      </c>
      <c r="AI354" s="42">
        <f t="shared" si="5359"/>
        <v>1600000</v>
      </c>
      <c r="AJ354" s="42">
        <f t="shared" si="5359"/>
        <v>1600000</v>
      </c>
      <c r="AK354" s="42">
        <f t="shared" si="5359"/>
        <v>1600000</v>
      </c>
      <c r="AL354" s="42">
        <f t="shared" si="5359"/>
        <v>1600000</v>
      </c>
      <c r="AM354" s="42">
        <f t="shared" si="5359"/>
        <v>1600000</v>
      </c>
      <c r="AN354" s="42">
        <f t="shared" si="5359"/>
        <v>1600000</v>
      </c>
      <c r="AO354" s="42">
        <f t="shared" si="5359"/>
        <v>1600000</v>
      </c>
      <c r="AP354" s="42">
        <f t="shared" si="5359"/>
        <v>1600000</v>
      </c>
      <c r="AQ354" s="42">
        <f t="shared" si="5359"/>
        <v>1600000</v>
      </c>
      <c r="AR354" s="42">
        <f t="shared" si="5359"/>
        <v>1600000</v>
      </c>
      <c r="AS354" s="42">
        <f t="shared" si="5359"/>
        <v>1600000</v>
      </c>
      <c r="AT354" s="42">
        <f t="shared" si="5359"/>
        <v>1600000</v>
      </c>
      <c r="AU354" s="42">
        <f t="shared" si="5359"/>
        <v>1600000</v>
      </c>
      <c r="AV354" s="42">
        <f t="shared" si="5359"/>
        <v>1600000</v>
      </c>
      <c r="AW354" s="43">
        <f t="shared" si="5359"/>
        <v>1600000</v>
      </c>
      <c r="AX354" s="42">
        <f>ROUND(AW354*(1+取值表!$D$18)*取值表!$H$18,0)</f>
        <v>1529500</v>
      </c>
      <c r="AY354" s="42">
        <f>AX354</f>
        <v>1529500</v>
      </c>
      <c r="AZ354" s="42">
        <f>AY354</f>
        <v>1529500</v>
      </c>
      <c r="BA354" s="42">
        <f>AZ354</f>
        <v>1529500</v>
      </c>
      <c r="BB354" s="42">
        <f>ROUND(BA354*(1+取值表!$D$18)*取值表!$H$18,0)</f>
        <v>1462106</v>
      </c>
      <c r="BC354" s="42">
        <f t="shared" ref="BC354:BE354" si="5360">BB354</f>
        <v>1462106</v>
      </c>
      <c r="BD354" s="42">
        <f t="shared" si="5360"/>
        <v>1462106</v>
      </c>
      <c r="BE354" s="42">
        <f t="shared" si="5360"/>
        <v>1462106</v>
      </c>
      <c r="BF354" s="42">
        <f>ROUND(BE354*(1+取值表!$D$18)*取值表!$H$18,0)</f>
        <v>1397682</v>
      </c>
      <c r="BG354" s="42">
        <f t="shared" ref="BG354:BI354" si="5361">BF354</f>
        <v>1397682</v>
      </c>
      <c r="BH354" s="42">
        <f t="shared" si="5361"/>
        <v>1397682</v>
      </c>
      <c r="BI354" s="42">
        <f t="shared" si="5361"/>
        <v>1397682</v>
      </c>
      <c r="BJ354" s="42">
        <f>ROUND(BI354*(1+取值表!$D$18)*取值表!$H$18,0)</f>
        <v>1336097</v>
      </c>
      <c r="BK354" s="42">
        <f t="shared" ref="BK354:BM354" si="5362">BJ354</f>
        <v>1336097</v>
      </c>
      <c r="BL354" s="42">
        <f t="shared" si="5362"/>
        <v>1336097</v>
      </c>
      <c r="BM354" s="42">
        <f t="shared" si="5362"/>
        <v>1336097</v>
      </c>
      <c r="BN354" s="42">
        <f>ROUND(BM354*(1+取值表!$D$18)*取值表!$H$18,0)</f>
        <v>1277225</v>
      </c>
      <c r="BO354" s="42">
        <f t="shared" ref="BO354:BQ354" si="5363">BN354</f>
        <v>1277225</v>
      </c>
      <c r="BP354" s="42">
        <f t="shared" si="5363"/>
        <v>1277225</v>
      </c>
      <c r="BQ354" s="42">
        <f t="shared" si="5363"/>
        <v>1277225</v>
      </c>
      <c r="BR354" s="42">
        <f>ROUND(BQ354*(1+取值表!$D$18)*取值表!$H$18,0)</f>
        <v>1220947</v>
      </c>
      <c r="BS354" s="42">
        <f t="shared" ref="BS354:BU354" si="5364">BR354</f>
        <v>1220947</v>
      </c>
      <c r="BT354" s="42">
        <f t="shared" si="5364"/>
        <v>1220947</v>
      </c>
      <c r="BU354" s="42">
        <f t="shared" si="5364"/>
        <v>1220947</v>
      </c>
      <c r="BV354" s="42">
        <f>ROUND(BU354*(1+取值表!$D$18)*取值表!$H$18,0)</f>
        <v>1167149</v>
      </c>
      <c r="BW354" s="42">
        <f t="shared" ref="BW354:BY354" si="5365">BV354</f>
        <v>1167149</v>
      </c>
      <c r="BX354" s="42">
        <f t="shared" si="5365"/>
        <v>1167149</v>
      </c>
      <c r="BY354" s="42">
        <f t="shared" si="5365"/>
        <v>1167149</v>
      </c>
      <c r="BZ354" s="42">
        <f>ROUND(BY354*(1+取值表!$D$18)*取值表!$H$18,0)</f>
        <v>1115721</v>
      </c>
      <c r="CA354" s="42">
        <f t="shared" ref="CA354:CC354" si="5366">BZ354</f>
        <v>1115721</v>
      </c>
      <c r="CB354" s="42">
        <f t="shared" si="5366"/>
        <v>1115721</v>
      </c>
      <c r="CC354" s="42">
        <f t="shared" si="5366"/>
        <v>1115721</v>
      </c>
      <c r="CD354" s="42">
        <f>ROUND(CC354*(1+取值表!$D$18)*取值表!$H$18,0)</f>
        <v>1066560</v>
      </c>
      <c r="CE354" s="42">
        <f t="shared" ref="CE354:CG354" si="5367">CD354</f>
        <v>1066560</v>
      </c>
      <c r="CF354" s="42">
        <f t="shared" si="5367"/>
        <v>1066560</v>
      </c>
      <c r="CG354" s="42">
        <f t="shared" si="5367"/>
        <v>1066560</v>
      </c>
      <c r="CH354" s="42">
        <f>ROUND(CG354*(1+取值表!$D$18)*取值表!$H$18,0)</f>
        <v>1019565</v>
      </c>
      <c r="CI354" s="42">
        <f t="shared" ref="CI354:CK354" si="5368">CH354</f>
        <v>1019565</v>
      </c>
      <c r="CJ354" s="42">
        <f t="shared" si="5368"/>
        <v>1019565</v>
      </c>
      <c r="CK354" s="42">
        <f t="shared" si="5368"/>
        <v>1019565</v>
      </c>
      <c r="CL354" s="42">
        <f>ROUND(CK354*(1+取值表!$D$18)*取值表!$H$18,0)</f>
        <v>974640</v>
      </c>
      <c r="CM354" s="42">
        <f t="shared" ref="CM354" si="5369">CL354</f>
        <v>974640</v>
      </c>
      <c r="CN354" s="42">
        <f>CM354</f>
        <v>974640</v>
      </c>
      <c r="CO354" s="42">
        <f>CN354</f>
        <v>974640</v>
      </c>
      <c r="CP354" s="42">
        <f>ROUND(CO354*(1+取值表!$D$18)*取值表!$H$18,0)</f>
        <v>931695</v>
      </c>
      <c r="CQ354" s="42">
        <f t="shared" ref="CQ354:CS354" si="5370">CP354</f>
        <v>931695</v>
      </c>
      <c r="CR354" s="42">
        <f t="shared" si="5370"/>
        <v>931695</v>
      </c>
      <c r="CS354" s="42">
        <f t="shared" si="5370"/>
        <v>931695</v>
      </c>
      <c r="CT354" s="42">
        <f>ROUND(CS354*(1+取值表!$D$18)*取值表!$H$18,0)</f>
        <v>890642</v>
      </c>
      <c r="CU354" s="42">
        <f t="shared" ref="CU354:CW354" si="5371">CT354</f>
        <v>890642</v>
      </c>
      <c r="CV354" s="42">
        <f t="shared" si="5371"/>
        <v>890642</v>
      </c>
      <c r="CW354" s="42">
        <f t="shared" si="5371"/>
        <v>890642</v>
      </c>
      <c r="CX354" s="42">
        <f>ROUND(CW354*(1+取值表!$D$18)*取值表!$H$18,0)</f>
        <v>851398</v>
      </c>
      <c r="CY354" s="42">
        <f t="shared" ref="CY354:DA354" si="5372">CX354</f>
        <v>851398</v>
      </c>
      <c r="CZ354" s="42">
        <f t="shared" si="5372"/>
        <v>851398</v>
      </c>
      <c r="DA354" s="42">
        <f t="shared" si="5372"/>
        <v>851398</v>
      </c>
      <c r="DB354" s="42">
        <f>ROUND(DA354*(1+取值表!$D$18)*取值表!$H$18,0)</f>
        <v>813883</v>
      </c>
      <c r="DC354" s="42">
        <f t="shared" ref="DC354" si="5373">DB354</f>
        <v>813883</v>
      </c>
      <c r="DD354" s="42">
        <f t="shared" ref="DD354" si="5374">DC354</f>
        <v>813883</v>
      </c>
      <c r="DE354" s="42">
        <f t="shared" ref="DE354" si="5375">DD354</f>
        <v>813883</v>
      </c>
      <c r="DF354" s="45">
        <f t="shared" si="4935"/>
        <v>132219240</v>
      </c>
    </row>
    <row r="355" spans="1:228" s="52" customFormat="1" ht="12">
      <c r="A355" s="505"/>
      <c r="B355" s="522"/>
      <c r="C355" s="457"/>
      <c r="D355" s="458"/>
      <c r="E355" s="459"/>
      <c r="F355" s="453"/>
      <c r="G355" s="453"/>
      <c r="H355" s="454"/>
      <c r="I355" s="300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  <c r="DB355" s="42"/>
      <c r="DC355" s="42"/>
      <c r="DD355" s="42"/>
      <c r="DE355" s="42"/>
      <c r="DF355" s="45">
        <f t="shared" si="4935"/>
        <v>0</v>
      </c>
    </row>
    <row r="356" spans="1:228" s="40" customFormat="1" ht="12" customHeight="1">
      <c r="A356" s="504">
        <v>182</v>
      </c>
      <c r="B356" s="518" t="s">
        <v>318</v>
      </c>
      <c r="C356" s="450" t="s">
        <v>319</v>
      </c>
      <c r="D356" s="451" t="s">
        <v>320</v>
      </c>
      <c r="E356" s="452" t="s">
        <v>533</v>
      </c>
      <c r="F356" s="446">
        <v>1285.57</v>
      </c>
      <c r="G356" s="446">
        <f>AVERAGE(6.5,7.5)</f>
        <v>7</v>
      </c>
      <c r="H356" s="447">
        <f>F356*G356*365</f>
        <v>3284631.35</v>
      </c>
      <c r="I356" s="41">
        <v>718513.1</v>
      </c>
      <c r="J356" s="42">
        <f>ROUND(6.5*365*F356/4,0)</f>
        <v>762504</v>
      </c>
      <c r="K356" s="44">
        <f t="shared" ref="K356:Q356" si="5376">L356</f>
        <v>879812</v>
      </c>
      <c r="L356" s="44">
        <f t="shared" si="5376"/>
        <v>879812</v>
      </c>
      <c r="M356" s="44">
        <f t="shared" si="5376"/>
        <v>879812</v>
      </c>
      <c r="N356" s="44">
        <f t="shared" si="5376"/>
        <v>879812</v>
      </c>
      <c r="O356" s="44">
        <f t="shared" si="5376"/>
        <v>879812</v>
      </c>
      <c r="P356" s="44">
        <f t="shared" si="5376"/>
        <v>879812</v>
      </c>
      <c r="Q356" s="44">
        <f t="shared" si="5376"/>
        <v>879812</v>
      </c>
      <c r="R356" s="43">
        <f>ROUND(7.5*365*F356/4,0)</f>
        <v>879812</v>
      </c>
      <c r="S356" s="44">
        <f>R356</f>
        <v>879812</v>
      </c>
      <c r="T356" s="44">
        <f>S356</f>
        <v>879812</v>
      </c>
      <c r="U356" s="44">
        <f>T356</f>
        <v>879812</v>
      </c>
      <c r="V356" s="44">
        <f>ROUND(U356*(1+取值表!$D$20)*取值表!$H$20,0)</f>
        <v>893151</v>
      </c>
      <c r="W356" s="44">
        <f>V356</f>
        <v>893151</v>
      </c>
      <c r="X356" s="44">
        <f>W356</f>
        <v>893151</v>
      </c>
      <c r="Y356" s="44">
        <f>X356</f>
        <v>893151</v>
      </c>
      <c r="Z356" s="44">
        <f>ROUND(Y356*(1+取值表!$D$20)*取值表!$H$20,0)</f>
        <v>906692</v>
      </c>
      <c r="AA356" s="44">
        <f t="shared" ref="AA356:AC356" si="5377">Z356</f>
        <v>906692</v>
      </c>
      <c r="AB356" s="44">
        <f t="shared" si="5377"/>
        <v>906692</v>
      </c>
      <c r="AC356" s="44">
        <f t="shared" si="5377"/>
        <v>906692</v>
      </c>
      <c r="AD356" s="44">
        <f>ROUND(AC356*(1+取值表!$D$20)*取值表!$H$20,0)</f>
        <v>920438</v>
      </c>
      <c r="AE356" s="44">
        <f t="shared" ref="AE356:AG356" si="5378">AD356</f>
        <v>920438</v>
      </c>
      <c r="AF356" s="44">
        <f t="shared" si="5378"/>
        <v>920438</v>
      </c>
      <c r="AG356" s="44">
        <f t="shared" si="5378"/>
        <v>920438</v>
      </c>
      <c r="AH356" s="44">
        <f>ROUND(AG356*(1+取值表!$D$20)*取值表!$H$20,0)</f>
        <v>934393</v>
      </c>
      <c r="AI356" s="44">
        <f t="shared" ref="AI356:AK356" si="5379">AH356</f>
        <v>934393</v>
      </c>
      <c r="AJ356" s="44">
        <f t="shared" si="5379"/>
        <v>934393</v>
      </c>
      <c r="AK356" s="44">
        <f t="shared" si="5379"/>
        <v>934393</v>
      </c>
      <c r="AL356" s="44">
        <f>ROUND(AK356*(1+取值表!$D$20)*取值表!$H$20,0)</f>
        <v>948559</v>
      </c>
      <c r="AM356" s="44">
        <f t="shared" ref="AM356:AO356" si="5380">AL356</f>
        <v>948559</v>
      </c>
      <c r="AN356" s="44">
        <f t="shared" si="5380"/>
        <v>948559</v>
      </c>
      <c r="AO356" s="44">
        <f t="shared" si="5380"/>
        <v>948559</v>
      </c>
      <c r="AP356" s="44">
        <f>ROUND(AO356*(1+取值表!$D$20)*取值表!$H$20,0)</f>
        <v>962940</v>
      </c>
      <c r="AQ356" s="44">
        <f t="shared" ref="AQ356:AS356" si="5381">AP356</f>
        <v>962940</v>
      </c>
      <c r="AR356" s="44">
        <f t="shared" si="5381"/>
        <v>962940</v>
      </c>
      <c r="AS356" s="44">
        <f t="shared" si="5381"/>
        <v>962940</v>
      </c>
      <c r="AT356" s="44">
        <f>ROUND(AS356*(1+取值表!$D$20)*取值表!$H$20,0)</f>
        <v>977539</v>
      </c>
      <c r="AU356" s="44">
        <f t="shared" ref="AU356:AW356" si="5382">AT356</f>
        <v>977539</v>
      </c>
      <c r="AV356" s="44">
        <f t="shared" si="5382"/>
        <v>977539</v>
      </c>
      <c r="AW356" s="44">
        <f t="shared" si="5382"/>
        <v>977539</v>
      </c>
      <c r="AX356" s="44">
        <f>ROUND(AW356*(1+取值表!$D$20)*取值表!$H$20,0)</f>
        <v>992359</v>
      </c>
      <c r="AY356" s="44">
        <f t="shared" ref="AY356:BA356" si="5383">AX356</f>
        <v>992359</v>
      </c>
      <c r="AZ356" s="44">
        <f t="shared" si="5383"/>
        <v>992359</v>
      </c>
      <c r="BA356" s="44">
        <f t="shared" si="5383"/>
        <v>992359</v>
      </c>
      <c r="BB356" s="44">
        <f>ROUND(BA356*(1+取值表!$D$20)*取值表!$H$20,0)</f>
        <v>1007404</v>
      </c>
      <c r="BC356" s="44">
        <f t="shared" ref="BC356:BE356" si="5384">BB356</f>
        <v>1007404</v>
      </c>
      <c r="BD356" s="44">
        <f t="shared" si="5384"/>
        <v>1007404</v>
      </c>
      <c r="BE356" s="44">
        <f t="shared" si="5384"/>
        <v>1007404</v>
      </c>
      <c r="BF356" s="44">
        <f>ROUND(BE356*(1+取值表!$D$20)*取值表!$H$20,0)</f>
        <v>1022677</v>
      </c>
      <c r="BG356" s="44">
        <f t="shared" ref="BG356:BI356" si="5385">BF356</f>
        <v>1022677</v>
      </c>
      <c r="BH356" s="44">
        <f t="shared" si="5385"/>
        <v>1022677</v>
      </c>
      <c r="BI356" s="44">
        <f t="shared" si="5385"/>
        <v>1022677</v>
      </c>
      <c r="BJ356" s="44">
        <f>ROUND(BI356*(1+取值表!$D$20)*取值表!$H$20,0)</f>
        <v>1038182</v>
      </c>
      <c r="BK356" s="44">
        <f t="shared" ref="BK356:BM356" si="5386">BJ356</f>
        <v>1038182</v>
      </c>
      <c r="BL356" s="44">
        <f t="shared" si="5386"/>
        <v>1038182</v>
      </c>
      <c r="BM356" s="44">
        <f t="shared" si="5386"/>
        <v>1038182</v>
      </c>
      <c r="BN356" s="44">
        <f>ROUND(BM356*(1+取值表!$D$20)*取值表!$H$20,0)</f>
        <v>1053922</v>
      </c>
      <c r="BO356" s="44">
        <f t="shared" ref="BO356:BQ356" si="5387">BN356</f>
        <v>1053922</v>
      </c>
      <c r="BP356" s="44">
        <f t="shared" si="5387"/>
        <v>1053922</v>
      </c>
      <c r="BQ356" s="44">
        <f t="shared" si="5387"/>
        <v>1053922</v>
      </c>
      <c r="BR356" s="44">
        <f>ROUND(BQ356*(1+取值表!$D$20)*取值表!$H$20,0)</f>
        <v>1069900</v>
      </c>
      <c r="BS356" s="44">
        <f t="shared" ref="BS356:BU356" si="5388">BR356</f>
        <v>1069900</v>
      </c>
      <c r="BT356" s="44">
        <f t="shared" si="5388"/>
        <v>1069900</v>
      </c>
      <c r="BU356" s="44">
        <f t="shared" si="5388"/>
        <v>1069900</v>
      </c>
      <c r="BV356" s="44">
        <f>ROUND(BU356*(1+取值表!$D$20)*取值表!$H$20,0)</f>
        <v>1086121</v>
      </c>
      <c r="BW356" s="44">
        <f t="shared" ref="BW356:BY356" si="5389">BV356</f>
        <v>1086121</v>
      </c>
      <c r="BX356" s="44">
        <f t="shared" si="5389"/>
        <v>1086121</v>
      </c>
      <c r="BY356" s="44">
        <f t="shared" si="5389"/>
        <v>1086121</v>
      </c>
      <c r="BZ356" s="44">
        <f>ROUND(BY356*(1+取值表!$D$20)*取值表!$H$20,0)</f>
        <v>1102587</v>
      </c>
      <c r="CA356" s="44">
        <f t="shared" ref="CA356:CC356" si="5390">BZ356</f>
        <v>1102587</v>
      </c>
      <c r="CB356" s="44">
        <f t="shared" si="5390"/>
        <v>1102587</v>
      </c>
      <c r="CC356" s="44">
        <f t="shared" si="5390"/>
        <v>1102587</v>
      </c>
      <c r="CD356" s="44">
        <f>ROUND(CC356*(1+取值表!$D$20)*取值表!$H$20,0)</f>
        <v>1119303</v>
      </c>
      <c r="CE356" s="44">
        <f t="shared" ref="CE356:CG356" si="5391">CD356</f>
        <v>1119303</v>
      </c>
      <c r="CF356" s="44">
        <f t="shared" si="5391"/>
        <v>1119303</v>
      </c>
      <c r="CG356" s="44">
        <f t="shared" si="5391"/>
        <v>1119303</v>
      </c>
      <c r="CH356" s="44">
        <f>ROUND(CG356*(1+取值表!$D$20)*取值表!$H$20,0)</f>
        <v>1136273</v>
      </c>
      <c r="CI356" s="44">
        <f t="shared" ref="CI356:CK356" si="5392">CH356</f>
        <v>1136273</v>
      </c>
      <c r="CJ356" s="44">
        <f t="shared" si="5392"/>
        <v>1136273</v>
      </c>
      <c r="CK356" s="44">
        <f t="shared" si="5392"/>
        <v>1136273</v>
      </c>
      <c r="CL356" s="44">
        <f>ROUND(CK356*(1+取值表!$D$20)*取值表!$H$20,0)</f>
        <v>1153500</v>
      </c>
      <c r="CM356" s="44">
        <f t="shared" ref="CM356:CO356" si="5393">CL356</f>
        <v>1153500</v>
      </c>
      <c r="CN356" s="44">
        <f t="shared" si="5393"/>
        <v>1153500</v>
      </c>
      <c r="CO356" s="44">
        <f t="shared" si="5393"/>
        <v>1153500</v>
      </c>
      <c r="CP356" s="44">
        <f>ROUND(CO356*(1+取值表!$D$20)*取值表!$H$20,0)</f>
        <v>1170988</v>
      </c>
      <c r="CQ356" s="44">
        <f t="shared" ref="CQ356" si="5394">CP356</f>
        <v>1170988</v>
      </c>
      <c r="CR356" s="44">
        <f t="shared" ref="CR356" si="5395">CQ356</f>
        <v>1170988</v>
      </c>
      <c r="CS356" s="44">
        <f t="shared" ref="CS356" si="5396">CR356</f>
        <v>1170988</v>
      </c>
      <c r="CT356" s="44">
        <f>ROUND(CS356*(1+取值表!$D$20)*取值表!$H$20,0)</f>
        <v>1188741</v>
      </c>
      <c r="CU356" s="44">
        <f t="shared" ref="CU356" si="5397">CT356</f>
        <v>1188741</v>
      </c>
      <c r="CV356" s="44">
        <f t="shared" ref="CV356" si="5398">CU356</f>
        <v>1188741</v>
      </c>
      <c r="CW356" s="44">
        <f t="shared" ref="CW356" si="5399">CV356</f>
        <v>1188741</v>
      </c>
      <c r="CX356" s="44">
        <f>ROUND(CW356*(1+取值表!$D$20)*取值表!$H$20,0)</f>
        <v>1206763</v>
      </c>
      <c r="CY356" s="44">
        <f t="shared" ref="CY356" si="5400">CX356</f>
        <v>1206763</v>
      </c>
      <c r="CZ356" s="44">
        <f t="shared" ref="CZ356" si="5401">CY356</f>
        <v>1206763</v>
      </c>
      <c r="DA356" s="44">
        <f t="shared" ref="DA356" si="5402">CZ356</f>
        <v>1206763</v>
      </c>
      <c r="DB356" s="44">
        <f>ROUND(DA356*(1+取值表!$D$20)*取值表!$H$20,0)</f>
        <v>1225059</v>
      </c>
      <c r="DC356" s="44">
        <f t="shared" ref="DC356" si="5403">DB356</f>
        <v>1225059</v>
      </c>
      <c r="DD356" s="44">
        <f t="shared" ref="DD356" si="5404">DC356</f>
        <v>1225059</v>
      </c>
      <c r="DE356" s="44">
        <f t="shared" ref="DE356" si="5405">DD356</f>
        <v>1225059</v>
      </c>
      <c r="DF356" s="45">
        <f t="shared" si="4935"/>
        <v>102910400</v>
      </c>
      <c r="DG356" s="268"/>
    </row>
    <row r="357" spans="1:228" s="40" customFormat="1" ht="12">
      <c r="A357" s="505"/>
      <c r="B357" s="518"/>
      <c r="C357" s="450"/>
      <c r="D357" s="451"/>
      <c r="E357" s="452"/>
      <c r="F357" s="446"/>
      <c r="G357" s="446"/>
      <c r="H357" s="447"/>
      <c r="I357" s="41"/>
      <c r="J357" s="42"/>
      <c r="K357" s="44"/>
      <c r="L357" s="44"/>
      <c r="M357" s="44"/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  <c r="AH357" s="44"/>
      <c r="AI357" s="44"/>
      <c r="AJ357" s="44"/>
      <c r="AK357" s="44"/>
      <c r="AL357" s="44"/>
      <c r="AM357" s="44"/>
      <c r="AN357" s="44"/>
      <c r="AO357" s="44"/>
      <c r="AP357" s="44"/>
      <c r="AQ357" s="44"/>
      <c r="AR357" s="44"/>
      <c r="AS357" s="44"/>
      <c r="AT357" s="44"/>
      <c r="AU357" s="44"/>
      <c r="AV357" s="44"/>
      <c r="AW357" s="44"/>
      <c r="AX357" s="44"/>
      <c r="AY357" s="44"/>
      <c r="AZ357" s="44"/>
      <c r="BA357" s="44"/>
      <c r="BB357" s="44"/>
      <c r="BC357" s="44"/>
      <c r="BD357" s="44"/>
      <c r="BE357" s="44"/>
      <c r="BF357" s="44"/>
      <c r="BG357" s="44"/>
      <c r="BH357" s="44"/>
      <c r="BI357" s="44"/>
      <c r="BJ357" s="44"/>
      <c r="BK357" s="44"/>
      <c r="BL357" s="44"/>
      <c r="BM357" s="44"/>
      <c r="BN357" s="44"/>
      <c r="BO357" s="44"/>
      <c r="BP357" s="44"/>
      <c r="BQ357" s="44"/>
      <c r="BR357" s="44"/>
      <c r="BS357" s="44"/>
      <c r="BT357" s="44"/>
      <c r="BU357" s="44"/>
      <c r="BV357" s="44"/>
      <c r="BW357" s="44"/>
      <c r="BX357" s="44"/>
      <c r="BY357" s="44"/>
      <c r="BZ357" s="44"/>
      <c r="CA357" s="44"/>
      <c r="CB357" s="44"/>
      <c r="CC357" s="44"/>
      <c r="CD357" s="44"/>
      <c r="CE357" s="44"/>
      <c r="CF357" s="44"/>
      <c r="CG357" s="44"/>
      <c r="CH357" s="44"/>
      <c r="CI357" s="44"/>
      <c r="CJ357" s="44"/>
      <c r="CK357" s="44"/>
      <c r="CL357" s="44"/>
      <c r="CM357" s="44"/>
      <c r="CN357" s="44"/>
      <c r="CO357" s="44"/>
      <c r="CP357" s="44"/>
      <c r="CQ357" s="44"/>
      <c r="CR357" s="44"/>
      <c r="CS357" s="44"/>
      <c r="CT357" s="44"/>
      <c r="CU357" s="44"/>
      <c r="CV357" s="44"/>
      <c r="CW357" s="44"/>
      <c r="CX357" s="44"/>
      <c r="CY357" s="44"/>
      <c r="CZ357" s="44"/>
      <c r="DA357" s="44"/>
      <c r="DB357" s="44"/>
      <c r="DC357" s="44"/>
      <c r="DD357" s="44"/>
      <c r="DE357" s="44"/>
      <c r="DF357" s="45">
        <f t="shared" si="4935"/>
        <v>0</v>
      </c>
    </row>
    <row r="358" spans="1:228" s="52" customFormat="1" ht="14.25" customHeight="1">
      <c r="A358" s="504">
        <v>183</v>
      </c>
      <c r="B358" s="518" t="s">
        <v>321</v>
      </c>
      <c r="C358" s="450" t="s">
        <v>761</v>
      </c>
      <c r="D358" s="451" t="s">
        <v>534</v>
      </c>
      <c r="E358" s="452" t="s">
        <v>535</v>
      </c>
      <c r="F358" s="446">
        <v>1285.57</v>
      </c>
      <c r="G358" s="446">
        <f>AVERAGE(4,5,6,6.48,6.48,7,7)</f>
        <v>5.9942857142857147</v>
      </c>
      <c r="H358" s="447">
        <f>F358*G358*365</f>
        <v>2812716.9682857143</v>
      </c>
      <c r="I358" s="219">
        <f>309318.03+3504.01+566989.94</f>
        <v>879811.98</v>
      </c>
      <c r="J358" s="42">
        <f>K358</f>
        <v>760158</v>
      </c>
      <c r="K358" s="42">
        <f>L358</f>
        <v>760158</v>
      </c>
      <c r="L358" s="42">
        <f>M358</f>
        <v>760158</v>
      </c>
      <c r="M358" s="42">
        <f>N358</f>
        <v>760158</v>
      </c>
      <c r="N358" s="42">
        <f>O358</f>
        <v>760158</v>
      </c>
      <c r="O358" s="42">
        <f>ROUND(6.48*F358*365/4,0)</f>
        <v>760158</v>
      </c>
      <c r="P358" s="42">
        <f t="shared" ref="P358:V358" si="5406">Q358</f>
        <v>821158</v>
      </c>
      <c r="Q358" s="42">
        <f t="shared" si="5406"/>
        <v>821158</v>
      </c>
      <c r="R358" s="42">
        <f t="shared" si="5406"/>
        <v>821158</v>
      </c>
      <c r="S358" s="42">
        <f t="shared" si="5406"/>
        <v>821158</v>
      </c>
      <c r="T358" s="42">
        <f t="shared" si="5406"/>
        <v>821158</v>
      </c>
      <c r="U358" s="42">
        <f t="shared" si="5406"/>
        <v>821158</v>
      </c>
      <c r="V358" s="42">
        <f t="shared" si="5406"/>
        <v>821158</v>
      </c>
      <c r="W358" s="43">
        <f>ROUND(7*365*F358/4,0)</f>
        <v>821158</v>
      </c>
      <c r="X358" s="42">
        <f>W358</f>
        <v>821158</v>
      </c>
      <c r="Y358" s="42">
        <f>X358</f>
        <v>821158</v>
      </c>
      <c r="Z358" s="44">
        <f>ROUND(Y358*(1+取值表!$D$22)*取值表!$H$22,0)</f>
        <v>777366</v>
      </c>
      <c r="AA358" s="42">
        <f>Z358</f>
        <v>777366</v>
      </c>
      <c r="AB358" s="42">
        <f>AA358</f>
        <v>777366</v>
      </c>
      <c r="AC358" s="42">
        <f>AB358</f>
        <v>777366</v>
      </c>
      <c r="AD358" s="44">
        <f>ROUND(AC358*(1+取值表!$D$22)*取值表!$H$22,0)</f>
        <v>735910</v>
      </c>
      <c r="AE358" s="42">
        <f t="shared" ref="AE358:AG358" si="5407">AD358</f>
        <v>735910</v>
      </c>
      <c r="AF358" s="42">
        <f t="shared" si="5407"/>
        <v>735910</v>
      </c>
      <c r="AG358" s="42">
        <f t="shared" si="5407"/>
        <v>735910</v>
      </c>
      <c r="AH358" s="44">
        <f>ROUND(AG358*(1+取值表!$D$22)*取值表!$H$22,0)</f>
        <v>696664</v>
      </c>
      <c r="AI358" s="42">
        <f t="shared" ref="AI358:AK358" si="5408">AH358</f>
        <v>696664</v>
      </c>
      <c r="AJ358" s="42">
        <f t="shared" si="5408"/>
        <v>696664</v>
      </c>
      <c r="AK358" s="42">
        <f t="shared" si="5408"/>
        <v>696664</v>
      </c>
      <c r="AL358" s="44">
        <f>ROUND(AK358*(1+取值表!$D$22)*取值表!$H$22,0)</f>
        <v>659511</v>
      </c>
      <c r="AM358" s="42">
        <f t="shared" ref="AM358:AO358" si="5409">AL358</f>
        <v>659511</v>
      </c>
      <c r="AN358" s="42">
        <f t="shared" si="5409"/>
        <v>659511</v>
      </c>
      <c r="AO358" s="42">
        <f t="shared" si="5409"/>
        <v>659511</v>
      </c>
      <c r="AP358" s="44">
        <f>ROUND(AO358*(1+取值表!$D$22)*取值表!$H$22,0)</f>
        <v>624340</v>
      </c>
      <c r="AQ358" s="42">
        <f t="shared" ref="AQ358:AS358" si="5410">AP358</f>
        <v>624340</v>
      </c>
      <c r="AR358" s="42">
        <f t="shared" si="5410"/>
        <v>624340</v>
      </c>
      <c r="AS358" s="42">
        <f t="shared" si="5410"/>
        <v>624340</v>
      </c>
      <c r="AT358" s="44">
        <f>ROUND(AS358*(1+取值表!$D$22)*取值表!$H$22,0)</f>
        <v>591044</v>
      </c>
      <c r="AU358" s="42">
        <f t="shared" ref="AU358:AW358" si="5411">AT358</f>
        <v>591044</v>
      </c>
      <c r="AV358" s="42">
        <f t="shared" si="5411"/>
        <v>591044</v>
      </c>
      <c r="AW358" s="42">
        <f t="shared" si="5411"/>
        <v>591044</v>
      </c>
      <c r="AX358" s="44">
        <f>ROUND(AW358*(1+取值表!$D$22)*取值表!$H$22,0)</f>
        <v>559524</v>
      </c>
      <c r="AY358" s="42">
        <f t="shared" ref="AY358:BA358" si="5412">AX358</f>
        <v>559524</v>
      </c>
      <c r="AZ358" s="42">
        <f t="shared" si="5412"/>
        <v>559524</v>
      </c>
      <c r="BA358" s="42">
        <f t="shared" si="5412"/>
        <v>559524</v>
      </c>
      <c r="BB358" s="44">
        <f>ROUND(BA358*(1+取值表!$D$22)*取值表!$H$22,0)</f>
        <v>529685</v>
      </c>
      <c r="BC358" s="42">
        <f t="shared" ref="BC358:BE358" si="5413">BB358</f>
        <v>529685</v>
      </c>
      <c r="BD358" s="42">
        <f t="shared" si="5413"/>
        <v>529685</v>
      </c>
      <c r="BE358" s="42">
        <f t="shared" si="5413"/>
        <v>529685</v>
      </c>
      <c r="BF358" s="44">
        <f>ROUND(BE358*(1+取值表!$D$22)*取值表!$H$22,0)</f>
        <v>501437</v>
      </c>
      <c r="BG358" s="42">
        <f t="shared" ref="BG358:BI358" si="5414">BF358</f>
        <v>501437</v>
      </c>
      <c r="BH358" s="42">
        <f t="shared" si="5414"/>
        <v>501437</v>
      </c>
      <c r="BI358" s="42">
        <f t="shared" si="5414"/>
        <v>501437</v>
      </c>
      <c r="BJ358" s="44">
        <f>ROUND(BI358*(1+取值表!$D$22)*取值表!$H$22,0)</f>
        <v>474696</v>
      </c>
      <c r="BK358" s="42">
        <f t="shared" ref="BK358:BM358" si="5415">BJ358</f>
        <v>474696</v>
      </c>
      <c r="BL358" s="42">
        <f t="shared" si="5415"/>
        <v>474696</v>
      </c>
      <c r="BM358" s="42">
        <f t="shared" si="5415"/>
        <v>474696</v>
      </c>
      <c r="BN358" s="44">
        <f>ROUND(BM358*(1+取值表!$D$22)*取值表!$H$22,0)</f>
        <v>449381</v>
      </c>
      <c r="BO358" s="42">
        <f t="shared" ref="BO358:BQ358" si="5416">BN358</f>
        <v>449381</v>
      </c>
      <c r="BP358" s="42">
        <f t="shared" si="5416"/>
        <v>449381</v>
      </c>
      <c r="BQ358" s="42">
        <f t="shared" si="5416"/>
        <v>449381</v>
      </c>
      <c r="BR358" s="44">
        <f>ROUND(BQ358*(1+取值表!$D$22)*取值表!$H$22,0)</f>
        <v>425416</v>
      </c>
      <c r="BS358" s="42">
        <f t="shared" ref="BS358:BU358" si="5417">BR358</f>
        <v>425416</v>
      </c>
      <c r="BT358" s="42">
        <f t="shared" si="5417"/>
        <v>425416</v>
      </c>
      <c r="BU358" s="42">
        <f t="shared" si="5417"/>
        <v>425416</v>
      </c>
      <c r="BV358" s="44">
        <f>ROUND(BU358*(1+取值表!$D$22)*取值表!$H$22,0)</f>
        <v>402729</v>
      </c>
      <c r="BW358" s="42">
        <f t="shared" ref="BW358:BY358" si="5418">BV358</f>
        <v>402729</v>
      </c>
      <c r="BX358" s="42">
        <f t="shared" si="5418"/>
        <v>402729</v>
      </c>
      <c r="BY358" s="42">
        <f t="shared" si="5418"/>
        <v>402729</v>
      </c>
      <c r="BZ358" s="44">
        <f>ROUND(BY358*(1+取值表!$D$22)*取值表!$H$22,0)</f>
        <v>381252</v>
      </c>
      <c r="CA358" s="42">
        <f t="shared" ref="CA358:CC358" si="5419">BZ358</f>
        <v>381252</v>
      </c>
      <c r="CB358" s="42">
        <f t="shared" si="5419"/>
        <v>381252</v>
      </c>
      <c r="CC358" s="42">
        <f t="shared" si="5419"/>
        <v>381252</v>
      </c>
      <c r="CD358" s="44">
        <f>ROUND(CC358*(1+取值表!$D$22)*取值表!$H$22,0)</f>
        <v>360920</v>
      </c>
      <c r="CE358" s="42">
        <f t="shared" ref="CE358:CG358" si="5420">CD358</f>
        <v>360920</v>
      </c>
      <c r="CF358" s="42">
        <f t="shared" si="5420"/>
        <v>360920</v>
      </c>
      <c r="CG358" s="42">
        <f t="shared" si="5420"/>
        <v>360920</v>
      </c>
      <c r="CH358" s="44">
        <f>ROUND(CG358*(1+取值表!$D$22)*取值表!$H$22,0)</f>
        <v>341672</v>
      </c>
      <c r="CI358" s="42">
        <f t="shared" ref="CI358:CK358" si="5421">CH358</f>
        <v>341672</v>
      </c>
      <c r="CJ358" s="42">
        <f t="shared" si="5421"/>
        <v>341672</v>
      </c>
      <c r="CK358" s="42">
        <f t="shared" si="5421"/>
        <v>341672</v>
      </c>
      <c r="CL358" s="44">
        <f>ROUND(CK358*(1+取值表!$D$22)*取值表!$H$22,0)</f>
        <v>323451</v>
      </c>
      <c r="CM358" s="42">
        <f t="shared" ref="CM358:CO358" si="5422">CL358</f>
        <v>323451</v>
      </c>
      <c r="CN358" s="42">
        <f t="shared" si="5422"/>
        <v>323451</v>
      </c>
      <c r="CO358" s="42">
        <f t="shared" si="5422"/>
        <v>323451</v>
      </c>
      <c r="CP358" s="44">
        <f>ROUND(CO358*(1+取值表!$D$22)*取值表!$H$22,0)</f>
        <v>306202</v>
      </c>
      <c r="CQ358" s="42">
        <f t="shared" ref="CQ358" si="5423">CP358</f>
        <v>306202</v>
      </c>
      <c r="CR358" s="42">
        <f t="shared" ref="CR358" si="5424">CQ358</f>
        <v>306202</v>
      </c>
      <c r="CS358" s="42">
        <f t="shared" ref="CS358" si="5425">CR358</f>
        <v>306202</v>
      </c>
      <c r="CT358" s="44">
        <f>ROUND(CS358*(1+取值表!$D$22)*取值表!$H$22,0)</f>
        <v>289872</v>
      </c>
      <c r="CU358" s="42">
        <f t="shared" ref="CU358" si="5426">CT358</f>
        <v>289872</v>
      </c>
      <c r="CV358" s="42">
        <f t="shared" ref="CV358" si="5427">CU358</f>
        <v>289872</v>
      </c>
      <c r="CW358" s="42">
        <f t="shared" ref="CW358" si="5428">CV358</f>
        <v>289872</v>
      </c>
      <c r="CX358" s="44">
        <f>ROUND(CW358*(1+取值表!$D$22)*取值表!$H$22,0)</f>
        <v>274413</v>
      </c>
      <c r="CY358" s="42">
        <f t="shared" ref="CY358" si="5429">CX358</f>
        <v>274413</v>
      </c>
      <c r="CZ358" s="42">
        <f t="shared" ref="CZ358" si="5430">CY358</f>
        <v>274413</v>
      </c>
      <c r="DA358" s="42">
        <f t="shared" ref="DA358" si="5431">CZ358</f>
        <v>274413</v>
      </c>
      <c r="DB358" s="44">
        <f>ROUND(DA358*(1+取值表!$D$22)*取值表!$H$22,0)</f>
        <v>259779</v>
      </c>
      <c r="DC358" s="42">
        <f t="shared" ref="DC358" si="5432">DB358</f>
        <v>259779</v>
      </c>
      <c r="DD358" s="42">
        <f t="shared" ref="DD358" si="5433">DC358</f>
        <v>259779</v>
      </c>
      <c r="DE358" s="42">
        <f t="shared" ref="DE358" si="5434">DD358</f>
        <v>259779</v>
      </c>
      <c r="DF358" s="45">
        <f t="shared" si="4935"/>
        <v>52633584</v>
      </c>
      <c r="DG358" s="269"/>
    </row>
    <row r="359" spans="1:228" s="40" customFormat="1" ht="15" customHeight="1">
      <c r="A359" s="505"/>
      <c r="B359" s="518"/>
      <c r="C359" s="450"/>
      <c r="D359" s="451"/>
      <c r="E359" s="452"/>
      <c r="F359" s="446"/>
      <c r="G359" s="446"/>
      <c r="H359" s="447"/>
      <c r="I359" s="41"/>
      <c r="J359" s="42"/>
      <c r="K359" s="44"/>
      <c r="L359" s="44"/>
      <c r="M359" s="44"/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  <c r="AH359" s="44"/>
      <c r="AI359" s="44"/>
      <c r="AJ359" s="44"/>
      <c r="AK359" s="44"/>
      <c r="AL359" s="44"/>
      <c r="AM359" s="44"/>
      <c r="AN359" s="44"/>
      <c r="AO359" s="44"/>
      <c r="AP359" s="44"/>
      <c r="AQ359" s="44"/>
      <c r="AR359" s="44"/>
      <c r="AS359" s="44"/>
      <c r="AT359" s="44"/>
      <c r="AU359" s="44"/>
      <c r="AV359" s="44"/>
      <c r="AW359" s="44"/>
      <c r="AX359" s="44"/>
      <c r="AY359" s="44"/>
      <c r="AZ359" s="44"/>
      <c r="BA359" s="44"/>
      <c r="BB359" s="44"/>
      <c r="BC359" s="44"/>
      <c r="BD359" s="44"/>
      <c r="BE359" s="44"/>
      <c r="BF359" s="44"/>
      <c r="BG359" s="44"/>
      <c r="BH359" s="44"/>
      <c r="BI359" s="44"/>
      <c r="BJ359" s="44"/>
      <c r="BK359" s="44"/>
      <c r="BL359" s="44"/>
      <c r="BM359" s="44"/>
      <c r="BN359" s="44"/>
      <c r="BO359" s="44"/>
      <c r="BP359" s="44"/>
      <c r="BQ359" s="44"/>
      <c r="BR359" s="44"/>
      <c r="BS359" s="44"/>
      <c r="BT359" s="44"/>
      <c r="BU359" s="44"/>
      <c r="BV359" s="44"/>
      <c r="BW359" s="44"/>
      <c r="BX359" s="44"/>
      <c r="BY359" s="44"/>
      <c r="BZ359" s="44"/>
      <c r="CA359" s="44"/>
      <c r="CB359" s="44"/>
      <c r="CC359" s="44"/>
      <c r="CD359" s="44"/>
      <c r="CE359" s="44"/>
      <c r="CF359" s="44"/>
      <c r="CG359" s="44"/>
      <c r="CH359" s="44"/>
      <c r="CI359" s="44"/>
      <c r="CJ359" s="44"/>
      <c r="CK359" s="44"/>
      <c r="CL359" s="44"/>
      <c r="CM359" s="44"/>
      <c r="CN359" s="44"/>
      <c r="CO359" s="44"/>
      <c r="CP359" s="44"/>
      <c r="CQ359" s="44"/>
      <c r="CR359" s="44"/>
      <c r="CS359" s="44"/>
      <c r="CT359" s="44"/>
      <c r="CU359" s="44"/>
      <c r="CV359" s="44"/>
      <c r="CW359" s="44"/>
      <c r="CX359" s="44"/>
      <c r="CY359" s="44"/>
      <c r="CZ359" s="44"/>
      <c r="DA359" s="44"/>
      <c r="DB359" s="44"/>
      <c r="DC359" s="44"/>
      <c r="DD359" s="44"/>
      <c r="DE359" s="44"/>
      <c r="DF359" s="45">
        <f t="shared" si="4935"/>
        <v>0</v>
      </c>
    </row>
    <row r="360" spans="1:228" s="40" customFormat="1" ht="12">
      <c r="A360" s="504">
        <v>184</v>
      </c>
      <c r="B360" s="518" t="s">
        <v>322</v>
      </c>
      <c r="C360" s="450" t="s">
        <v>762</v>
      </c>
      <c r="D360" s="451" t="s">
        <v>537</v>
      </c>
      <c r="E360" s="452" t="s">
        <v>536</v>
      </c>
      <c r="F360" s="446">
        <v>1271.17</v>
      </c>
      <c r="G360" s="446">
        <v>6.75</v>
      </c>
      <c r="H360" s="447">
        <f>F360*G360*365</f>
        <v>3131845.0875000004</v>
      </c>
      <c r="I360" s="41">
        <v>324783.94</v>
      </c>
      <c r="J360" s="42">
        <f>ROUND(270653.28*3,0)</f>
        <v>811960</v>
      </c>
      <c r="K360" s="44">
        <f t="shared" ref="K360:Q360" si="5435">J360</f>
        <v>811960</v>
      </c>
      <c r="L360" s="42">
        <f t="shared" si="5435"/>
        <v>811960</v>
      </c>
      <c r="M360" s="42">
        <f t="shared" si="5435"/>
        <v>811960</v>
      </c>
      <c r="N360" s="42">
        <f t="shared" si="5435"/>
        <v>811960</v>
      </c>
      <c r="O360" s="42">
        <f t="shared" si="5435"/>
        <v>811960</v>
      </c>
      <c r="P360" s="42">
        <f t="shared" si="5435"/>
        <v>811960</v>
      </c>
      <c r="Q360" s="43">
        <f t="shared" si="5435"/>
        <v>811960</v>
      </c>
      <c r="R360" s="44">
        <f>ROUND(Q360*(1+取值表!$D$24)*取值表!$H$24,0)</f>
        <v>791881</v>
      </c>
      <c r="S360" s="44">
        <f>R360</f>
        <v>791881</v>
      </c>
      <c r="T360" s="44">
        <f>S360</f>
        <v>791881</v>
      </c>
      <c r="U360" s="44">
        <f>T360</f>
        <v>791881</v>
      </c>
      <c r="V360" s="44">
        <f>ROUND(U360*(1+取值表!$D$24)*取值表!$H$24,0)</f>
        <v>772299</v>
      </c>
      <c r="W360" s="44">
        <f t="shared" ref="W360:Y360" si="5436">V360</f>
        <v>772299</v>
      </c>
      <c r="X360" s="44">
        <f t="shared" si="5436"/>
        <v>772299</v>
      </c>
      <c r="Y360" s="44">
        <f t="shared" si="5436"/>
        <v>772299</v>
      </c>
      <c r="Z360" s="44">
        <f>ROUND(Y360*(1+取值表!$D$24)*取值表!$H$24,0)</f>
        <v>753201</v>
      </c>
      <c r="AA360" s="44">
        <f t="shared" ref="AA360:AC360" si="5437">Z360</f>
        <v>753201</v>
      </c>
      <c r="AB360" s="44">
        <f t="shared" si="5437"/>
        <v>753201</v>
      </c>
      <c r="AC360" s="44">
        <f t="shared" si="5437"/>
        <v>753201</v>
      </c>
      <c r="AD360" s="44">
        <f>ROUND(AC360*(1+取值表!$D$24)*取值表!$H$24,0)</f>
        <v>734575</v>
      </c>
      <c r="AE360" s="44">
        <f t="shared" ref="AE360:AG360" si="5438">AD360</f>
        <v>734575</v>
      </c>
      <c r="AF360" s="44">
        <f t="shared" si="5438"/>
        <v>734575</v>
      </c>
      <c r="AG360" s="44">
        <f t="shared" si="5438"/>
        <v>734575</v>
      </c>
      <c r="AH360" s="44">
        <f>ROUND(AG360*(1+取值表!$D$24)*取值表!$H$24,0)</f>
        <v>716410</v>
      </c>
      <c r="AI360" s="44">
        <f t="shared" ref="AI360:AK360" si="5439">AH360</f>
        <v>716410</v>
      </c>
      <c r="AJ360" s="44">
        <f t="shared" si="5439"/>
        <v>716410</v>
      </c>
      <c r="AK360" s="44">
        <f t="shared" si="5439"/>
        <v>716410</v>
      </c>
      <c r="AL360" s="44">
        <f>ROUND(AK360*(1+取值表!$D$24)*取值表!$H$24,0)</f>
        <v>698694</v>
      </c>
      <c r="AM360" s="44">
        <f t="shared" ref="AM360:AO360" si="5440">AL360</f>
        <v>698694</v>
      </c>
      <c r="AN360" s="44">
        <f t="shared" si="5440"/>
        <v>698694</v>
      </c>
      <c r="AO360" s="44">
        <f t="shared" si="5440"/>
        <v>698694</v>
      </c>
      <c r="AP360" s="44">
        <f>ROUND(AO360*(1+取值表!$D$24)*取值表!$H$24,0)</f>
        <v>681416</v>
      </c>
      <c r="AQ360" s="44">
        <f t="shared" ref="AQ360:AS360" si="5441">AP360</f>
        <v>681416</v>
      </c>
      <c r="AR360" s="44">
        <f t="shared" si="5441"/>
        <v>681416</v>
      </c>
      <c r="AS360" s="44">
        <f t="shared" si="5441"/>
        <v>681416</v>
      </c>
      <c r="AT360" s="44">
        <f>ROUND(AS360*(1+取值表!$D$24)*取值表!$H$24,0)</f>
        <v>664565</v>
      </c>
      <c r="AU360" s="44">
        <f t="shared" ref="AU360:AW360" si="5442">AT360</f>
        <v>664565</v>
      </c>
      <c r="AV360" s="44">
        <f t="shared" si="5442"/>
        <v>664565</v>
      </c>
      <c r="AW360" s="44">
        <f t="shared" si="5442"/>
        <v>664565</v>
      </c>
      <c r="AX360" s="44">
        <f>ROUND(AW360*(1+取值表!$D$24)*取值表!$H$24,0)</f>
        <v>648131</v>
      </c>
      <c r="AY360" s="44">
        <f t="shared" ref="AY360:BA360" si="5443">AX360</f>
        <v>648131</v>
      </c>
      <c r="AZ360" s="44">
        <f t="shared" si="5443"/>
        <v>648131</v>
      </c>
      <c r="BA360" s="44">
        <f t="shared" si="5443"/>
        <v>648131</v>
      </c>
      <c r="BB360" s="44">
        <f>ROUND(BA360*(1+取值表!$D$24)*取值表!$H$24,0)</f>
        <v>632103</v>
      </c>
      <c r="BC360" s="44">
        <f t="shared" ref="BC360:BE360" si="5444">BB360</f>
        <v>632103</v>
      </c>
      <c r="BD360" s="44">
        <f t="shared" si="5444"/>
        <v>632103</v>
      </c>
      <c r="BE360" s="44">
        <f t="shared" si="5444"/>
        <v>632103</v>
      </c>
      <c r="BF360" s="44">
        <f>ROUND(BE360*(1+取值表!$D$24)*取值表!$H$24,0)</f>
        <v>616472</v>
      </c>
      <c r="BG360" s="44">
        <f t="shared" ref="BG360:BI360" si="5445">BF360</f>
        <v>616472</v>
      </c>
      <c r="BH360" s="44">
        <f t="shared" si="5445"/>
        <v>616472</v>
      </c>
      <c r="BI360" s="44">
        <f t="shared" si="5445"/>
        <v>616472</v>
      </c>
      <c r="BJ360" s="44">
        <f>ROUND(BI360*(1+取值表!$D$24)*取值表!$H$24,0)</f>
        <v>601227</v>
      </c>
      <c r="BK360" s="44">
        <f t="shared" ref="BK360:BM360" si="5446">BJ360</f>
        <v>601227</v>
      </c>
      <c r="BL360" s="44">
        <f t="shared" si="5446"/>
        <v>601227</v>
      </c>
      <c r="BM360" s="44">
        <f t="shared" si="5446"/>
        <v>601227</v>
      </c>
      <c r="BN360" s="44">
        <f>ROUND(BM360*(1+取值表!$D$24)*取值表!$H$24,0)</f>
        <v>586359</v>
      </c>
      <c r="BO360" s="44">
        <f t="shared" ref="BO360:BQ360" si="5447">BN360</f>
        <v>586359</v>
      </c>
      <c r="BP360" s="44">
        <f t="shared" si="5447"/>
        <v>586359</v>
      </c>
      <c r="BQ360" s="44">
        <f t="shared" si="5447"/>
        <v>586359</v>
      </c>
      <c r="BR360" s="44">
        <f>ROUND(BQ360*(1+取值表!$D$24)*取值表!$H$24,0)</f>
        <v>571859</v>
      </c>
      <c r="BS360" s="44">
        <f t="shared" ref="BS360:BU360" si="5448">BR360</f>
        <v>571859</v>
      </c>
      <c r="BT360" s="44">
        <f t="shared" si="5448"/>
        <v>571859</v>
      </c>
      <c r="BU360" s="44">
        <f t="shared" si="5448"/>
        <v>571859</v>
      </c>
      <c r="BV360" s="44">
        <f>ROUND(BU360*(1+取值表!$D$24)*取值表!$H$24,0)</f>
        <v>557717</v>
      </c>
      <c r="BW360" s="44">
        <f t="shared" ref="BW360:BY360" si="5449">BV360</f>
        <v>557717</v>
      </c>
      <c r="BX360" s="44">
        <f t="shared" si="5449"/>
        <v>557717</v>
      </c>
      <c r="BY360" s="44">
        <f t="shared" si="5449"/>
        <v>557717</v>
      </c>
      <c r="BZ360" s="44">
        <f>ROUND(BY360*(1+取值表!$D$24)*取值表!$H$24,0)</f>
        <v>543925</v>
      </c>
      <c r="CA360" s="44">
        <f t="shared" ref="CA360:CC360" si="5450">BZ360</f>
        <v>543925</v>
      </c>
      <c r="CB360" s="44">
        <f t="shared" si="5450"/>
        <v>543925</v>
      </c>
      <c r="CC360" s="44">
        <f t="shared" si="5450"/>
        <v>543925</v>
      </c>
      <c r="CD360" s="44">
        <f>ROUND(CC360*(1+取值表!$D$24)*取值表!$H$24,0)</f>
        <v>530474</v>
      </c>
      <c r="CE360" s="44">
        <f t="shared" ref="CE360:CG360" si="5451">CD360</f>
        <v>530474</v>
      </c>
      <c r="CF360" s="44">
        <f t="shared" si="5451"/>
        <v>530474</v>
      </c>
      <c r="CG360" s="44">
        <f t="shared" si="5451"/>
        <v>530474</v>
      </c>
      <c r="CH360" s="44">
        <f>ROUND(CG360*(1+取值表!$D$24)*取值表!$H$24,0)</f>
        <v>517356</v>
      </c>
      <c r="CI360" s="44">
        <f t="shared" ref="CI360:CK360" si="5452">CH360</f>
        <v>517356</v>
      </c>
      <c r="CJ360" s="44">
        <f t="shared" si="5452"/>
        <v>517356</v>
      </c>
      <c r="CK360" s="44">
        <f t="shared" si="5452"/>
        <v>517356</v>
      </c>
      <c r="CL360" s="44">
        <f>ROUND(CK360*(1+取值表!$D$24)*取值表!$H$24,0)</f>
        <v>504562</v>
      </c>
      <c r="CM360" s="44">
        <f t="shared" ref="CM360:CO360" si="5453">CL360</f>
        <v>504562</v>
      </c>
      <c r="CN360" s="44">
        <f t="shared" si="5453"/>
        <v>504562</v>
      </c>
      <c r="CO360" s="44">
        <f t="shared" si="5453"/>
        <v>504562</v>
      </c>
      <c r="CP360" s="44">
        <f>ROUND(CO360*(1+取值表!$D$24)*取值表!$H$24,0)</f>
        <v>492085</v>
      </c>
      <c r="CQ360" s="44">
        <f t="shared" ref="CQ360" si="5454">CP360</f>
        <v>492085</v>
      </c>
      <c r="CR360" s="44">
        <f t="shared" ref="CR360" si="5455">CQ360</f>
        <v>492085</v>
      </c>
      <c r="CS360" s="44">
        <f t="shared" ref="CS360" si="5456">CR360</f>
        <v>492085</v>
      </c>
      <c r="CT360" s="44">
        <f>ROUND(CS360*(1+取值表!$D$24)*取值表!$H$24,0)</f>
        <v>479916</v>
      </c>
      <c r="CU360" s="44">
        <f t="shared" ref="CU360" si="5457">CT360</f>
        <v>479916</v>
      </c>
      <c r="CV360" s="44">
        <f t="shared" ref="CV360" si="5458">CU360</f>
        <v>479916</v>
      </c>
      <c r="CW360" s="44">
        <f t="shared" ref="CW360" si="5459">CV360</f>
        <v>479916</v>
      </c>
      <c r="CX360" s="44">
        <f>ROUND(CW360*(1+取值表!$D$24)*取值表!$H$24,0)</f>
        <v>468048</v>
      </c>
      <c r="CY360" s="44">
        <f t="shared" ref="CY360" si="5460">CX360</f>
        <v>468048</v>
      </c>
      <c r="CZ360" s="44">
        <f t="shared" ref="CZ360" si="5461">CY360</f>
        <v>468048</v>
      </c>
      <c r="DA360" s="44">
        <f t="shared" ref="DA360" si="5462">CZ360</f>
        <v>468048</v>
      </c>
      <c r="DB360" s="44">
        <f>ROUND(DA360*(1+取值表!$D$24)*取值表!$H$24,0)</f>
        <v>456474</v>
      </c>
      <c r="DC360" s="44">
        <f t="shared" ref="DC360" si="5463">DB360</f>
        <v>456474</v>
      </c>
      <c r="DD360" s="44">
        <f t="shared" ref="DD360" si="5464">DC360</f>
        <v>456474</v>
      </c>
      <c r="DE360" s="44">
        <f t="shared" ref="DE360" si="5465">DD360</f>
        <v>456474</v>
      </c>
      <c r="DF360" s="45">
        <f t="shared" si="4935"/>
        <v>62574676</v>
      </c>
    </row>
    <row r="361" spans="1:228" s="40" customFormat="1" ht="12">
      <c r="A361" s="505"/>
      <c r="B361" s="518"/>
      <c r="C361" s="450"/>
      <c r="D361" s="451"/>
      <c r="E361" s="452"/>
      <c r="F361" s="446"/>
      <c r="G361" s="446"/>
      <c r="H361" s="447"/>
      <c r="I361" s="41"/>
      <c r="J361" s="42"/>
      <c r="K361" s="44"/>
      <c r="L361" s="44"/>
      <c r="M361" s="44"/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  <c r="AH361" s="44"/>
      <c r="AI361" s="44"/>
      <c r="AJ361" s="44"/>
      <c r="AK361" s="44"/>
      <c r="AL361" s="44"/>
      <c r="AM361" s="44"/>
      <c r="AN361" s="44"/>
      <c r="AO361" s="44"/>
      <c r="AP361" s="44"/>
      <c r="AQ361" s="44"/>
      <c r="AR361" s="44"/>
      <c r="AS361" s="44"/>
      <c r="AT361" s="44"/>
      <c r="AU361" s="44"/>
      <c r="AV361" s="44"/>
      <c r="AW361" s="44"/>
      <c r="AX361" s="44"/>
      <c r="AY361" s="44"/>
      <c r="AZ361" s="44"/>
      <c r="BA361" s="44"/>
      <c r="BB361" s="44"/>
      <c r="BC361" s="44"/>
      <c r="BD361" s="44"/>
      <c r="BE361" s="44"/>
      <c r="BF361" s="44"/>
      <c r="BG361" s="44"/>
      <c r="BH361" s="44"/>
      <c r="BI361" s="44"/>
      <c r="BJ361" s="44"/>
      <c r="BK361" s="44"/>
      <c r="BL361" s="44"/>
      <c r="BM361" s="44"/>
      <c r="BN361" s="44"/>
      <c r="BO361" s="44"/>
      <c r="BP361" s="44"/>
      <c r="BQ361" s="44"/>
      <c r="BR361" s="44"/>
      <c r="BS361" s="44"/>
      <c r="BT361" s="44"/>
      <c r="BU361" s="44"/>
      <c r="BV361" s="44"/>
      <c r="BW361" s="44"/>
      <c r="BX361" s="44"/>
      <c r="BY361" s="44"/>
      <c r="BZ361" s="44"/>
      <c r="CA361" s="44"/>
      <c r="CB361" s="44"/>
      <c r="CC361" s="44"/>
      <c r="CD361" s="44"/>
      <c r="CE361" s="44"/>
      <c r="CF361" s="44"/>
      <c r="CG361" s="44"/>
      <c r="CH361" s="44"/>
      <c r="CI361" s="44"/>
      <c r="CJ361" s="44"/>
      <c r="CK361" s="44"/>
      <c r="CL361" s="44"/>
      <c r="CM361" s="44"/>
      <c r="CN361" s="44"/>
      <c r="CO361" s="44"/>
      <c r="CP361" s="44"/>
      <c r="CQ361" s="44"/>
      <c r="CR361" s="44"/>
      <c r="CS361" s="44"/>
      <c r="CT361" s="44"/>
      <c r="CU361" s="44"/>
      <c r="CV361" s="44"/>
      <c r="CW361" s="44"/>
      <c r="CX361" s="44"/>
      <c r="CY361" s="44"/>
      <c r="CZ361" s="44"/>
      <c r="DA361" s="44"/>
      <c r="DB361" s="44"/>
      <c r="DC361" s="44"/>
      <c r="DD361" s="44"/>
      <c r="DE361" s="44"/>
      <c r="DF361" s="45">
        <f t="shared" si="4935"/>
        <v>0</v>
      </c>
    </row>
    <row r="362" spans="1:228" s="40" customFormat="1" ht="12">
      <c r="A362" s="504">
        <v>185</v>
      </c>
      <c r="B362" s="518" t="s">
        <v>323</v>
      </c>
      <c r="C362" s="450" t="s">
        <v>324</v>
      </c>
      <c r="D362" s="451" t="s">
        <v>540</v>
      </c>
      <c r="E362" s="452" t="s">
        <v>538</v>
      </c>
      <c r="F362" s="446">
        <v>1277.49</v>
      </c>
      <c r="G362" s="446">
        <v>6.5</v>
      </c>
      <c r="H362" s="447">
        <f>F362*G362*365</f>
        <v>3030845.0249999999</v>
      </c>
      <c r="I362" s="41">
        <v>550214.93999999994</v>
      </c>
      <c r="J362" s="42">
        <f>ROUND(G362*365*F362/4,0)</f>
        <v>757711</v>
      </c>
      <c r="K362" s="44">
        <f>J362</f>
        <v>757711</v>
      </c>
      <c r="L362" s="44">
        <f t="shared" ref="L362:AN362" si="5466">K362</f>
        <v>757711</v>
      </c>
      <c r="M362" s="44">
        <f t="shared" si="5466"/>
        <v>757711</v>
      </c>
      <c r="N362" s="44">
        <f t="shared" si="5466"/>
        <v>757711</v>
      </c>
      <c r="O362" s="44">
        <f t="shared" si="5466"/>
        <v>757711</v>
      </c>
      <c r="P362" s="44">
        <f t="shared" si="5466"/>
        <v>757711</v>
      </c>
      <c r="Q362" s="44">
        <f t="shared" si="5466"/>
        <v>757711</v>
      </c>
      <c r="R362" s="44">
        <f t="shared" si="5466"/>
        <v>757711</v>
      </c>
      <c r="S362" s="44">
        <f t="shared" si="5466"/>
        <v>757711</v>
      </c>
      <c r="T362" s="44">
        <f t="shared" si="5466"/>
        <v>757711</v>
      </c>
      <c r="U362" s="44">
        <f t="shared" si="5466"/>
        <v>757711</v>
      </c>
      <c r="V362" s="44">
        <f t="shared" si="5466"/>
        <v>757711</v>
      </c>
      <c r="W362" s="44">
        <f t="shared" si="5466"/>
        <v>757711</v>
      </c>
      <c r="X362" s="44">
        <f t="shared" si="5466"/>
        <v>757711</v>
      </c>
      <c r="Y362" s="44">
        <f t="shared" si="5466"/>
        <v>757711</v>
      </c>
      <c r="Z362" s="44">
        <f t="shared" si="5466"/>
        <v>757711</v>
      </c>
      <c r="AA362" s="44">
        <f t="shared" si="5466"/>
        <v>757711</v>
      </c>
      <c r="AB362" s="44">
        <f t="shared" si="5466"/>
        <v>757711</v>
      </c>
      <c r="AC362" s="44">
        <f t="shared" si="5466"/>
        <v>757711</v>
      </c>
      <c r="AD362" s="44">
        <f t="shared" si="5466"/>
        <v>757711</v>
      </c>
      <c r="AE362" s="44">
        <f t="shared" si="5466"/>
        <v>757711</v>
      </c>
      <c r="AF362" s="44">
        <f t="shared" si="5466"/>
        <v>757711</v>
      </c>
      <c r="AG362" s="44">
        <f t="shared" si="5466"/>
        <v>757711</v>
      </c>
      <c r="AH362" s="44">
        <f t="shared" si="5466"/>
        <v>757711</v>
      </c>
      <c r="AI362" s="44">
        <f t="shared" si="5466"/>
        <v>757711</v>
      </c>
      <c r="AJ362" s="44">
        <f t="shared" si="5466"/>
        <v>757711</v>
      </c>
      <c r="AK362" s="44">
        <f t="shared" si="5466"/>
        <v>757711</v>
      </c>
      <c r="AL362" s="44">
        <f t="shared" si="5466"/>
        <v>757711</v>
      </c>
      <c r="AM362" s="44">
        <f t="shared" si="5466"/>
        <v>757711</v>
      </c>
      <c r="AN362" s="43">
        <f t="shared" si="5466"/>
        <v>757711</v>
      </c>
      <c r="AO362" s="44">
        <f>AN362</f>
        <v>757711</v>
      </c>
      <c r="AP362" s="44">
        <f>ROUND(AO362*(1+取值表!$D$26)*取值表!$H$26,0)</f>
        <v>736692</v>
      </c>
      <c r="AQ362" s="44">
        <f>AP362</f>
        <v>736692</v>
      </c>
      <c r="AR362" s="44">
        <f>AQ362</f>
        <v>736692</v>
      </c>
      <c r="AS362" s="44">
        <f>AR362</f>
        <v>736692</v>
      </c>
      <c r="AT362" s="44">
        <f>ROUND(AS362*(1+取值表!$D$26)*取值表!$H$26,0)</f>
        <v>716256</v>
      </c>
      <c r="AU362" s="44">
        <f t="shared" ref="AU362:AW362" si="5467">AT362</f>
        <v>716256</v>
      </c>
      <c r="AV362" s="44">
        <f t="shared" si="5467"/>
        <v>716256</v>
      </c>
      <c r="AW362" s="44">
        <f t="shared" si="5467"/>
        <v>716256</v>
      </c>
      <c r="AX362" s="44">
        <f>ROUND(AW362*(1+取值表!$D$26)*取值表!$H$26,0)</f>
        <v>696387</v>
      </c>
      <c r="AY362" s="44">
        <f t="shared" ref="AY362:BA362" si="5468">AX362</f>
        <v>696387</v>
      </c>
      <c r="AZ362" s="44">
        <f t="shared" si="5468"/>
        <v>696387</v>
      </c>
      <c r="BA362" s="44">
        <f t="shared" si="5468"/>
        <v>696387</v>
      </c>
      <c r="BB362" s="44">
        <f>ROUND(BA362*(1+取值表!$D$26)*取值表!$H$26,0)</f>
        <v>677069</v>
      </c>
      <c r="BC362" s="44">
        <f t="shared" ref="BC362:BE362" si="5469">BB362</f>
        <v>677069</v>
      </c>
      <c r="BD362" s="44">
        <f t="shared" si="5469"/>
        <v>677069</v>
      </c>
      <c r="BE362" s="44">
        <f t="shared" si="5469"/>
        <v>677069</v>
      </c>
      <c r="BF362" s="44">
        <f>ROUND(BE362*(1+取值表!$D$26)*取值表!$H$26,0)</f>
        <v>658287</v>
      </c>
      <c r="BG362" s="44">
        <f t="shared" ref="BG362:BI362" si="5470">BF362</f>
        <v>658287</v>
      </c>
      <c r="BH362" s="44">
        <f t="shared" si="5470"/>
        <v>658287</v>
      </c>
      <c r="BI362" s="44">
        <f t="shared" si="5470"/>
        <v>658287</v>
      </c>
      <c r="BJ362" s="44">
        <f>ROUND(BI362*(1+取值表!$D$26)*取值表!$H$26,0)</f>
        <v>640026</v>
      </c>
      <c r="BK362" s="44">
        <f t="shared" ref="BK362:BM362" si="5471">BJ362</f>
        <v>640026</v>
      </c>
      <c r="BL362" s="44">
        <f t="shared" si="5471"/>
        <v>640026</v>
      </c>
      <c r="BM362" s="44">
        <f t="shared" si="5471"/>
        <v>640026</v>
      </c>
      <c r="BN362" s="44">
        <f>ROUND(BM362*(1+取值表!$D$26)*取值表!$H$26,0)</f>
        <v>622272</v>
      </c>
      <c r="BO362" s="44">
        <f t="shared" ref="BO362:BQ362" si="5472">BN362</f>
        <v>622272</v>
      </c>
      <c r="BP362" s="44">
        <f t="shared" si="5472"/>
        <v>622272</v>
      </c>
      <c r="BQ362" s="44">
        <f t="shared" si="5472"/>
        <v>622272</v>
      </c>
      <c r="BR362" s="44">
        <f>ROUND(BQ362*(1+取值表!$D$26)*取值表!$H$26,0)</f>
        <v>605010</v>
      </c>
      <c r="BS362" s="44">
        <f t="shared" ref="BS362:BU362" si="5473">BR362</f>
        <v>605010</v>
      </c>
      <c r="BT362" s="44">
        <f t="shared" si="5473"/>
        <v>605010</v>
      </c>
      <c r="BU362" s="44">
        <f t="shared" si="5473"/>
        <v>605010</v>
      </c>
      <c r="BV362" s="44">
        <f>ROUND(BU362*(1+取值表!$D$26)*取值表!$H$26,0)</f>
        <v>588227</v>
      </c>
      <c r="BW362" s="44">
        <f t="shared" ref="BW362:BY362" si="5474">BV362</f>
        <v>588227</v>
      </c>
      <c r="BX362" s="44">
        <f t="shared" si="5474"/>
        <v>588227</v>
      </c>
      <c r="BY362" s="44">
        <f t="shared" si="5474"/>
        <v>588227</v>
      </c>
      <c r="BZ362" s="44">
        <f>ROUND(BY362*(1+取值表!$D$26)*取值表!$H$26,0)</f>
        <v>571910</v>
      </c>
      <c r="CA362" s="44">
        <f t="shared" ref="CA362:CC362" si="5475">BZ362</f>
        <v>571910</v>
      </c>
      <c r="CB362" s="44">
        <f t="shared" si="5475"/>
        <v>571910</v>
      </c>
      <c r="CC362" s="44">
        <f t="shared" si="5475"/>
        <v>571910</v>
      </c>
      <c r="CD362" s="44">
        <f>ROUND(CC362*(1+取值表!$D$26)*取值表!$H$26,0)</f>
        <v>556045</v>
      </c>
      <c r="CE362" s="44">
        <f t="shared" ref="CE362:CG362" si="5476">CD362</f>
        <v>556045</v>
      </c>
      <c r="CF362" s="44">
        <f t="shared" si="5476"/>
        <v>556045</v>
      </c>
      <c r="CG362" s="44">
        <f t="shared" si="5476"/>
        <v>556045</v>
      </c>
      <c r="CH362" s="44">
        <f>ROUND(CG362*(1+取值表!$D$26)*取值表!$H$26,0)</f>
        <v>540621</v>
      </c>
      <c r="CI362" s="44">
        <f t="shared" ref="CI362:CK362" si="5477">CH362</f>
        <v>540621</v>
      </c>
      <c r="CJ362" s="44">
        <f t="shared" si="5477"/>
        <v>540621</v>
      </c>
      <c r="CK362" s="44">
        <f t="shared" si="5477"/>
        <v>540621</v>
      </c>
      <c r="CL362" s="44">
        <f>ROUND(CK362*(1+取值表!$D$26)*取值表!$H$26,0)</f>
        <v>525624</v>
      </c>
      <c r="CM362" s="44">
        <f t="shared" ref="CM362:CO362" si="5478">CL362</f>
        <v>525624</v>
      </c>
      <c r="CN362" s="44">
        <f t="shared" si="5478"/>
        <v>525624</v>
      </c>
      <c r="CO362" s="44">
        <f t="shared" si="5478"/>
        <v>525624</v>
      </c>
      <c r="CP362" s="44">
        <f>ROUND(CO362*(1+取值表!$D$26)*取值表!$H$26,0)</f>
        <v>511043</v>
      </c>
      <c r="CQ362" s="44">
        <f t="shared" ref="CQ362" si="5479">CP362</f>
        <v>511043</v>
      </c>
      <c r="CR362" s="44">
        <f t="shared" ref="CR362" si="5480">CQ362</f>
        <v>511043</v>
      </c>
      <c r="CS362" s="44">
        <f t="shared" ref="CS362" si="5481">CR362</f>
        <v>511043</v>
      </c>
      <c r="CT362" s="44">
        <f>ROUND(CS362*(1+取值表!$D$26)*取值表!$H$26,0)</f>
        <v>496867</v>
      </c>
      <c r="CU362" s="44">
        <f t="shared" ref="CU362" si="5482">CT362</f>
        <v>496867</v>
      </c>
      <c r="CV362" s="44">
        <f t="shared" ref="CV362" si="5483">CU362</f>
        <v>496867</v>
      </c>
      <c r="CW362" s="44">
        <f t="shared" ref="CW362" si="5484">CV362</f>
        <v>496867</v>
      </c>
      <c r="CX362" s="44">
        <f>ROUND(CW362*(1+取值表!$D$26)*取值表!$H$26,0)</f>
        <v>483084</v>
      </c>
      <c r="CY362" s="44">
        <f t="shared" ref="CY362" si="5485">CX362</f>
        <v>483084</v>
      </c>
      <c r="CZ362" s="44">
        <f t="shared" ref="CZ362" si="5486">CY362</f>
        <v>483084</v>
      </c>
      <c r="DA362" s="44">
        <f t="shared" ref="DA362" si="5487">CZ362</f>
        <v>483084</v>
      </c>
      <c r="DB362" s="44">
        <f>ROUND(DA362*(1+取值表!$D$26)*取值表!$H$26,0)</f>
        <v>469683</v>
      </c>
      <c r="DC362" s="44">
        <f t="shared" ref="DC362" si="5488">DB362</f>
        <v>469683</v>
      </c>
      <c r="DD362" s="44">
        <f t="shared" ref="DD362" si="5489">DC362</f>
        <v>469683</v>
      </c>
      <c r="DE362" s="44">
        <f t="shared" ref="DE362" si="5490">DD362</f>
        <v>469683</v>
      </c>
      <c r="DF362" s="45">
        <f t="shared" si="4935"/>
        <v>64627164</v>
      </c>
    </row>
    <row r="363" spans="1:228" s="40" customFormat="1" ht="12">
      <c r="A363" s="505"/>
      <c r="B363" s="518"/>
      <c r="C363" s="450"/>
      <c r="D363" s="451"/>
      <c r="E363" s="452"/>
      <c r="F363" s="446"/>
      <c r="G363" s="446"/>
      <c r="H363" s="447"/>
      <c r="I363" s="41"/>
      <c r="J363" s="42"/>
      <c r="K363" s="44"/>
      <c r="L363" s="44"/>
      <c r="M363" s="44"/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  <c r="AH363" s="44"/>
      <c r="AI363" s="44"/>
      <c r="AJ363" s="44"/>
      <c r="AK363" s="44"/>
      <c r="AL363" s="44"/>
      <c r="AM363" s="44"/>
      <c r="AN363" s="44"/>
      <c r="AO363" s="44"/>
      <c r="AP363" s="44"/>
      <c r="AQ363" s="44"/>
      <c r="AR363" s="44"/>
      <c r="AS363" s="44"/>
      <c r="AT363" s="44"/>
      <c r="AU363" s="44"/>
      <c r="AV363" s="44"/>
      <c r="AW363" s="44"/>
      <c r="AX363" s="44"/>
      <c r="AY363" s="44"/>
      <c r="AZ363" s="44"/>
      <c r="BA363" s="44"/>
      <c r="BB363" s="44"/>
      <c r="BC363" s="44"/>
      <c r="BD363" s="44"/>
      <c r="BE363" s="44"/>
      <c r="BF363" s="44"/>
      <c r="BG363" s="44"/>
      <c r="BH363" s="44"/>
      <c r="BI363" s="44"/>
      <c r="BJ363" s="44"/>
      <c r="BK363" s="44"/>
      <c r="BL363" s="44"/>
      <c r="BM363" s="44"/>
      <c r="BN363" s="44"/>
      <c r="BO363" s="44"/>
      <c r="BP363" s="44"/>
      <c r="BQ363" s="44"/>
      <c r="BR363" s="44"/>
      <c r="BS363" s="44"/>
      <c r="BT363" s="44"/>
      <c r="BU363" s="44"/>
      <c r="BV363" s="44"/>
      <c r="BW363" s="44"/>
      <c r="BX363" s="44"/>
      <c r="BY363" s="44"/>
      <c r="BZ363" s="44"/>
      <c r="CA363" s="44"/>
      <c r="CB363" s="44"/>
      <c r="CC363" s="44"/>
      <c r="CD363" s="44"/>
      <c r="CE363" s="44"/>
      <c r="CF363" s="44"/>
      <c r="CG363" s="44"/>
      <c r="CH363" s="44"/>
      <c r="CI363" s="44"/>
      <c r="CJ363" s="44"/>
      <c r="CK363" s="44"/>
      <c r="CL363" s="44"/>
      <c r="CM363" s="44"/>
      <c r="CN363" s="44"/>
      <c r="CO363" s="44"/>
      <c r="CP363" s="44"/>
      <c r="CQ363" s="44"/>
      <c r="CR363" s="44"/>
      <c r="CS363" s="44"/>
      <c r="CT363" s="44"/>
      <c r="CU363" s="44"/>
      <c r="CV363" s="44"/>
      <c r="CW363" s="44"/>
      <c r="CX363" s="44"/>
      <c r="CY363" s="44"/>
      <c r="CZ363" s="44"/>
      <c r="DA363" s="44"/>
      <c r="DB363" s="44"/>
      <c r="DC363" s="44"/>
      <c r="DD363" s="44"/>
      <c r="DE363" s="44"/>
      <c r="DF363" s="45">
        <f t="shared" si="4935"/>
        <v>0</v>
      </c>
    </row>
    <row r="364" spans="1:228" s="40" customFormat="1" ht="12">
      <c r="A364" s="504">
        <v>186</v>
      </c>
      <c r="B364" s="518" t="s">
        <v>325</v>
      </c>
      <c r="C364" s="450" t="s">
        <v>763</v>
      </c>
      <c r="D364" s="451" t="s">
        <v>539</v>
      </c>
      <c r="E364" s="452" t="s">
        <v>646</v>
      </c>
      <c r="F364" s="446">
        <v>1277.49</v>
      </c>
      <c r="G364" s="446">
        <f>AVERAGE(6.7,7)</f>
        <v>6.85</v>
      </c>
      <c r="H364" s="447">
        <f>F364*G364*365</f>
        <v>3194044.3724999996</v>
      </c>
      <c r="I364" s="41">
        <v>870397</v>
      </c>
      <c r="J364" s="42">
        <f>ROUND(260341.82*3,0)</f>
        <v>781025</v>
      </c>
      <c r="K364" s="44">
        <f>J364</f>
        <v>781025</v>
      </c>
      <c r="L364" s="44">
        <f>ROUND(6.7*365*F364/4,0)</f>
        <v>781025</v>
      </c>
      <c r="M364" s="44">
        <f>L364</f>
        <v>781025</v>
      </c>
      <c r="N364" s="44">
        <f>M364</f>
        <v>781025</v>
      </c>
      <c r="O364" s="44">
        <f>ROUND(7*F364*365/4,0)</f>
        <v>815997</v>
      </c>
      <c r="P364" s="44">
        <f>O364</f>
        <v>815997</v>
      </c>
      <c r="Q364" s="43">
        <f>P364</f>
        <v>815997</v>
      </c>
      <c r="R364" s="44">
        <f>ROUND(Q364*(1+取值表!$D$28)*取值表!$H$28,0)</f>
        <v>802574</v>
      </c>
      <c r="S364" s="44">
        <f>R364</f>
        <v>802574</v>
      </c>
      <c r="T364" s="44">
        <f>S364</f>
        <v>802574</v>
      </c>
      <c r="U364" s="44">
        <f>T364</f>
        <v>802574</v>
      </c>
      <c r="V364" s="44">
        <f>ROUND(U364*(1+取值表!$D$28)*取值表!$H$28,0)</f>
        <v>789372</v>
      </c>
      <c r="W364" s="44">
        <f t="shared" ref="W364:Y364" si="5491">V364</f>
        <v>789372</v>
      </c>
      <c r="X364" s="44">
        <f t="shared" si="5491"/>
        <v>789372</v>
      </c>
      <c r="Y364" s="44">
        <f t="shared" si="5491"/>
        <v>789372</v>
      </c>
      <c r="Z364" s="44">
        <f>ROUND(Y364*(1+取值表!$D$28)*取值表!$H$28,0)</f>
        <v>776387</v>
      </c>
      <c r="AA364" s="44">
        <f t="shared" ref="AA364:AC364" si="5492">Z364</f>
        <v>776387</v>
      </c>
      <c r="AB364" s="44">
        <f t="shared" si="5492"/>
        <v>776387</v>
      </c>
      <c r="AC364" s="44">
        <f t="shared" si="5492"/>
        <v>776387</v>
      </c>
      <c r="AD364" s="44">
        <f>ROUND(AC364*(1+取值表!$D$28)*取值表!$H$28,0)</f>
        <v>763615</v>
      </c>
      <c r="AE364" s="44">
        <f t="shared" ref="AE364:AG364" si="5493">AD364</f>
        <v>763615</v>
      </c>
      <c r="AF364" s="44">
        <f t="shared" si="5493"/>
        <v>763615</v>
      </c>
      <c r="AG364" s="44">
        <f t="shared" si="5493"/>
        <v>763615</v>
      </c>
      <c r="AH364" s="44">
        <f>ROUND(AG364*(1+取值表!$D$28)*取值表!$H$28,0)</f>
        <v>751053</v>
      </c>
      <c r="AI364" s="44">
        <f t="shared" ref="AI364:AK364" si="5494">AH364</f>
        <v>751053</v>
      </c>
      <c r="AJ364" s="44">
        <f t="shared" si="5494"/>
        <v>751053</v>
      </c>
      <c r="AK364" s="44">
        <f t="shared" si="5494"/>
        <v>751053</v>
      </c>
      <c r="AL364" s="44">
        <f>ROUND(AK364*(1+取值表!$D$28)*取值表!$H$28,0)</f>
        <v>738698</v>
      </c>
      <c r="AM364" s="44">
        <f t="shared" ref="AM364:AO364" si="5495">AL364</f>
        <v>738698</v>
      </c>
      <c r="AN364" s="44">
        <f t="shared" si="5495"/>
        <v>738698</v>
      </c>
      <c r="AO364" s="44">
        <f t="shared" si="5495"/>
        <v>738698</v>
      </c>
      <c r="AP364" s="44">
        <f>ROUND(AO364*(1+取值表!$D$28)*取值表!$H$28,0)</f>
        <v>726546</v>
      </c>
      <c r="AQ364" s="44">
        <f t="shared" ref="AQ364:AS364" si="5496">AP364</f>
        <v>726546</v>
      </c>
      <c r="AR364" s="44">
        <f t="shared" si="5496"/>
        <v>726546</v>
      </c>
      <c r="AS364" s="44">
        <f t="shared" si="5496"/>
        <v>726546</v>
      </c>
      <c r="AT364" s="44">
        <f>ROUND(AS364*(1+取值表!$D$28)*取值表!$H$28,0)</f>
        <v>714594</v>
      </c>
      <c r="AU364" s="44">
        <f t="shared" ref="AU364:AW364" si="5497">AT364</f>
        <v>714594</v>
      </c>
      <c r="AV364" s="44">
        <f t="shared" si="5497"/>
        <v>714594</v>
      </c>
      <c r="AW364" s="44">
        <f t="shared" si="5497"/>
        <v>714594</v>
      </c>
      <c r="AX364" s="44">
        <f>ROUND(AW364*(1+取值表!$D$28)*取值表!$H$28,0)</f>
        <v>702839</v>
      </c>
      <c r="AY364" s="44">
        <f t="shared" ref="AY364:BA364" si="5498">AX364</f>
        <v>702839</v>
      </c>
      <c r="AZ364" s="44">
        <f t="shared" si="5498"/>
        <v>702839</v>
      </c>
      <c r="BA364" s="44">
        <f t="shared" si="5498"/>
        <v>702839</v>
      </c>
      <c r="BB364" s="44">
        <f>ROUND(BA364*(1+取值表!$D$28)*取值表!$H$28,0)</f>
        <v>691277</v>
      </c>
      <c r="BC364" s="44">
        <f t="shared" ref="BC364:BE364" si="5499">BB364</f>
        <v>691277</v>
      </c>
      <c r="BD364" s="44">
        <f t="shared" si="5499"/>
        <v>691277</v>
      </c>
      <c r="BE364" s="44">
        <f t="shared" si="5499"/>
        <v>691277</v>
      </c>
      <c r="BF364" s="44">
        <f>ROUND(BE364*(1+取值表!$D$28)*取值表!$H$28,0)</f>
        <v>679905</v>
      </c>
      <c r="BG364" s="44">
        <f t="shared" ref="BG364:BI364" si="5500">BF364</f>
        <v>679905</v>
      </c>
      <c r="BH364" s="44">
        <f t="shared" si="5500"/>
        <v>679905</v>
      </c>
      <c r="BI364" s="44">
        <f t="shared" si="5500"/>
        <v>679905</v>
      </c>
      <c r="BJ364" s="44">
        <f>ROUND(BI364*(1+取值表!$D$28)*取值表!$H$28,0)</f>
        <v>668721</v>
      </c>
      <c r="BK364" s="44">
        <f t="shared" ref="BK364:BM364" si="5501">BJ364</f>
        <v>668721</v>
      </c>
      <c r="BL364" s="44">
        <f t="shared" si="5501"/>
        <v>668721</v>
      </c>
      <c r="BM364" s="44">
        <f t="shared" si="5501"/>
        <v>668721</v>
      </c>
      <c r="BN364" s="44">
        <f>ROUND(BM364*(1+取值表!$D$28)*取值表!$H$28,0)</f>
        <v>657721</v>
      </c>
      <c r="BO364" s="44">
        <f t="shared" ref="BO364:BQ364" si="5502">BN364</f>
        <v>657721</v>
      </c>
      <c r="BP364" s="44">
        <f t="shared" si="5502"/>
        <v>657721</v>
      </c>
      <c r="BQ364" s="44">
        <f t="shared" si="5502"/>
        <v>657721</v>
      </c>
      <c r="BR364" s="44">
        <f>ROUND(BQ364*(1+取值表!$D$28)*取值表!$H$28,0)</f>
        <v>646901</v>
      </c>
      <c r="BS364" s="44">
        <f t="shared" ref="BS364:BU364" si="5503">BR364</f>
        <v>646901</v>
      </c>
      <c r="BT364" s="44">
        <f t="shared" si="5503"/>
        <v>646901</v>
      </c>
      <c r="BU364" s="44">
        <f t="shared" si="5503"/>
        <v>646901</v>
      </c>
      <c r="BV364" s="44">
        <f>ROUND(BU364*(1+取值表!$D$28)*取值表!$H$28,0)</f>
        <v>636259</v>
      </c>
      <c r="BW364" s="44">
        <f t="shared" ref="BW364:BY364" si="5504">BV364</f>
        <v>636259</v>
      </c>
      <c r="BX364" s="44">
        <f t="shared" si="5504"/>
        <v>636259</v>
      </c>
      <c r="BY364" s="44">
        <f t="shared" si="5504"/>
        <v>636259</v>
      </c>
      <c r="BZ364" s="44">
        <f>ROUND(BY364*(1+取值表!$D$28)*取值表!$H$28,0)</f>
        <v>625793</v>
      </c>
      <c r="CA364" s="44">
        <f t="shared" ref="CA364:CC364" si="5505">BZ364</f>
        <v>625793</v>
      </c>
      <c r="CB364" s="44">
        <f t="shared" si="5505"/>
        <v>625793</v>
      </c>
      <c r="CC364" s="44">
        <f t="shared" si="5505"/>
        <v>625793</v>
      </c>
      <c r="CD364" s="44">
        <f>ROUND(CC364*(1+取值表!$D$28)*取值表!$H$28,0)</f>
        <v>615499</v>
      </c>
      <c r="CE364" s="44">
        <f t="shared" ref="CE364:CG364" si="5506">CD364</f>
        <v>615499</v>
      </c>
      <c r="CF364" s="44">
        <f t="shared" si="5506"/>
        <v>615499</v>
      </c>
      <c r="CG364" s="44">
        <f t="shared" si="5506"/>
        <v>615499</v>
      </c>
      <c r="CH364" s="44">
        <f>ROUND(CG364*(1+取值表!$D$28)*取值表!$H$28,0)</f>
        <v>605374</v>
      </c>
      <c r="CI364" s="44">
        <f t="shared" ref="CI364:CK364" si="5507">CH364</f>
        <v>605374</v>
      </c>
      <c r="CJ364" s="44">
        <f t="shared" si="5507"/>
        <v>605374</v>
      </c>
      <c r="CK364" s="44">
        <f t="shared" si="5507"/>
        <v>605374</v>
      </c>
      <c r="CL364" s="44">
        <f>ROUND(CK364*(1+取值表!$D$28)*取值表!$H$28,0)</f>
        <v>595416</v>
      </c>
      <c r="CM364" s="44">
        <f t="shared" ref="CM364:CO364" si="5508">CL364</f>
        <v>595416</v>
      </c>
      <c r="CN364" s="44">
        <f t="shared" si="5508"/>
        <v>595416</v>
      </c>
      <c r="CO364" s="44">
        <f t="shared" si="5508"/>
        <v>595416</v>
      </c>
      <c r="CP364" s="44">
        <f>ROUND(CO364*(1+取值表!$D$28)*取值表!$H$28,0)</f>
        <v>585621</v>
      </c>
      <c r="CQ364" s="44">
        <f t="shared" ref="CQ364" si="5509">CP364</f>
        <v>585621</v>
      </c>
      <c r="CR364" s="44">
        <f t="shared" ref="CR364" si="5510">CQ364</f>
        <v>585621</v>
      </c>
      <c r="CS364" s="44">
        <f t="shared" ref="CS364" si="5511">CR364</f>
        <v>585621</v>
      </c>
      <c r="CT364" s="44">
        <f>ROUND(CS364*(1+取值表!$D$28)*取值表!$H$28,0)</f>
        <v>575988</v>
      </c>
      <c r="CU364" s="44">
        <f t="shared" ref="CU364" si="5512">CT364</f>
        <v>575988</v>
      </c>
      <c r="CV364" s="44">
        <f t="shared" ref="CV364" si="5513">CU364</f>
        <v>575988</v>
      </c>
      <c r="CW364" s="44">
        <f t="shared" ref="CW364" si="5514">CV364</f>
        <v>575988</v>
      </c>
      <c r="CX364" s="44">
        <f>ROUND(CW364*(1+取值表!$D$28)*取值表!$H$28,0)</f>
        <v>566513</v>
      </c>
      <c r="CY364" s="44">
        <f t="shared" ref="CY364" si="5515">CX364</f>
        <v>566513</v>
      </c>
      <c r="CZ364" s="44">
        <f t="shared" ref="CZ364" si="5516">CY364</f>
        <v>566513</v>
      </c>
      <c r="DA364" s="44">
        <f t="shared" ref="DA364" si="5517">CZ364</f>
        <v>566513</v>
      </c>
      <c r="DB364" s="44">
        <f>ROUND(DA364*(1+取值表!$D$28)*取值表!$H$28,0)</f>
        <v>557194</v>
      </c>
      <c r="DC364" s="44">
        <f t="shared" ref="DC364" si="5518">DB364</f>
        <v>557194</v>
      </c>
      <c r="DD364" s="44">
        <f t="shared" ref="DD364" si="5519">DC364</f>
        <v>557194</v>
      </c>
      <c r="DE364" s="44">
        <f t="shared" ref="DE364" si="5520">DD364</f>
        <v>557194</v>
      </c>
      <c r="DF364" s="45">
        <f t="shared" si="4935"/>
        <v>68248556</v>
      </c>
    </row>
    <row r="365" spans="1:228" s="40" customFormat="1" ht="12">
      <c r="A365" s="505"/>
      <c r="B365" s="518"/>
      <c r="C365" s="450"/>
      <c r="D365" s="451"/>
      <c r="E365" s="452"/>
      <c r="F365" s="446"/>
      <c r="G365" s="446"/>
      <c r="H365" s="447"/>
      <c r="I365" s="41"/>
      <c r="J365" s="42"/>
      <c r="K365" s="44"/>
      <c r="L365" s="44"/>
      <c r="M365" s="44"/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  <c r="AH365" s="44"/>
      <c r="AI365" s="44"/>
      <c r="AJ365" s="44"/>
      <c r="AK365" s="44"/>
      <c r="AL365" s="44"/>
      <c r="AM365" s="44"/>
      <c r="AN365" s="44"/>
      <c r="AO365" s="44"/>
      <c r="AP365" s="44"/>
      <c r="AQ365" s="44"/>
      <c r="AR365" s="44"/>
      <c r="AS365" s="44"/>
      <c r="AT365" s="44"/>
      <c r="AU365" s="44"/>
      <c r="AV365" s="44"/>
      <c r="AW365" s="44"/>
      <c r="AX365" s="44"/>
      <c r="AY365" s="44"/>
      <c r="AZ365" s="44"/>
      <c r="BA365" s="44"/>
      <c r="BB365" s="44"/>
      <c r="BC365" s="44"/>
      <c r="BD365" s="44"/>
      <c r="BE365" s="44"/>
      <c r="BF365" s="44"/>
      <c r="BG365" s="44"/>
      <c r="BH365" s="44"/>
      <c r="BI365" s="44"/>
      <c r="BJ365" s="44"/>
      <c r="BK365" s="44"/>
      <c r="BL365" s="44"/>
      <c r="BM365" s="44"/>
      <c r="BN365" s="44"/>
      <c r="BO365" s="44"/>
      <c r="BP365" s="44"/>
      <c r="BQ365" s="44"/>
      <c r="BR365" s="44"/>
      <c r="BS365" s="44"/>
      <c r="BT365" s="44"/>
      <c r="BU365" s="44"/>
      <c r="BV365" s="44"/>
      <c r="BW365" s="44"/>
      <c r="BX365" s="44"/>
      <c r="BY365" s="44"/>
      <c r="BZ365" s="44"/>
      <c r="CA365" s="44"/>
      <c r="CB365" s="44"/>
      <c r="CC365" s="44"/>
      <c r="CD365" s="44"/>
      <c r="CE365" s="44"/>
      <c r="CF365" s="44"/>
      <c r="CG365" s="44"/>
      <c r="CH365" s="44"/>
      <c r="CI365" s="44"/>
      <c r="CJ365" s="44"/>
      <c r="CK365" s="44"/>
      <c r="CL365" s="44"/>
      <c r="CM365" s="44"/>
      <c r="CN365" s="44"/>
      <c r="CO365" s="44"/>
      <c r="CP365" s="44"/>
      <c r="CQ365" s="44"/>
      <c r="CR365" s="44"/>
      <c r="CS365" s="44"/>
      <c r="CT365" s="44"/>
      <c r="CU365" s="44"/>
      <c r="CV365" s="44"/>
      <c r="CW365" s="44"/>
      <c r="CX365" s="44"/>
      <c r="CY365" s="44"/>
      <c r="CZ365" s="44"/>
      <c r="DA365" s="44"/>
      <c r="DB365" s="44"/>
      <c r="DC365" s="44"/>
      <c r="DD365" s="44"/>
      <c r="DE365" s="44"/>
      <c r="DF365" s="45">
        <f t="shared" si="4935"/>
        <v>0</v>
      </c>
    </row>
    <row r="366" spans="1:228" s="40" customFormat="1" ht="12" customHeight="1">
      <c r="A366" s="504">
        <v>187</v>
      </c>
      <c r="B366" s="518" t="s">
        <v>9</v>
      </c>
      <c r="C366" s="450" t="s">
        <v>10</v>
      </c>
      <c r="D366" s="451" t="s">
        <v>11</v>
      </c>
      <c r="E366" s="452" t="s">
        <v>401</v>
      </c>
      <c r="F366" s="446">
        <v>202</v>
      </c>
      <c r="G366" s="453">
        <f>(18+18+19+19)*100000/(365*4)/202</f>
        <v>25.091550250915503</v>
      </c>
      <c r="H366" s="447">
        <f>F366*G366*365</f>
        <v>1850000</v>
      </c>
      <c r="I366" s="41">
        <v>50000</v>
      </c>
      <c r="J366" s="42">
        <f>1800000/4</f>
        <v>450000</v>
      </c>
      <c r="K366" s="44">
        <f>J366</f>
        <v>450000</v>
      </c>
      <c r="L366" s="44">
        <f>J366</f>
        <v>450000</v>
      </c>
      <c r="M366" s="44">
        <f>J366</f>
        <v>450000</v>
      </c>
      <c r="N366" s="44">
        <f>J366</f>
        <v>450000</v>
      </c>
      <c r="O366" s="44">
        <f>N366</f>
        <v>450000</v>
      </c>
      <c r="P366" s="44">
        <f>ROUND(1800000/12+1900000/12*2,0)</f>
        <v>466667</v>
      </c>
      <c r="Q366" s="44">
        <f>1900000/4</f>
        <v>475000</v>
      </c>
      <c r="R366" s="44">
        <f>Q366</f>
        <v>475000</v>
      </c>
      <c r="S366" s="42">
        <f>R366</f>
        <v>475000</v>
      </c>
      <c r="T366" s="44">
        <f>S366</f>
        <v>475000</v>
      </c>
      <c r="U366" s="44">
        <f>S366</f>
        <v>475000</v>
      </c>
      <c r="V366" s="44">
        <f>U366</f>
        <v>475000</v>
      </c>
      <c r="W366" s="43">
        <f>V366</f>
        <v>475000</v>
      </c>
      <c r="X366" s="42">
        <f>W366</f>
        <v>475000</v>
      </c>
      <c r="Y366" s="42">
        <f>X366</f>
        <v>475000</v>
      </c>
      <c r="Z366" s="44">
        <f>Y366</f>
        <v>475000</v>
      </c>
      <c r="AA366" s="44">
        <f t="shared" ref="AA366:CL366" si="5521">Z366</f>
        <v>475000</v>
      </c>
      <c r="AB366" s="44">
        <f t="shared" si="5521"/>
        <v>475000</v>
      </c>
      <c r="AC366" s="44">
        <f t="shared" si="5521"/>
        <v>475000</v>
      </c>
      <c r="AD366" s="44">
        <f t="shared" si="5521"/>
        <v>475000</v>
      </c>
      <c r="AE366" s="44">
        <f t="shared" si="5521"/>
        <v>475000</v>
      </c>
      <c r="AF366" s="44">
        <f t="shared" si="5521"/>
        <v>475000</v>
      </c>
      <c r="AG366" s="44">
        <f t="shared" si="5521"/>
        <v>475000</v>
      </c>
      <c r="AH366" s="44">
        <f t="shared" si="5521"/>
        <v>475000</v>
      </c>
      <c r="AI366" s="44">
        <f t="shared" si="5521"/>
        <v>475000</v>
      </c>
      <c r="AJ366" s="44">
        <f t="shared" si="5521"/>
        <v>475000</v>
      </c>
      <c r="AK366" s="44">
        <f t="shared" si="5521"/>
        <v>475000</v>
      </c>
      <c r="AL366" s="44">
        <f t="shared" si="5521"/>
        <v>475000</v>
      </c>
      <c r="AM366" s="44">
        <f t="shared" si="5521"/>
        <v>475000</v>
      </c>
      <c r="AN366" s="44">
        <f t="shared" si="5521"/>
        <v>475000</v>
      </c>
      <c r="AO366" s="44">
        <f t="shared" si="5521"/>
        <v>475000</v>
      </c>
      <c r="AP366" s="44">
        <f t="shared" si="5521"/>
        <v>475000</v>
      </c>
      <c r="AQ366" s="44">
        <f t="shared" si="5521"/>
        <v>475000</v>
      </c>
      <c r="AR366" s="44">
        <f t="shared" si="5521"/>
        <v>475000</v>
      </c>
      <c r="AS366" s="44">
        <f t="shared" si="5521"/>
        <v>475000</v>
      </c>
      <c r="AT366" s="44">
        <f t="shared" si="5521"/>
        <v>475000</v>
      </c>
      <c r="AU366" s="44">
        <f t="shared" si="5521"/>
        <v>475000</v>
      </c>
      <c r="AV366" s="44">
        <f t="shared" si="5521"/>
        <v>475000</v>
      </c>
      <c r="AW366" s="44">
        <f t="shared" si="5521"/>
        <v>475000</v>
      </c>
      <c r="AX366" s="44">
        <f t="shared" si="5521"/>
        <v>475000</v>
      </c>
      <c r="AY366" s="44">
        <f t="shared" si="5521"/>
        <v>475000</v>
      </c>
      <c r="AZ366" s="44">
        <f t="shared" si="5521"/>
        <v>475000</v>
      </c>
      <c r="BA366" s="44">
        <f t="shared" si="5521"/>
        <v>475000</v>
      </c>
      <c r="BB366" s="44">
        <f t="shared" si="5521"/>
        <v>475000</v>
      </c>
      <c r="BC366" s="44">
        <f t="shared" si="5521"/>
        <v>475000</v>
      </c>
      <c r="BD366" s="44">
        <f t="shared" si="5521"/>
        <v>475000</v>
      </c>
      <c r="BE366" s="44">
        <f t="shared" si="5521"/>
        <v>475000</v>
      </c>
      <c r="BF366" s="44">
        <f t="shared" si="5521"/>
        <v>475000</v>
      </c>
      <c r="BG366" s="44">
        <f t="shared" si="5521"/>
        <v>475000</v>
      </c>
      <c r="BH366" s="44">
        <f t="shared" si="5521"/>
        <v>475000</v>
      </c>
      <c r="BI366" s="44">
        <f t="shared" si="5521"/>
        <v>475000</v>
      </c>
      <c r="BJ366" s="44">
        <f t="shared" si="5521"/>
        <v>475000</v>
      </c>
      <c r="BK366" s="44">
        <f t="shared" si="5521"/>
        <v>475000</v>
      </c>
      <c r="BL366" s="44">
        <f t="shared" si="5521"/>
        <v>475000</v>
      </c>
      <c r="BM366" s="44">
        <f t="shared" si="5521"/>
        <v>475000</v>
      </c>
      <c r="BN366" s="44">
        <f t="shared" si="5521"/>
        <v>475000</v>
      </c>
      <c r="BO366" s="44">
        <f t="shared" si="5521"/>
        <v>475000</v>
      </c>
      <c r="BP366" s="44">
        <f t="shared" si="5521"/>
        <v>475000</v>
      </c>
      <c r="BQ366" s="44">
        <f t="shared" si="5521"/>
        <v>475000</v>
      </c>
      <c r="BR366" s="44">
        <f t="shared" si="5521"/>
        <v>475000</v>
      </c>
      <c r="BS366" s="44">
        <f t="shared" si="5521"/>
        <v>475000</v>
      </c>
      <c r="BT366" s="44">
        <f t="shared" si="5521"/>
        <v>475000</v>
      </c>
      <c r="BU366" s="44">
        <f t="shared" si="5521"/>
        <v>475000</v>
      </c>
      <c r="BV366" s="44">
        <f t="shared" si="5521"/>
        <v>475000</v>
      </c>
      <c r="BW366" s="44">
        <f t="shared" si="5521"/>
        <v>475000</v>
      </c>
      <c r="BX366" s="44">
        <f t="shared" si="5521"/>
        <v>475000</v>
      </c>
      <c r="BY366" s="44">
        <f t="shared" si="5521"/>
        <v>475000</v>
      </c>
      <c r="BZ366" s="44">
        <f t="shared" si="5521"/>
        <v>475000</v>
      </c>
      <c r="CA366" s="44">
        <f t="shared" si="5521"/>
        <v>475000</v>
      </c>
      <c r="CB366" s="44">
        <f t="shared" si="5521"/>
        <v>475000</v>
      </c>
      <c r="CC366" s="44">
        <f t="shared" si="5521"/>
        <v>475000</v>
      </c>
      <c r="CD366" s="44">
        <f t="shared" si="5521"/>
        <v>475000</v>
      </c>
      <c r="CE366" s="44">
        <f t="shared" si="5521"/>
        <v>475000</v>
      </c>
      <c r="CF366" s="44">
        <f t="shared" si="5521"/>
        <v>475000</v>
      </c>
      <c r="CG366" s="44">
        <f t="shared" si="5521"/>
        <v>475000</v>
      </c>
      <c r="CH366" s="44">
        <f t="shared" si="5521"/>
        <v>475000</v>
      </c>
      <c r="CI366" s="44">
        <f t="shared" si="5521"/>
        <v>475000</v>
      </c>
      <c r="CJ366" s="44">
        <f t="shared" si="5521"/>
        <v>475000</v>
      </c>
      <c r="CK366" s="44">
        <f t="shared" si="5521"/>
        <v>475000</v>
      </c>
      <c r="CL366" s="44">
        <f t="shared" si="5521"/>
        <v>475000</v>
      </c>
      <c r="CM366" s="44">
        <f t="shared" ref="CM366:CO366" si="5522">CL366</f>
        <v>475000</v>
      </c>
      <c r="CN366" s="44">
        <f t="shared" si="5522"/>
        <v>475000</v>
      </c>
      <c r="CO366" s="44">
        <f t="shared" si="5522"/>
        <v>475000</v>
      </c>
      <c r="CP366" s="44">
        <f t="shared" ref="CP366" si="5523">CO366</f>
        <v>475000</v>
      </c>
      <c r="CQ366" s="44">
        <f t="shared" ref="CQ366" si="5524">CP366</f>
        <v>475000</v>
      </c>
      <c r="CR366" s="44">
        <f t="shared" ref="CR366" si="5525">CQ366</f>
        <v>475000</v>
      </c>
      <c r="CS366" s="44">
        <f t="shared" ref="CS366" si="5526">CR366</f>
        <v>475000</v>
      </c>
      <c r="CT366" s="44">
        <f t="shared" ref="CT366" si="5527">CS366</f>
        <v>475000</v>
      </c>
      <c r="CU366" s="44">
        <f t="shared" ref="CU366" si="5528">CT366</f>
        <v>475000</v>
      </c>
      <c r="CV366" s="44">
        <f t="shared" ref="CV366" si="5529">CU366</f>
        <v>475000</v>
      </c>
      <c r="CW366" s="44">
        <f t="shared" ref="CW366" si="5530">CV366</f>
        <v>475000</v>
      </c>
      <c r="CX366" s="44">
        <f t="shared" ref="CX366" si="5531">CW366</f>
        <v>475000</v>
      </c>
      <c r="CY366" s="44">
        <f t="shared" ref="CY366" si="5532">CX366</f>
        <v>475000</v>
      </c>
      <c r="CZ366" s="44">
        <f t="shared" ref="CZ366" si="5533">CY366</f>
        <v>475000</v>
      </c>
      <c r="DA366" s="44">
        <f t="shared" ref="DA366" si="5534">CZ366</f>
        <v>475000</v>
      </c>
      <c r="DB366" s="44">
        <f t="shared" ref="DB366" si="5535">DA366</f>
        <v>475000</v>
      </c>
      <c r="DC366" s="44">
        <f t="shared" ref="DC366" si="5536">DB366</f>
        <v>475000</v>
      </c>
      <c r="DD366" s="44">
        <f t="shared" ref="DD366" si="5537">DC366</f>
        <v>475000</v>
      </c>
      <c r="DE366" s="44">
        <f t="shared" ref="DE366" si="5538">DD366</f>
        <v>475000</v>
      </c>
      <c r="DF366" s="45">
        <f t="shared" si="4935"/>
        <v>47341667</v>
      </c>
      <c r="DG366" s="270"/>
    </row>
    <row r="367" spans="1:228" s="40" customFormat="1" ht="12.75" customHeight="1">
      <c r="A367" s="505"/>
      <c r="B367" s="518"/>
      <c r="C367" s="450"/>
      <c r="D367" s="451"/>
      <c r="E367" s="452"/>
      <c r="F367" s="446"/>
      <c r="G367" s="453"/>
      <c r="H367" s="447"/>
      <c r="I367" s="41"/>
      <c r="J367" s="42"/>
      <c r="K367" s="44"/>
      <c r="L367" s="44"/>
      <c r="M367" s="44"/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4"/>
      <c r="CE367" s="44"/>
      <c r="CF367" s="44"/>
      <c r="CG367" s="44"/>
      <c r="CH367" s="44"/>
      <c r="CI367" s="44"/>
      <c r="CJ367" s="44"/>
      <c r="CK367" s="44"/>
      <c r="CL367" s="44"/>
      <c r="CM367" s="44"/>
      <c r="CN367" s="44"/>
      <c r="CO367" s="44"/>
      <c r="CP367" s="44"/>
      <c r="CQ367" s="44"/>
      <c r="CR367" s="44"/>
      <c r="CS367" s="44"/>
      <c r="CT367" s="44"/>
      <c r="CU367" s="44"/>
      <c r="CV367" s="44"/>
      <c r="CW367" s="44"/>
      <c r="CX367" s="44"/>
      <c r="CY367" s="44"/>
      <c r="CZ367" s="44"/>
      <c r="DA367" s="44"/>
      <c r="DB367" s="44"/>
      <c r="DC367" s="44"/>
      <c r="DD367" s="44"/>
      <c r="DE367" s="44"/>
      <c r="DF367" s="45">
        <f t="shared" si="4935"/>
        <v>0</v>
      </c>
      <c r="DG367" s="270"/>
    </row>
    <row r="368" spans="1:228" s="40" customFormat="1" ht="13.5" customHeight="1">
      <c r="A368" s="504">
        <v>188</v>
      </c>
      <c r="B368" s="518" t="s">
        <v>1235</v>
      </c>
      <c r="C368" s="450" t="s">
        <v>16</v>
      </c>
      <c r="D368" s="451" t="s">
        <v>541</v>
      </c>
      <c r="E368" s="452"/>
      <c r="F368" s="446"/>
      <c r="G368" s="446"/>
      <c r="H368" s="447">
        <v>96000</v>
      </c>
      <c r="I368" s="41">
        <v>5000</v>
      </c>
      <c r="J368" s="42">
        <f>ROUND(H368/4*(1+取值表!$D$30)*取值表!$H$30,0)</f>
        <v>22720</v>
      </c>
      <c r="K368" s="44">
        <f>J368</f>
        <v>22720</v>
      </c>
      <c r="L368" s="44">
        <f>K368</f>
        <v>22720</v>
      </c>
      <c r="M368" s="44">
        <f>L368</f>
        <v>22720</v>
      </c>
      <c r="N368" s="42">
        <f>ROUND(M368*(1+取值表!$D$30)*取值表!$H$30,0)</f>
        <v>21508</v>
      </c>
      <c r="O368" s="44">
        <f>N368</f>
        <v>21508</v>
      </c>
      <c r="P368" s="44">
        <f>O368</f>
        <v>21508</v>
      </c>
      <c r="Q368" s="44">
        <f>P368</f>
        <v>21508</v>
      </c>
      <c r="R368" s="42">
        <f>ROUND(Q368*(1+取值表!$D$30)*取值表!$H$30,0)</f>
        <v>20361</v>
      </c>
      <c r="S368" s="44">
        <f t="shared" ref="S368:U368" si="5539">R368</f>
        <v>20361</v>
      </c>
      <c r="T368" s="44">
        <f t="shared" si="5539"/>
        <v>20361</v>
      </c>
      <c r="U368" s="44">
        <f t="shared" si="5539"/>
        <v>20361</v>
      </c>
      <c r="V368" s="42">
        <f>ROUND(U368*(1+取值表!$D$30)*取值表!$H$30,0)</f>
        <v>19275</v>
      </c>
      <c r="W368" s="44">
        <f t="shared" ref="W368:Y368" si="5540">V368</f>
        <v>19275</v>
      </c>
      <c r="X368" s="44">
        <f t="shared" si="5540"/>
        <v>19275</v>
      </c>
      <c r="Y368" s="44">
        <f t="shared" si="5540"/>
        <v>19275</v>
      </c>
      <c r="Z368" s="42">
        <f>ROUND(Y368*(1+取值表!$D$30)*取值表!$H$30,0)</f>
        <v>18247</v>
      </c>
      <c r="AA368" s="44">
        <f t="shared" ref="AA368:AC368" si="5541">Z368</f>
        <v>18247</v>
      </c>
      <c r="AB368" s="44">
        <f t="shared" si="5541"/>
        <v>18247</v>
      </c>
      <c r="AC368" s="44">
        <f t="shared" si="5541"/>
        <v>18247</v>
      </c>
      <c r="AD368" s="42">
        <f>ROUND(AC368*(1+取值表!$D$30)*取值表!$H$30,0)</f>
        <v>17274</v>
      </c>
      <c r="AE368" s="44">
        <f t="shared" ref="AE368:AG368" si="5542">AD368</f>
        <v>17274</v>
      </c>
      <c r="AF368" s="44">
        <f t="shared" si="5542"/>
        <v>17274</v>
      </c>
      <c r="AG368" s="44">
        <f t="shared" si="5542"/>
        <v>17274</v>
      </c>
      <c r="AH368" s="42">
        <f>ROUND(AG368*(1+取值表!$D$30)*取值表!$H$30,0)</f>
        <v>16353</v>
      </c>
      <c r="AI368" s="44">
        <f t="shared" ref="AI368:AK368" si="5543">AH368</f>
        <v>16353</v>
      </c>
      <c r="AJ368" s="44">
        <f t="shared" si="5543"/>
        <v>16353</v>
      </c>
      <c r="AK368" s="44">
        <f t="shared" si="5543"/>
        <v>16353</v>
      </c>
      <c r="AL368" s="42">
        <f>ROUND(AK368*(1+取值表!$D$30)*取值表!$H$30,0)</f>
        <v>15481</v>
      </c>
      <c r="AM368" s="44">
        <f t="shared" ref="AM368:AO368" si="5544">AL368</f>
        <v>15481</v>
      </c>
      <c r="AN368" s="44">
        <f t="shared" si="5544"/>
        <v>15481</v>
      </c>
      <c r="AO368" s="44">
        <f t="shared" si="5544"/>
        <v>15481</v>
      </c>
      <c r="AP368" s="42">
        <f>ROUND(AO368*(1+取值表!$D$30)*取值表!$H$30,0)</f>
        <v>14655</v>
      </c>
      <c r="AQ368" s="44">
        <f t="shared" ref="AQ368:AS368" si="5545">AP368</f>
        <v>14655</v>
      </c>
      <c r="AR368" s="44">
        <f t="shared" si="5545"/>
        <v>14655</v>
      </c>
      <c r="AS368" s="44">
        <f t="shared" si="5545"/>
        <v>14655</v>
      </c>
      <c r="AT368" s="42">
        <f>ROUND(AS368*(1+取值表!$D$30)*取值表!$H$30,0)</f>
        <v>13873</v>
      </c>
      <c r="AU368" s="44">
        <f t="shared" ref="AU368:AW368" si="5546">AT368</f>
        <v>13873</v>
      </c>
      <c r="AV368" s="44">
        <f t="shared" si="5546"/>
        <v>13873</v>
      </c>
      <c r="AW368" s="44">
        <f t="shared" si="5546"/>
        <v>13873</v>
      </c>
      <c r="AX368" s="42">
        <f>ROUND(AW368*(1+取值表!$D$30)*取值表!$H$30,0)</f>
        <v>13133</v>
      </c>
      <c r="AY368" s="44">
        <f t="shared" ref="AY368:BA368" si="5547">AX368</f>
        <v>13133</v>
      </c>
      <c r="AZ368" s="44">
        <f t="shared" si="5547"/>
        <v>13133</v>
      </c>
      <c r="BA368" s="44">
        <f t="shared" si="5547"/>
        <v>13133</v>
      </c>
      <c r="BB368" s="42">
        <f>ROUND(BA368*(1+取值表!$D$30)*取值表!$H$30,0)</f>
        <v>12433</v>
      </c>
      <c r="BC368" s="44">
        <f t="shared" ref="BC368:BE368" si="5548">BB368</f>
        <v>12433</v>
      </c>
      <c r="BD368" s="44">
        <f t="shared" si="5548"/>
        <v>12433</v>
      </c>
      <c r="BE368" s="44">
        <f t="shared" si="5548"/>
        <v>12433</v>
      </c>
      <c r="BF368" s="42">
        <f>ROUND(BE368*(1+取值表!$D$30)*取值表!$H$30,0)</f>
        <v>11770</v>
      </c>
      <c r="BG368" s="44">
        <f t="shared" ref="BG368:BI368" si="5549">BF368</f>
        <v>11770</v>
      </c>
      <c r="BH368" s="44">
        <f t="shared" si="5549"/>
        <v>11770</v>
      </c>
      <c r="BI368" s="44">
        <f t="shared" si="5549"/>
        <v>11770</v>
      </c>
      <c r="BJ368" s="42">
        <f>ROUND(BI368*(1+取值表!$D$30)*取值表!$H$30,0)</f>
        <v>11142</v>
      </c>
      <c r="BK368" s="44">
        <f t="shared" ref="BK368:BM368" si="5550">BJ368</f>
        <v>11142</v>
      </c>
      <c r="BL368" s="44">
        <f t="shared" si="5550"/>
        <v>11142</v>
      </c>
      <c r="BM368" s="44">
        <f t="shared" si="5550"/>
        <v>11142</v>
      </c>
      <c r="BN368" s="42">
        <f>ROUND(BM368*(1+取值表!$D$30)*取值表!$H$30,0)</f>
        <v>10548</v>
      </c>
      <c r="BO368" s="44">
        <f t="shared" ref="BO368:BQ368" si="5551">BN368</f>
        <v>10548</v>
      </c>
      <c r="BP368" s="44">
        <f t="shared" si="5551"/>
        <v>10548</v>
      </c>
      <c r="BQ368" s="44">
        <f t="shared" si="5551"/>
        <v>10548</v>
      </c>
      <c r="BR368" s="42">
        <f>ROUND(BQ368*(1+取值表!$D$30)*取值表!$H$30,0)</f>
        <v>9985</v>
      </c>
      <c r="BS368" s="44">
        <f t="shared" ref="BS368:BU368" si="5552">BR368</f>
        <v>9985</v>
      </c>
      <c r="BT368" s="44">
        <f t="shared" si="5552"/>
        <v>9985</v>
      </c>
      <c r="BU368" s="44">
        <f t="shared" si="5552"/>
        <v>9985</v>
      </c>
      <c r="BV368" s="42">
        <f>ROUND(BU368*(1+取值表!$D$30)*取值表!$H$30,0)</f>
        <v>9453</v>
      </c>
      <c r="BW368" s="44">
        <f t="shared" ref="BW368:BY368" si="5553">BV368</f>
        <v>9453</v>
      </c>
      <c r="BX368" s="44">
        <f t="shared" si="5553"/>
        <v>9453</v>
      </c>
      <c r="BY368" s="44">
        <f t="shared" si="5553"/>
        <v>9453</v>
      </c>
      <c r="BZ368" s="42">
        <f>ROUND(BY368*(1+取值表!$D$30)*取值表!$H$30,0)</f>
        <v>8949</v>
      </c>
      <c r="CA368" s="44">
        <f t="shared" ref="CA368:CC368" si="5554">BZ368</f>
        <v>8949</v>
      </c>
      <c r="CB368" s="44">
        <f t="shared" si="5554"/>
        <v>8949</v>
      </c>
      <c r="CC368" s="44">
        <f t="shared" si="5554"/>
        <v>8949</v>
      </c>
      <c r="CD368" s="42">
        <f>ROUND(CC368*(1+取值表!$D$30)*取值表!$H$30,0)</f>
        <v>8472</v>
      </c>
      <c r="CE368" s="44">
        <f t="shared" ref="CE368:CG368" si="5555">CD368</f>
        <v>8472</v>
      </c>
      <c r="CF368" s="44">
        <f t="shared" si="5555"/>
        <v>8472</v>
      </c>
      <c r="CG368" s="44">
        <f t="shared" si="5555"/>
        <v>8472</v>
      </c>
      <c r="CH368" s="42">
        <f>ROUND(CG368*(1+取值表!$D$30)*取值表!$H$30,0)</f>
        <v>8020</v>
      </c>
      <c r="CI368" s="44">
        <f t="shared" ref="CI368:CK368" si="5556">CH368</f>
        <v>8020</v>
      </c>
      <c r="CJ368" s="44">
        <f t="shared" si="5556"/>
        <v>8020</v>
      </c>
      <c r="CK368" s="44">
        <f t="shared" si="5556"/>
        <v>8020</v>
      </c>
      <c r="CL368" s="42">
        <f>ROUND(CK368*(1+取值表!$D$30)*取值表!$H$30,0)</f>
        <v>7592</v>
      </c>
      <c r="CM368" s="44">
        <f t="shared" ref="CM368:CO368" si="5557">CL368</f>
        <v>7592</v>
      </c>
      <c r="CN368" s="44">
        <f t="shared" si="5557"/>
        <v>7592</v>
      </c>
      <c r="CO368" s="44">
        <f t="shared" si="5557"/>
        <v>7592</v>
      </c>
      <c r="CP368" s="42">
        <f>ROUND(CO368*(1+取值表!$D$30)*取值表!$H$30,0)</f>
        <v>7187</v>
      </c>
      <c r="CQ368" s="44">
        <f t="shared" ref="CQ368" si="5558">CP368</f>
        <v>7187</v>
      </c>
      <c r="CR368" s="44">
        <f t="shared" ref="CR368" si="5559">CQ368</f>
        <v>7187</v>
      </c>
      <c r="CS368" s="44">
        <f t="shared" ref="CS368" si="5560">CR368</f>
        <v>7187</v>
      </c>
      <c r="CT368" s="42">
        <f>ROUND(CS368*(1+取值表!$D$30)*取值表!$H$30,0)</f>
        <v>6804</v>
      </c>
      <c r="CU368" s="44">
        <f t="shared" ref="CU368" si="5561">CT368</f>
        <v>6804</v>
      </c>
      <c r="CV368" s="44">
        <f t="shared" ref="CV368" si="5562">CU368</f>
        <v>6804</v>
      </c>
      <c r="CW368" s="44">
        <f t="shared" ref="CW368" si="5563">CV368</f>
        <v>6804</v>
      </c>
      <c r="CX368" s="42">
        <f>ROUND(CW368*(1+取值表!$D$30)*取值表!$H$30,0)</f>
        <v>6441</v>
      </c>
      <c r="CY368" s="44">
        <f t="shared" ref="CY368" si="5564">CX368</f>
        <v>6441</v>
      </c>
      <c r="CZ368" s="44">
        <f t="shared" ref="CZ368" si="5565">CY368</f>
        <v>6441</v>
      </c>
      <c r="DA368" s="44">
        <f t="shared" ref="DA368" si="5566">CZ368</f>
        <v>6441</v>
      </c>
      <c r="DB368" s="42">
        <f>ROUND(DA368*(1+取值表!$D$30)*取值表!$H$30,0)</f>
        <v>6098</v>
      </c>
      <c r="DC368" s="44">
        <f t="shared" ref="DC368" si="5567">DB368</f>
        <v>6098</v>
      </c>
      <c r="DD368" s="44">
        <f t="shared" ref="DD368" si="5568">DC368</f>
        <v>6098</v>
      </c>
      <c r="DE368" s="44">
        <f t="shared" ref="DE368" si="5569">DD368</f>
        <v>6098</v>
      </c>
      <c r="DF368" s="45">
        <f t="shared" si="4935"/>
        <v>1271096</v>
      </c>
    </row>
    <row r="369" spans="1:110" s="40" customFormat="1" ht="12">
      <c r="A369" s="505"/>
      <c r="B369" s="518"/>
      <c r="C369" s="450"/>
      <c r="D369" s="451"/>
      <c r="E369" s="452"/>
      <c r="F369" s="446"/>
      <c r="G369" s="446"/>
      <c r="H369" s="447"/>
      <c r="I369" s="41"/>
      <c r="J369" s="42"/>
      <c r="K369" s="44"/>
      <c r="L369" s="44"/>
      <c r="M369" s="44"/>
      <c r="N369" s="42"/>
      <c r="O369" s="44"/>
      <c r="P369" s="44"/>
      <c r="Q369" s="44"/>
      <c r="R369" s="42"/>
      <c r="S369" s="44"/>
      <c r="T369" s="44"/>
      <c r="U369" s="44"/>
      <c r="V369" s="42"/>
      <c r="W369" s="44"/>
      <c r="X369" s="44"/>
      <c r="Y369" s="44"/>
      <c r="Z369" s="42"/>
      <c r="AA369" s="44"/>
      <c r="AB369" s="44"/>
      <c r="AC369" s="44"/>
      <c r="AD369" s="42"/>
      <c r="AE369" s="44"/>
      <c r="AF369" s="44"/>
      <c r="AG369" s="44"/>
      <c r="AH369" s="42"/>
      <c r="AI369" s="44"/>
      <c r="AJ369" s="44"/>
      <c r="AK369" s="44"/>
      <c r="AL369" s="42"/>
      <c r="AM369" s="44"/>
      <c r="AN369" s="44"/>
      <c r="AO369" s="44"/>
      <c r="AP369" s="42"/>
      <c r="AQ369" s="44"/>
      <c r="AR369" s="44"/>
      <c r="AS369" s="44"/>
      <c r="AT369" s="42"/>
      <c r="AU369" s="44"/>
      <c r="AV369" s="44"/>
      <c r="AW369" s="44"/>
      <c r="AX369" s="42"/>
      <c r="AY369" s="44"/>
      <c r="AZ369" s="44"/>
      <c r="BA369" s="44"/>
      <c r="BB369" s="42"/>
      <c r="BC369" s="44"/>
      <c r="BD369" s="44"/>
      <c r="BE369" s="44"/>
      <c r="BF369" s="42"/>
      <c r="BG369" s="44"/>
      <c r="BH369" s="44"/>
      <c r="BI369" s="44"/>
      <c r="BJ369" s="42"/>
      <c r="BK369" s="44"/>
      <c r="BL369" s="44"/>
      <c r="BM369" s="44"/>
      <c r="BN369" s="42"/>
      <c r="BO369" s="44"/>
      <c r="BP369" s="44"/>
      <c r="BQ369" s="44"/>
      <c r="BR369" s="42"/>
      <c r="BS369" s="44"/>
      <c r="BT369" s="44"/>
      <c r="BU369" s="44"/>
      <c r="BV369" s="42"/>
      <c r="BW369" s="44"/>
      <c r="BX369" s="44"/>
      <c r="BY369" s="44"/>
      <c r="BZ369" s="42"/>
      <c r="CA369" s="44"/>
      <c r="CB369" s="44"/>
      <c r="CC369" s="44"/>
      <c r="CD369" s="42"/>
      <c r="CE369" s="44"/>
      <c r="CF369" s="44"/>
      <c r="CG369" s="44"/>
      <c r="CH369" s="42"/>
      <c r="CI369" s="44"/>
      <c r="CJ369" s="44"/>
      <c r="CK369" s="44"/>
      <c r="CL369" s="42"/>
      <c r="CM369" s="44"/>
      <c r="CN369" s="44"/>
      <c r="CO369" s="44"/>
      <c r="CP369" s="42"/>
      <c r="CQ369" s="44"/>
      <c r="CR369" s="44"/>
      <c r="CS369" s="44"/>
      <c r="CT369" s="42"/>
      <c r="CU369" s="44"/>
      <c r="CV369" s="44"/>
      <c r="CW369" s="44"/>
      <c r="CX369" s="42"/>
      <c r="CY369" s="44"/>
      <c r="CZ369" s="44"/>
      <c r="DA369" s="44"/>
      <c r="DB369" s="42"/>
      <c r="DC369" s="44"/>
      <c r="DD369" s="44"/>
      <c r="DE369" s="44"/>
      <c r="DF369" s="45">
        <f t="shared" si="4935"/>
        <v>0</v>
      </c>
    </row>
    <row r="370" spans="1:110" s="52" customFormat="1" ht="12">
      <c r="A370" s="504">
        <v>189</v>
      </c>
      <c r="B370" s="456" t="s">
        <v>326</v>
      </c>
      <c r="C370" s="457" t="s">
        <v>14</v>
      </c>
      <c r="D370" s="458" t="s">
        <v>542</v>
      </c>
      <c r="E370" s="459"/>
      <c r="F370" s="453"/>
      <c r="G370" s="453"/>
      <c r="H370" s="454">
        <v>85000</v>
      </c>
      <c r="I370" s="219">
        <v>5000</v>
      </c>
      <c r="J370" s="42">
        <f>ROUND(H370/4*(1+取值表!$D$30)*取值表!$H$30,0)</f>
        <v>20117</v>
      </c>
      <c r="K370" s="42">
        <f>J370</f>
        <v>20117</v>
      </c>
      <c r="L370" s="42">
        <f>K370</f>
        <v>20117</v>
      </c>
      <c r="M370" s="42">
        <f>L370</f>
        <v>20117</v>
      </c>
      <c r="N370" s="42">
        <f>ROUND(M370*(1+取值表!$D$30)*取值表!$H$30,0)</f>
        <v>19044</v>
      </c>
      <c r="O370" s="42">
        <f t="shared" ref="O370:Q370" si="5570">N370</f>
        <v>19044</v>
      </c>
      <c r="P370" s="42">
        <f t="shared" si="5570"/>
        <v>19044</v>
      </c>
      <c r="Q370" s="42">
        <f t="shared" si="5570"/>
        <v>19044</v>
      </c>
      <c r="R370" s="42">
        <f>ROUND(Q370*(1+取值表!$D$30)*取值表!$H$30,0)</f>
        <v>18028</v>
      </c>
      <c r="S370" s="42">
        <f t="shared" ref="S370:U370" si="5571">R370</f>
        <v>18028</v>
      </c>
      <c r="T370" s="42">
        <f t="shared" si="5571"/>
        <v>18028</v>
      </c>
      <c r="U370" s="42">
        <f t="shared" si="5571"/>
        <v>18028</v>
      </c>
      <c r="V370" s="42">
        <f>ROUND(U370*(1+取值表!$D$30)*取值表!$H$30,0)</f>
        <v>17067</v>
      </c>
      <c r="W370" s="42">
        <f t="shared" ref="W370:Y370" si="5572">V370</f>
        <v>17067</v>
      </c>
      <c r="X370" s="42">
        <f t="shared" si="5572"/>
        <v>17067</v>
      </c>
      <c r="Y370" s="42">
        <f t="shared" si="5572"/>
        <v>17067</v>
      </c>
      <c r="Z370" s="42">
        <f>ROUND(Y370*(1+取值表!$D$30)*取值表!$H$30,0)</f>
        <v>16157</v>
      </c>
      <c r="AA370" s="42">
        <f t="shared" ref="AA370:AC370" si="5573">Z370</f>
        <v>16157</v>
      </c>
      <c r="AB370" s="42">
        <f t="shared" si="5573"/>
        <v>16157</v>
      </c>
      <c r="AC370" s="42">
        <f t="shared" si="5573"/>
        <v>16157</v>
      </c>
      <c r="AD370" s="42">
        <f>ROUND(AC370*(1+取值表!$D$30)*取值表!$H$30,0)</f>
        <v>15295</v>
      </c>
      <c r="AE370" s="42">
        <f t="shared" ref="AE370:AG370" si="5574">AD370</f>
        <v>15295</v>
      </c>
      <c r="AF370" s="42">
        <f t="shared" si="5574"/>
        <v>15295</v>
      </c>
      <c r="AG370" s="42">
        <f t="shared" si="5574"/>
        <v>15295</v>
      </c>
      <c r="AH370" s="42">
        <f>ROUND(AG370*(1+取值表!$D$30)*取值表!$H$30,0)</f>
        <v>14479</v>
      </c>
      <c r="AI370" s="42">
        <f t="shared" ref="AI370:AK370" si="5575">AH370</f>
        <v>14479</v>
      </c>
      <c r="AJ370" s="42">
        <f t="shared" si="5575"/>
        <v>14479</v>
      </c>
      <c r="AK370" s="42">
        <f t="shared" si="5575"/>
        <v>14479</v>
      </c>
      <c r="AL370" s="42">
        <f>ROUND(AK370*(1+取值表!$D$30)*取值表!$H$30,0)</f>
        <v>13707</v>
      </c>
      <c r="AM370" s="42">
        <f t="shared" ref="AM370:AO370" si="5576">AL370</f>
        <v>13707</v>
      </c>
      <c r="AN370" s="42">
        <f t="shared" si="5576"/>
        <v>13707</v>
      </c>
      <c r="AO370" s="42">
        <f t="shared" si="5576"/>
        <v>13707</v>
      </c>
      <c r="AP370" s="42">
        <f>ROUND(AO370*(1+取值表!$D$30)*取值表!$H$30,0)</f>
        <v>12976</v>
      </c>
      <c r="AQ370" s="42">
        <f t="shared" ref="AQ370:AS370" si="5577">AP370</f>
        <v>12976</v>
      </c>
      <c r="AR370" s="42">
        <f t="shared" si="5577"/>
        <v>12976</v>
      </c>
      <c r="AS370" s="42">
        <f t="shared" si="5577"/>
        <v>12976</v>
      </c>
      <c r="AT370" s="42">
        <f>ROUND(AS370*(1+取值表!$D$30)*取值表!$H$30,0)</f>
        <v>12284</v>
      </c>
      <c r="AU370" s="42">
        <f t="shared" ref="AU370:AW370" si="5578">AT370</f>
        <v>12284</v>
      </c>
      <c r="AV370" s="42">
        <f t="shared" si="5578"/>
        <v>12284</v>
      </c>
      <c r="AW370" s="42">
        <f t="shared" si="5578"/>
        <v>12284</v>
      </c>
      <c r="AX370" s="42">
        <f>ROUND(AW370*(1+取值表!$D$30)*取值表!$H$30,0)</f>
        <v>11629</v>
      </c>
      <c r="AY370" s="42">
        <f t="shared" ref="AY370:BA370" si="5579">AX370</f>
        <v>11629</v>
      </c>
      <c r="AZ370" s="42">
        <f t="shared" si="5579"/>
        <v>11629</v>
      </c>
      <c r="BA370" s="42">
        <f t="shared" si="5579"/>
        <v>11629</v>
      </c>
      <c r="BB370" s="42">
        <f>ROUND(BA370*(1+取值表!$D$30)*取值表!$H$30,0)</f>
        <v>11009</v>
      </c>
      <c r="BC370" s="42">
        <f t="shared" ref="BC370:BE370" si="5580">BB370</f>
        <v>11009</v>
      </c>
      <c r="BD370" s="42">
        <f t="shared" si="5580"/>
        <v>11009</v>
      </c>
      <c r="BE370" s="42">
        <f t="shared" si="5580"/>
        <v>11009</v>
      </c>
      <c r="BF370" s="42">
        <f>ROUND(BE370*(1+取值表!$D$30)*取值表!$H$30,0)</f>
        <v>10422</v>
      </c>
      <c r="BG370" s="42">
        <f t="shared" ref="BG370:BI370" si="5581">BF370</f>
        <v>10422</v>
      </c>
      <c r="BH370" s="42">
        <f t="shared" si="5581"/>
        <v>10422</v>
      </c>
      <c r="BI370" s="42">
        <f t="shared" si="5581"/>
        <v>10422</v>
      </c>
      <c r="BJ370" s="42">
        <f>ROUND(BI370*(1+取值表!$D$30)*取值表!$H$30,0)</f>
        <v>9866</v>
      </c>
      <c r="BK370" s="42">
        <f t="shared" ref="BK370:BM370" si="5582">BJ370</f>
        <v>9866</v>
      </c>
      <c r="BL370" s="42">
        <f t="shared" si="5582"/>
        <v>9866</v>
      </c>
      <c r="BM370" s="42">
        <f t="shared" si="5582"/>
        <v>9866</v>
      </c>
      <c r="BN370" s="42">
        <f>ROUND(BM370*(1+取值表!$D$30)*取值表!$H$30,0)</f>
        <v>9340</v>
      </c>
      <c r="BO370" s="42">
        <f t="shared" ref="BO370:BQ370" si="5583">BN370</f>
        <v>9340</v>
      </c>
      <c r="BP370" s="42">
        <f t="shared" si="5583"/>
        <v>9340</v>
      </c>
      <c r="BQ370" s="42">
        <f t="shared" si="5583"/>
        <v>9340</v>
      </c>
      <c r="BR370" s="42">
        <f>ROUND(BQ370*(1+取值表!$D$30)*取值表!$H$30,0)</f>
        <v>8842</v>
      </c>
      <c r="BS370" s="42">
        <f t="shared" ref="BS370:BU370" si="5584">BR370</f>
        <v>8842</v>
      </c>
      <c r="BT370" s="42">
        <f t="shared" si="5584"/>
        <v>8842</v>
      </c>
      <c r="BU370" s="42">
        <f t="shared" si="5584"/>
        <v>8842</v>
      </c>
      <c r="BV370" s="42">
        <f>ROUND(BU370*(1+取值表!$D$30)*取值表!$H$30,0)</f>
        <v>8370</v>
      </c>
      <c r="BW370" s="42">
        <f t="shared" ref="BW370:BY370" si="5585">BV370</f>
        <v>8370</v>
      </c>
      <c r="BX370" s="42">
        <f t="shared" si="5585"/>
        <v>8370</v>
      </c>
      <c r="BY370" s="42">
        <f t="shared" si="5585"/>
        <v>8370</v>
      </c>
      <c r="BZ370" s="42">
        <f>ROUND(BY370*(1+取值表!$D$30)*取值表!$H$30,0)</f>
        <v>7924</v>
      </c>
      <c r="CA370" s="42">
        <f t="shared" ref="CA370:CC370" si="5586">BZ370</f>
        <v>7924</v>
      </c>
      <c r="CB370" s="42">
        <f t="shared" si="5586"/>
        <v>7924</v>
      </c>
      <c r="CC370" s="42">
        <f t="shared" si="5586"/>
        <v>7924</v>
      </c>
      <c r="CD370" s="42">
        <f>ROUND(CC370*(1+取值表!$D$30)*取值表!$H$30,0)</f>
        <v>7501</v>
      </c>
      <c r="CE370" s="42">
        <f t="shared" ref="CE370:CG370" si="5587">CD370</f>
        <v>7501</v>
      </c>
      <c r="CF370" s="42">
        <f t="shared" si="5587"/>
        <v>7501</v>
      </c>
      <c r="CG370" s="42">
        <f t="shared" si="5587"/>
        <v>7501</v>
      </c>
      <c r="CH370" s="42">
        <f>ROUND(CG370*(1+取值表!$D$30)*取值表!$H$30,0)</f>
        <v>7101</v>
      </c>
      <c r="CI370" s="42">
        <f t="shared" ref="CI370:CK370" si="5588">CH370</f>
        <v>7101</v>
      </c>
      <c r="CJ370" s="42">
        <f t="shared" si="5588"/>
        <v>7101</v>
      </c>
      <c r="CK370" s="42">
        <f t="shared" si="5588"/>
        <v>7101</v>
      </c>
      <c r="CL370" s="42">
        <f>ROUND(CK370*(1+取值表!$D$30)*取值表!$H$30,0)</f>
        <v>6722</v>
      </c>
      <c r="CM370" s="42">
        <f t="shared" ref="CM370:CO370" si="5589">CL370</f>
        <v>6722</v>
      </c>
      <c r="CN370" s="42">
        <f t="shared" si="5589"/>
        <v>6722</v>
      </c>
      <c r="CO370" s="42">
        <f t="shared" si="5589"/>
        <v>6722</v>
      </c>
      <c r="CP370" s="42">
        <f>ROUND(CO370*(1+取值表!$D$30)*取值表!$H$30,0)</f>
        <v>6364</v>
      </c>
      <c r="CQ370" s="42">
        <f t="shared" ref="CQ370" si="5590">CP370</f>
        <v>6364</v>
      </c>
      <c r="CR370" s="42">
        <f t="shared" ref="CR370" si="5591">CQ370</f>
        <v>6364</v>
      </c>
      <c r="CS370" s="42">
        <f t="shared" ref="CS370" si="5592">CR370</f>
        <v>6364</v>
      </c>
      <c r="CT370" s="42">
        <f>ROUND(CS370*(1+取值表!$D$30)*取值表!$H$30,0)</f>
        <v>6025</v>
      </c>
      <c r="CU370" s="42">
        <f t="shared" ref="CU370" si="5593">CT370</f>
        <v>6025</v>
      </c>
      <c r="CV370" s="42">
        <f t="shared" ref="CV370" si="5594">CU370</f>
        <v>6025</v>
      </c>
      <c r="CW370" s="42">
        <f t="shared" ref="CW370" si="5595">CV370</f>
        <v>6025</v>
      </c>
      <c r="CX370" s="42">
        <f>ROUND(CW370*(1+取值表!$D$30)*取值表!$H$30,0)</f>
        <v>5704</v>
      </c>
      <c r="CY370" s="42">
        <f t="shared" ref="CY370" si="5596">CX370</f>
        <v>5704</v>
      </c>
      <c r="CZ370" s="42">
        <f t="shared" ref="CZ370" si="5597">CY370</f>
        <v>5704</v>
      </c>
      <c r="DA370" s="42">
        <f t="shared" ref="DA370" si="5598">CZ370</f>
        <v>5704</v>
      </c>
      <c r="DB370" s="42">
        <f>ROUND(DA370*(1+取值表!$D$30)*取值表!$H$30,0)</f>
        <v>5400</v>
      </c>
      <c r="DC370" s="42">
        <f t="shared" ref="DC370" si="5599">DB370</f>
        <v>5400</v>
      </c>
      <c r="DD370" s="42">
        <f t="shared" ref="DD370" si="5600">DC370</f>
        <v>5400</v>
      </c>
      <c r="DE370" s="42">
        <f t="shared" ref="DE370" si="5601">DD370</f>
        <v>5400</v>
      </c>
      <c r="DF370" s="45">
        <f t="shared" si="4935"/>
        <v>1125492</v>
      </c>
    </row>
    <row r="371" spans="1:110" s="52" customFormat="1" ht="12">
      <c r="A371" s="505"/>
      <c r="B371" s="456"/>
      <c r="C371" s="457"/>
      <c r="D371" s="458"/>
      <c r="E371" s="459"/>
      <c r="F371" s="453"/>
      <c r="G371" s="453"/>
      <c r="H371" s="454"/>
      <c r="I371" s="219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  <c r="DB371" s="42"/>
      <c r="DC371" s="42"/>
      <c r="DD371" s="42"/>
      <c r="DE371" s="42"/>
      <c r="DF371" s="45">
        <f t="shared" si="4935"/>
        <v>0</v>
      </c>
    </row>
    <row r="372" spans="1:110" s="52" customFormat="1" ht="13.5" customHeight="1">
      <c r="A372" s="504">
        <v>190</v>
      </c>
      <c r="B372" s="456" t="s">
        <v>326</v>
      </c>
      <c r="C372" s="457" t="s">
        <v>206</v>
      </c>
      <c r="D372" s="458" t="s">
        <v>464</v>
      </c>
      <c r="E372" s="459"/>
      <c r="F372" s="453"/>
      <c r="G372" s="453"/>
      <c r="H372" s="454">
        <v>96000</v>
      </c>
      <c r="I372" s="219">
        <v>5000</v>
      </c>
      <c r="J372" s="42">
        <f>ROUND(H372/4*(1+取值表!$D$30)*取值表!$H$30,0)</f>
        <v>22720</v>
      </c>
      <c r="K372" s="42">
        <f t="shared" ref="K372:M385" si="5602">J372</f>
        <v>22720</v>
      </c>
      <c r="L372" s="42">
        <f t="shared" si="5602"/>
        <v>22720</v>
      </c>
      <c r="M372" s="42">
        <f t="shared" si="5602"/>
        <v>22720</v>
      </c>
      <c r="N372" s="42">
        <f>ROUND(M372*(1+取值表!$D$30)*取值表!$H$30,0)</f>
        <v>21508</v>
      </c>
      <c r="O372" s="42">
        <f t="shared" ref="O372:Q372" si="5603">N372</f>
        <v>21508</v>
      </c>
      <c r="P372" s="42">
        <f t="shared" si="5603"/>
        <v>21508</v>
      </c>
      <c r="Q372" s="42">
        <f t="shared" si="5603"/>
        <v>21508</v>
      </c>
      <c r="R372" s="42">
        <f>ROUND(Q372*(1+取值表!$D$30)*取值表!$H$30,0)</f>
        <v>20361</v>
      </c>
      <c r="S372" s="42">
        <f t="shared" ref="S372:U372" si="5604">R372</f>
        <v>20361</v>
      </c>
      <c r="T372" s="42">
        <f t="shared" si="5604"/>
        <v>20361</v>
      </c>
      <c r="U372" s="42">
        <f t="shared" si="5604"/>
        <v>20361</v>
      </c>
      <c r="V372" s="42">
        <f>ROUND(U372*(1+取值表!$D$30)*取值表!$H$30,0)</f>
        <v>19275</v>
      </c>
      <c r="W372" s="42">
        <f t="shared" ref="W372:Y372" si="5605">V372</f>
        <v>19275</v>
      </c>
      <c r="X372" s="42">
        <f t="shared" si="5605"/>
        <v>19275</v>
      </c>
      <c r="Y372" s="42">
        <f t="shared" si="5605"/>
        <v>19275</v>
      </c>
      <c r="Z372" s="42">
        <f>ROUND(Y372*(1+取值表!$D$30)*取值表!$H$30,0)</f>
        <v>18247</v>
      </c>
      <c r="AA372" s="42">
        <f t="shared" ref="AA372:AC372" si="5606">Z372</f>
        <v>18247</v>
      </c>
      <c r="AB372" s="42">
        <f t="shared" si="5606"/>
        <v>18247</v>
      </c>
      <c r="AC372" s="42">
        <f t="shared" si="5606"/>
        <v>18247</v>
      </c>
      <c r="AD372" s="42">
        <f>ROUND(AC372*(1+取值表!$D$30)*取值表!$H$30,0)</f>
        <v>17274</v>
      </c>
      <c r="AE372" s="42">
        <f t="shared" ref="AE372:AG372" si="5607">AD372</f>
        <v>17274</v>
      </c>
      <c r="AF372" s="42">
        <f t="shared" si="5607"/>
        <v>17274</v>
      </c>
      <c r="AG372" s="42">
        <f t="shared" si="5607"/>
        <v>17274</v>
      </c>
      <c r="AH372" s="42">
        <f>ROUND(AG372*(1+取值表!$D$30)*取值表!$H$30,0)</f>
        <v>16353</v>
      </c>
      <c r="AI372" s="42">
        <f t="shared" ref="AI372:AK372" si="5608">AH372</f>
        <v>16353</v>
      </c>
      <c r="AJ372" s="42">
        <f t="shared" si="5608"/>
        <v>16353</v>
      </c>
      <c r="AK372" s="42">
        <f t="shared" si="5608"/>
        <v>16353</v>
      </c>
      <c r="AL372" s="42">
        <f>ROUND(AK372*(1+取值表!$D$30)*取值表!$H$30,0)</f>
        <v>15481</v>
      </c>
      <c r="AM372" s="42">
        <f t="shared" ref="AM372:AO372" si="5609">AL372</f>
        <v>15481</v>
      </c>
      <c r="AN372" s="42">
        <f t="shared" si="5609"/>
        <v>15481</v>
      </c>
      <c r="AO372" s="42">
        <f t="shared" si="5609"/>
        <v>15481</v>
      </c>
      <c r="AP372" s="42">
        <f>ROUND(AO372*(1+取值表!$D$30)*取值表!$H$30,0)</f>
        <v>14655</v>
      </c>
      <c r="AQ372" s="42">
        <f t="shared" ref="AQ372:AS372" si="5610">AP372</f>
        <v>14655</v>
      </c>
      <c r="AR372" s="42">
        <f t="shared" si="5610"/>
        <v>14655</v>
      </c>
      <c r="AS372" s="42">
        <f t="shared" si="5610"/>
        <v>14655</v>
      </c>
      <c r="AT372" s="42">
        <f>ROUND(AS372*(1+取值表!$D$30)*取值表!$H$30,0)</f>
        <v>13873</v>
      </c>
      <c r="AU372" s="42">
        <f t="shared" ref="AU372:AW372" si="5611">AT372</f>
        <v>13873</v>
      </c>
      <c r="AV372" s="42">
        <f t="shared" si="5611"/>
        <v>13873</v>
      </c>
      <c r="AW372" s="42">
        <f t="shared" si="5611"/>
        <v>13873</v>
      </c>
      <c r="AX372" s="42">
        <f>ROUND(AW372*(1+取值表!$D$30)*取值表!$H$30,0)</f>
        <v>13133</v>
      </c>
      <c r="AY372" s="42">
        <f t="shared" ref="AY372:BA372" si="5612">AX372</f>
        <v>13133</v>
      </c>
      <c r="AZ372" s="42">
        <f t="shared" si="5612"/>
        <v>13133</v>
      </c>
      <c r="BA372" s="42">
        <f t="shared" si="5612"/>
        <v>13133</v>
      </c>
      <c r="BB372" s="42">
        <f>ROUND(BA372*(1+取值表!$D$30)*取值表!$H$30,0)</f>
        <v>12433</v>
      </c>
      <c r="BC372" s="42">
        <f t="shared" ref="BC372:BE372" si="5613">BB372</f>
        <v>12433</v>
      </c>
      <c r="BD372" s="42">
        <f t="shared" si="5613"/>
        <v>12433</v>
      </c>
      <c r="BE372" s="42">
        <f t="shared" si="5613"/>
        <v>12433</v>
      </c>
      <c r="BF372" s="42">
        <f>ROUND(BE372*(1+取值表!$D$30)*取值表!$H$30,0)</f>
        <v>11770</v>
      </c>
      <c r="BG372" s="42">
        <f t="shared" ref="BG372:BI372" si="5614">BF372</f>
        <v>11770</v>
      </c>
      <c r="BH372" s="42">
        <f t="shared" si="5614"/>
        <v>11770</v>
      </c>
      <c r="BI372" s="42">
        <f t="shared" si="5614"/>
        <v>11770</v>
      </c>
      <c r="BJ372" s="42">
        <f>ROUND(BI372*(1+取值表!$D$30)*取值表!$H$30,0)</f>
        <v>11142</v>
      </c>
      <c r="BK372" s="42">
        <f t="shared" ref="BK372:BM372" si="5615">BJ372</f>
        <v>11142</v>
      </c>
      <c r="BL372" s="42">
        <f t="shared" si="5615"/>
        <v>11142</v>
      </c>
      <c r="BM372" s="42">
        <f t="shared" si="5615"/>
        <v>11142</v>
      </c>
      <c r="BN372" s="42">
        <f>ROUND(BM372*(1+取值表!$D$30)*取值表!$H$30,0)</f>
        <v>10548</v>
      </c>
      <c r="BO372" s="42">
        <f t="shared" ref="BO372:BQ372" si="5616">BN372</f>
        <v>10548</v>
      </c>
      <c r="BP372" s="42">
        <f t="shared" si="5616"/>
        <v>10548</v>
      </c>
      <c r="BQ372" s="42">
        <f t="shared" si="5616"/>
        <v>10548</v>
      </c>
      <c r="BR372" s="42">
        <f>ROUND(BQ372*(1+取值表!$D$30)*取值表!$H$30,0)</f>
        <v>9985</v>
      </c>
      <c r="BS372" s="42">
        <f t="shared" ref="BS372:BU372" si="5617">BR372</f>
        <v>9985</v>
      </c>
      <c r="BT372" s="42">
        <f t="shared" si="5617"/>
        <v>9985</v>
      </c>
      <c r="BU372" s="42">
        <f t="shared" si="5617"/>
        <v>9985</v>
      </c>
      <c r="BV372" s="42">
        <f>ROUND(BU372*(1+取值表!$D$30)*取值表!$H$30,0)</f>
        <v>9453</v>
      </c>
      <c r="BW372" s="42">
        <f t="shared" ref="BW372:BY372" si="5618">BV372</f>
        <v>9453</v>
      </c>
      <c r="BX372" s="42">
        <f t="shared" si="5618"/>
        <v>9453</v>
      </c>
      <c r="BY372" s="42">
        <f t="shared" si="5618"/>
        <v>9453</v>
      </c>
      <c r="BZ372" s="42">
        <f>ROUND(BY372*(1+取值表!$D$30)*取值表!$H$30,0)</f>
        <v>8949</v>
      </c>
      <c r="CA372" s="42">
        <f t="shared" ref="CA372:CC372" si="5619">BZ372</f>
        <v>8949</v>
      </c>
      <c r="CB372" s="42">
        <f t="shared" si="5619"/>
        <v>8949</v>
      </c>
      <c r="CC372" s="42">
        <f t="shared" si="5619"/>
        <v>8949</v>
      </c>
      <c r="CD372" s="42">
        <f>ROUND(CC372*(1+取值表!$D$30)*取值表!$H$30,0)</f>
        <v>8472</v>
      </c>
      <c r="CE372" s="42">
        <f t="shared" ref="CE372:CG372" si="5620">CD372</f>
        <v>8472</v>
      </c>
      <c r="CF372" s="42">
        <f t="shared" si="5620"/>
        <v>8472</v>
      </c>
      <c r="CG372" s="42">
        <f t="shared" si="5620"/>
        <v>8472</v>
      </c>
      <c r="CH372" s="42">
        <f>ROUND(CG372*(1+取值表!$D$30)*取值表!$H$30,0)</f>
        <v>8020</v>
      </c>
      <c r="CI372" s="42">
        <f t="shared" ref="CI372:CK372" si="5621">CH372</f>
        <v>8020</v>
      </c>
      <c r="CJ372" s="42">
        <f t="shared" si="5621"/>
        <v>8020</v>
      </c>
      <c r="CK372" s="42">
        <f t="shared" si="5621"/>
        <v>8020</v>
      </c>
      <c r="CL372" s="42">
        <f>ROUND(CK372*(1+取值表!$D$30)*取值表!$H$30,0)</f>
        <v>7592</v>
      </c>
      <c r="CM372" s="42">
        <f t="shared" ref="CM372:CO372" si="5622">CL372</f>
        <v>7592</v>
      </c>
      <c r="CN372" s="42">
        <f t="shared" si="5622"/>
        <v>7592</v>
      </c>
      <c r="CO372" s="42">
        <f t="shared" si="5622"/>
        <v>7592</v>
      </c>
      <c r="CP372" s="42">
        <f>ROUND(CO372*(1+取值表!$D$30)*取值表!$H$30,0)</f>
        <v>7187</v>
      </c>
      <c r="CQ372" s="42">
        <f t="shared" ref="CQ372:CQ386" si="5623">CP372</f>
        <v>7187</v>
      </c>
      <c r="CR372" s="42">
        <f t="shared" ref="CR372:CR386" si="5624">CQ372</f>
        <v>7187</v>
      </c>
      <c r="CS372" s="42">
        <f t="shared" ref="CS372:CS386" si="5625">CR372</f>
        <v>7187</v>
      </c>
      <c r="CT372" s="42">
        <f>ROUND(CS372*(1+取值表!$D$30)*取值表!$H$30,0)</f>
        <v>6804</v>
      </c>
      <c r="CU372" s="42">
        <f t="shared" ref="CU372:CU386" si="5626">CT372</f>
        <v>6804</v>
      </c>
      <c r="CV372" s="42">
        <f t="shared" ref="CV372:CV386" si="5627">CU372</f>
        <v>6804</v>
      </c>
      <c r="CW372" s="42">
        <f t="shared" ref="CW372:CW386" si="5628">CV372</f>
        <v>6804</v>
      </c>
      <c r="CX372" s="42">
        <f>ROUND(CW372*(1+取值表!$D$30)*取值表!$H$30,0)</f>
        <v>6441</v>
      </c>
      <c r="CY372" s="42">
        <f t="shared" ref="CY372:CY386" si="5629">CX372</f>
        <v>6441</v>
      </c>
      <c r="CZ372" s="42">
        <f t="shared" ref="CZ372:CZ386" si="5630">CY372</f>
        <v>6441</v>
      </c>
      <c r="DA372" s="42">
        <f t="shared" ref="DA372:DA386" si="5631">CZ372</f>
        <v>6441</v>
      </c>
      <c r="DB372" s="42">
        <f>ROUND(DA372*(1+取值表!$D$30)*取值表!$H$30,0)</f>
        <v>6098</v>
      </c>
      <c r="DC372" s="42">
        <f t="shared" ref="DC372:DC386" si="5632">DB372</f>
        <v>6098</v>
      </c>
      <c r="DD372" s="42">
        <f t="shared" ref="DD372:DD386" si="5633">DC372</f>
        <v>6098</v>
      </c>
      <c r="DE372" s="42">
        <f t="shared" ref="DE372:DE386" si="5634">DD372</f>
        <v>6098</v>
      </c>
      <c r="DF372" s="45">
        <f t="shared" si="4935"/>
        <v>1271096</v>
      </c>
    </row>
    <row r="373" spans="1:110" s="52" customFormat="1" ht="12">
      <c r="A373" s="505"/>
      <c r="B373" s="456"/>
      <c r="C373" s="457"/>
      <c r="D373" s="458"/>
      <c r="E373" s="459"/>
      <c r="F373" s="453"/>
      <c r="G373" s="453"/>
      <c r="H373" s="454"/>
      <c r="I373" s="219">
        <v>0</v>
      </c>
      <c r="J373" s="42"/>
      <c r="K373" s="42">
        <f t="shared" si="5602"/>
        <v>0</v>
      </c>
      <c r="L373" s="42">
        <f t="shared" si="5602"/>
        <v>0</v>
      </c>
      <c r="M373" s="42">
        <f t="shared" si="5602"/>
        <v>0</v>
      </c>
      <c r="N373" s="42"/>
      <c r="O373" s="42">
        <f t="shared" ref="O373:Q373" si="5635">N373</f>
        <v>0</v>
      </c>
      <c r="P373" s="42">
        <f t="shared" si="5635"/>
        <v>0</v>
      </c>
      <c r="Q373" s="42">
        <f t="shared" si="5635"/>
        <v>0</v>
      </c>
      <c r="R373" s="42"/>
      <c r="S373" s="42">
        <f t="shared" ref="S373:U373" si="5636">R373</f>
        <v>0</v>
      </c>
      <c r="T373" s="42">
        <f t="shared" si="5636"/>
        <v>0</v>
      </c>
      <c r="U373" s="42">
        <f t="shared" si="5636"/>
        <v>0</v>
      </c>
      <c r="V373" s="42"/>
      <c r="W373" s="42">
        <f t="shared" ref="W373:Y373" si="5637">V373</f>
        <v>0</v>
      </c>
      <c r="X373" s="42">
        <f t="shared" si="5637"/>
        <v>0</v>
      </c>
      <c r="Y373" s="42">
        <f t="shared" si="5637"/>
        <v>0</v>
      </c>
      <c r="Z373" s="42"/>
      <c r="AA373" s="42">
        <f t="shared" ref="AA373:AC373" si="5638">Z373</f>
        <v>0</v>
      </c>
      <c r="AB373" s="42">
        <f t="shared" si="5638"/>
        <v>0</v>
      </c>
      <c r="AC373" s="42">
        <f t="shared" si="5638"/>
        <v>0</v>
      </c>
      <c r="AD373" s="42"/>
      <c r="AE373" s="42">
        <f t="shared" ref="AE373:AG373" si="5639">AD373</f>
        <v>0</v>
      </c>
      <c r="AF373" s="42">
        <f t="shared" si="5639"/>
        <v>0</v>
      </c>
      <c r="AG373" s="42">
        <f t="shared" si="5639"/>
        <v>0</v>
      </c>
      <c r="AH373" s="42"/>
      <c r="AI373" s="42">
        <f t="shared" ref="AI373:AK373" si="5640">AH373</f>
        <v>0</v>
      </c>
      <c r="AJ373" s="42">
        <f t="shared" si="5640"/>
        <v>0</v>
      </c>
      <c r="AK373" s="42">
        <f t="shared" si="5640"/>
        <v>0</v>
      </c>
      <c r="AL373" s="42"/>
      <c r="AM373" s="42">
        <f t="shared" ref="AM373:AO373" si="5641">AL373</f>
        <v>0</v>
      </c>
      <c r="AN373" s="42">
        <f t="shared" si="5641"/>
        <v>0</v>
      </c>
      <c r="AO373" s="42">
        <f t="shared" si="5641"/>
        <v>0</v>
      </c>
      <c r="AP373" s="42"/>
      <c r="AQ373" s="42">
        <f t="shared" ref="AQ373:AS373" si="5642">AP373</f>
        <v>0</v>
      </c>
      <c r="AR373" s="42">
        <f t="shared" si="5642"/>
        <v>0</v>
      </c>
      <c r="AS373" s="42">
        <f t="shared" si="5642"/>
        <v>0</v>
      </c>
      <c r="AT373" s="42"/>
      <c r="AU373" s="42">
        <f t="shared" ref="AU373:AW373" si="5643">AT373</f>
        <v>0</v>
      </c>
      <c r="AV373" s="42">
        <f t="shared" si="5643"/>
        <v>0</v>
      </c>
      <c r="AW373" s="42">
        <f t="shared" si="5643"/>
        <v>0</v>
      </c>
      <c r="AX373" s="42"/>
      <c r="AY373" s="42">
        <f t="shared" ref="AY373:BA373" si="5644">AX373</f>
        <v>0</v>
      </c>
      <c r="AZ373" s="42">
        <f t="shared" si="5644"/>
        <v>0</v>
      </c>
      <c r="BA373" s="42">
        <f t="shared" si="5644"/>
        <v>0</v>
      </c>
      <c r="BB373" s="42"/>
      <c r="BC373" s="42">
        <f t="shared" ref="BC373:BE373" si="5645">BB373</f>
        <v>0</v>
      </c>
      <c r="BD373" s="42">
        <f t="shared" si="5645"/>
        <v>0</v>
      </c>
      <c r="BE373" s="42">
        <f t="shared" si="5645"/>
        <v>0</v>
      </c>
      <c r="BF373" s="42"/>
      <c r="BG373" s="42">
        <f t="shared" ref="BG373:BI373" si="5646">BF373</f>
        <v>0</v>
      </c>
      <c r="BH373" s="42">
        <f t="shared" si="5646"/>
        <v>0</v>
      </c>
      <c r="BI373" s="42">
        <f t="shared" si="5646"/>
        <v>0</v>
      </c>
      <c r="BJ373" s="42"/>
      <c r="BK373" s="42">
        <f t="shared" ref="BK373:BM373" si="5647">BJ373</f>
        <v>0</v>
      </c>
      <c r="BL373" s="42">
        <f t="shared" si="5647"/>
        <v>0</v>
      </c>
      <c r="BM373" s="42">
        <f t="shared" si="5647"/>
        <v>0</v>
      </c>
      <c r="BN373" s="42"/>
      <c r="BO373" s="42">
        <f t="shared" ref="BO373:BQ373" si="5648">BN373</f>
        <v>0</v>
      </c>
      <c r="BP373" s="42">
        <f t="shared" si="5648"/>
        <v>0</v>
      </c>
      <c r="BQ373" s="42">
        <f t="shared" si="5648"/>
        <v>0</v>
      </c>
      <c r="BR373" s="42"/>
      <c r="BS373" s="42">
        <f t="shared" ref="BS373:BU373" si="5649">BR373</f>
        <v>0</v>
      </c>
      <c r="BT373" s="42">
        <f t="shared" si="5649"/>
        <v>0</v>
      </c>
      <c r="BU373" s="42">
        <f t="shared" si="5649"/>
        <v>0</v>
      </c>
      <c r="BV373" s="42"/>
      <c r="BW373" s="42">
        <f t="shared" ref="BW373:BY373" si="5650">BV373</f>
        <v>0</v>
      </c>
      <c r="BX373" s="42">
        <f t="shared" si="5650"/>
        <v>0</v>
      </c>
      <c r="BY373" s="42">
        <f t="shared" si="5650"/>
        <v>0</v>
      </c>
      <c r="BZ373" s="42"/>
      <c r="CA373" s="42">
        <f t="shared" ref="CA373:CC373" si="5651">BZ373</f>
        <v>0</v>
      </c>
      <c r="CB373" s="42">
        <f t="shared" si="5651"/>
        <v>0</v>
      </c>
      <c r="CC373" s="42">
        <f t="shared" si="5651"/>
        <v>0</v>
      </c>
      <c r="CD373" s="42"/>
      <c r="CE373" s="42">
        <f t="shared" ref="CE373:CG373" si="5652">CD373</f>
        <v>0</v>
      </c>
      <c r="CF373" s="42">
        <f t="shared" si="5652"/>
        <v>0</v>
      </c>
      <c r="CG373" s="42">
        <f t="shared" si="5652"/>
        <v>0</v>
      </c>
      <c r="CH373" s="42"/>
      <c r="CI373" s="42">
        <f t="shared" ref="CI373:CK373" si="5653">CH373</f>
        <v>0</v>
      </c>
      <c r="CJ373" s="42">
        <f t="shared" si="5653"/>
        <v>0</v>
      </c>
      <c r="CK373" s="42">
        <f t="shared" si="5653"/>
        <v>0</v>
      </c>
      <c r="CL373" s="42"/>
      <c r="CM373" s="42">
        <f t="shared" ref="CM373:CO373" si="5654">CL373</f>
        <v>0</v>
      </c>
      <c r="CN373" s="42">
        <f t="shared" si="5654"/>
        <v>0</v>
      </c>
      <c r="CO373" s="42">
        <f t="shared" si="5654"/>
        <v>0</v>
      </c>
      <c r="CP373" s="42"/>
      <c r="CQ373" s="42">
        <f t="shared" si="5623"/>
        <v>0</v>
      </c>
      <c r="CR373" s="42">
        <f t="shared" si="5624"/>
        <v>0</v>
      </c>
      <c r="CS373" s="42">
        <f t="shared" si="5625"/>
        <v>0</v>
      </c>
      <c r="CT373" s="42"/>
      <c r="CU373" s="42">
        <f t="shared" si="5626"/>
        <v>0</v>
      </c>
      <c r="CV373" s="42">
        <f t="shared" si="5627"/>
        <v>0</v>
      </c>
      <c r="CW373" s="42">
        <f t="shared" si="5628"/>
        <v>0</v>
      </c>
      <c r="CX373" s="42"/>
      <c r="CY373" s="42">
        <f t="shared" si="5629"/>
        <v>0</v>
      </c>
      <c r="CZ373" s="42">
        <f t="shared" si="5630"/>
        <v>0</v>
      </c>
      <c r="DA373" s="42">
        <f t="shared" si="5631"/>
        <v>0</v>
      </c>
      <c r="DB373" s="42"/>
      <c r="DC373" s="42">
        <f t="shared" si="5632"/>
        <v>0</v>
      </c>
      <c r="DD373" s="42">
        <f t="shared" si="5633"/>
        <v>0</v>
      </c>
      <c r="DE373" s="42">
        <f t="shared" si="5634"/>
        <v>0</v>
      </c>
      <c r="DF373" s="45">
        <f t="shared" si="4935"/>
        <v>0</v>
      </c>
    </row>
    <row r="374" spans="1:110" s="52" customFormat="1" ht="13.5" customHeight="1">
      <c r="A374" s="504">
        <v>191</v>
      </c>
      <c r="B374" s="456" t="s">
        <v>327</v>
      </c>
      <c r="C374" s="457" t="s">
        <v>265</v>
      </c>
      <c r="D374" s="458" t="s">
        <v>464</v>
      </c>
      <c r="E374" s="459"/>
      <c r="F374" s="453"/>
      <c r="G374" s="453"/>
      <c r="H374" s="454">
        <v>120000</v>
      </c>
      <c r="I374" s="219">
        <v>5000</v>
      </c>
      <c r="J374" s="42">
        <f>ROUND(H374/4*(1+取值表!$D$30)*取值表!$H$30,0)</f>
        <v>28400</v>
      </c>
      <c r="K374" s="42">
        <f t="shared" si="5602"/>
        <v>28400</v>
      </c>
      <c r="L374" s="42">
        <f t="shared" si="5602"/>
        <v>28400</v>
      </c>
      <c r="M374" s="42">
        <f t="shared" si="5602"/>
        <v>28400</v>
      </c>
      <c r="N374" s="42">
        <f>ROUND(M374*(1+取值表!$D$30)*取值表!$H$30,0)</f>
        <v>26885</v>
      </c>
      <c r="O374" s="42">
        <f t="shared" ref="O374:Q374" si="5655">N374</f>
        <v>26885</v>
      </c>
      <c r="P374" s="42">
        <f t="shared" si="5655"/>
        <v>26885</v>
      </c>
      <c r="Q374" s="42">
        <f t="shared" si="5655"/>
        <v>26885</v>
      </c>
      <c r="R374" s="42">
        <f>ROUND(Q374*(1+取值表!$D$30)*取值表!$H$30,0)</f>
        <v>25451</v>
      </c>
      <c r="S374" s="42">
        <f t="shared" ref="S374:U374" si="5656">R374</f>
        <v>25451</v>
      </c>
      <c r="T374" s="42">
        <f t="shared" si="5656"/>
        <v>25451</v>
      </c>
      <c r="U374" s="42">
        <f t="shared" si="5656"/>
        <v>25451</v>
      </c>
      <c r="V374" s="42">
        <f>ROUND(U374*(1+取值表!$D$30)*取值表!$H$30,0)</f>
        <v>24094</v>
      </c>
      <c r="W374" s="42">
        <f t="shared" ref="W374:Y374" si="5657">V374</f>
        <v>24094</v>
      </c>
      <c r="X374" s="42">
        <f t="shared" si="5657"/>
        <v>24094</v>
      </c>
      <c r="Y374" s="42">
        <f t="shared" si="5657"/>
        <v>24094</v>
      </c>
      <c r="Z374" s="42">
        <f>ROUND(Y374*(1+取值表!$D$30)*取值表!$H$30,0)</f>
        <v>22809</v>
      </c>
      <c r="AA374" s="42">
        <f t="shared" ref="AA374:AC374" si="5658">Z374</f>
        <v>22809</v>
      </c>
      <c r="AB374" s="42">
        <f t="shared" si="5658"/>
        <v>22809</v>
      </c>
      <c r="AC374" s="42">
        <f t="shared" si="5658"/>
        <v>22809</v>
      </c>
      <c r="AD374" s="42">
        <f>ROUND(AC374*(1+取值表!$D$30)*取值表!$H$30,0)</f>
        <v>21593</v>
      </c>
      <c r="AE374" s="42">
        <f t="shared" ref="AE374:AG374" si="5659">AD374</f>
        <v>21593</v>
      </c>
      <c r="AF374" s="42">
        <f t="shared" si="5659"/>
        <v>21593</v>
      </c>
      <c r="AG374" s="42">
        <f t="shared" si="5659"/>
        <v>21593</v>
      </c>
      <c r="AH374" s="42">
        <f>ROUND(AG374*(1+取值表!$D$30)*取值表!$H$30,0)</f>
        <v>20441</v>
      </c>
      <c r="AI374" s="42">
        <f t="shared" ref="AI374:AK374" si="5660">AH374</f>
        <v>20441</v>
      </c>
      <c r="AJ374" s="42">
        <f t="shared" si="5660"/>
        <v>20441</v>
      </c>
      <c r="AK374" s="42">
        <f t="shared" si="5660"/>
        <v>20441</v>
      </c>
      <c r="AL374" s="42">
        <f>ROUND(AK374*(1+取值表!$D$30)*取值表!$H$30,0)</f>
        <v>19351</v>
      </c>
      <c r="AM374" s="42">
        <f t="shared" ref="AM374:AO374" si="5661">AL374</f>
        <v>19351</v>
      </c>
      <c r="AN374" s="42">
        <f t="shared" si="5661"/>
        <v>19351</v>
      </c>
      <c r="AO374" s="42">
        <f t="shared" si="5661"/>
        <v>19351</v>
      </c>
      <c r="AP374" s="42">
        <f>ROUND(AO374*(1+取值表!$D$30)*取值表!$H$30,0)</f>
        <v>18319</v>
      </c>
      <c r="AQ374" s="42">
        <f t="shared" ref="AQ374:AS374" si="5662">AP374</f>
        <v>18319</v>
      </c>
      <c r="AR374" s="42">
        <f t="shared" si="5662"/>
        <v>18319</v>
      </c>
      <c r="AS374" s="42">
        <f t="shared" si="5662"/>
        <v>18319</v>
      </c>
      <c r="AT374" s="42">
        <f>ROUND(AS374*(1+取值表!$D$30)*取值表!$H$30,0)</f>
        <v>17342</v>
      </c>
      <c r="AU374" s="42">
        <f t="shared" ref="AU374:AW374" si="5663">AT374</f>
        <v>17342</v>
      </c>
      <c r="AV374" s="42">
        <f t="shared" si="5663"/>
        <v>17342</v>
      </c>
      <c r="AW374" s="42">
        <f t="shared" si="5663"/>
        <v>17342</v>
      </c>
      <c r="AX374" s="42">
        <f>ROUND(AW374*(1+取值表!$D$30)*取值表!$H$30,0)</f>
        <v>16417</v>
      </c>
      <c r="AY374" s="42">
        <f t="shared" ref="AY374:BA374" si="5664">AX374</f>
        <v>16417</v>
      </c>
      <c r="AZ374" s="42">
        <f t="shared" si="5664"/>
        <v>16417</v>
      </c>
      <c r="BA374" s="42">
        <f t="shared" si="5664"/>
        <v>16417</v>
      </c>
      <c r="BB374" s="42">
        <f>ROUND(BA374*(1+取值表!$D$30)*取值表!$H$30,0)</f>
        <v>15541</v>
      </c>
      <c r="BC374" s="42">
        <f t="shared" ref="BC374:BE374" si="5665">BB374</f>
        <v>15541</v>
      </c>
      <c r="BD374" s="42">
        <f t="shared" si="5665"/>
        <v>15541</v>
      </c>
      <c r="BE374" s="42">
        <f t="shared" si="5665"/>
        <v>15541</v>
      </c>
      <c r="BF374" s="42">
        <f>ROUND(BE374*(1+取值表!$D$30)*取值表!$H$30,0)</f>
        <v>14712</v>
      </c>
      <c r="BG374" s="42">
        <f t="shared" ref="BG374:BI374" si="5666">BF374</f>
        <v>14712</v>
      </c>
      <c r="BH374" s="42">
        <f t="shared" si="5666"/>
        <v>14712</v>
      </c>
      <c r="BI374" s="42">
        <f t="shared" si="5666"/>
        <v>14712</v>
      </c>
      <c r="BJ374" s="42">
        <f>ROUND(BI374*(1+取值表!$D$30)*取值表!$H$30,0)</f>
        <v>13927</v>
      </c>
      <c r="BK374" s="42">
        <f t="shared" ref="BK374:BM374" si="5667">BJ374</f>
        <v>13927</v>
      </c>
      <c r="BL374" s="42">
        <f t="shared" si="5667"/>
        <v>13927</v>
      </c>
      <c r="BM374" s="42">
        <f t="shared" si="5667"/>
        <v>13927</v>
      </c>
      <c r="BN374" s="42">
        <f>ROUND(BM374*(1+取值表!$D$30)*取值表!$H$30,0)</f>
        <v>13184</v>
      </c>
      <c r="BO374" s="42">
        <f t="shared" ref="BO374:BQ374" si="5668">BN374</f>
        <v>13184</v>
      </c>
      <c r="BP374" s="42">
        <f t="shared" si="5668"/>
        <v>13184</v>
      </c>
      <c r="BQ374" s="42">
        <f t="shared" si="5668"/>
        <v>13184</v>
      </c>
      <c r="BR374" s="42">
        <f>ROUND(BQ374*(1+取值表!$D$30)*取值表!$H$30,0)</f>
        <v>12481</v>
      </c>
      <c r="BS374" s="42">
        <f t="shared" ref="BS374:BU374" si="5669">BR374</f>
        <v>12481</v>
      </c>
      <c r="BT374" s="42">
        <f t="shared" si="5669"/>
        <v>12481</v>
      </c>
      <c r="BU374" s="42">
        <f t="shared" si="5669"/>
        <v>12481</v>
      </c>
      <c r="BV374" s="42">
        <f>ROUND(BU374*(1+取值表!$D$30)*取值表!$H$30,0)</f>
        <v>11815</v>
      </c>
      <c r="BW374" s="42">
        <f t="shared" ref="BW374:BY374" si="5670">BV374</f>
        <v>11815</v>
      </c>
      <c r="BX374" s="42">
        <f t="shared" si="5670"/>
        <v>11815</v>
      </c>
      <c r="BY374" s="42">
        <f t="shared" si="5670"/>
        <v>11815</v>
      </c>
      <c r="BZ374" s="42">
        <f>ROUND(BY374*(1+取值表!$D$30)*取值表!$H$30,0)</f>
        <v>11185</v>
      </c>
      <c r="CA374" s="42">
        <f t="shared" ref="CA374:CC374" si="5671">BZ374</f>
        <v>11185</v>
      </c>
      <c r="CB374" s="42">
        <f t="shared" si="5671"/>
        <v>11185</v>
      </c>
      <c r="CC374" s="42">
        <f t="shared" si="5671"/>
        <v>11185</v>
      </c>
      <c r="CD374" s="42">
        <f>ROUND(CC374*(1+取值表!$D$30)*取值表!$H$30,0)</f>
        <v>10589</v>
      </c>
      <c r="CE374" s="42">
        <f t="shared" ref="CE374:CG374" si="5672">CD374</f>
        <v>10589</v>
      </c>
      <c r="CF374" s="42">
        <f t="shared" si="5672"/>
        <v>10589</v>
      </c>
      <c r="CG374" s="42">
        <f t="shared" si="5672"/>
        <v>10589</v>
      </c>
      <c r="CH374" s="42">
        <f>ROUND(CG374*(1+取值表!$D$30)*取值表!$H$30,0)</f>
        <v>10024</v>
      </c>
      <c r="CI374" s="42">
        <f t="shared" ref="CI374:CK374" si="5673">CH374</f>
        <v>10024</v>
      </c>
      <c r="CJ374" s="42">
        <f t="shared" si="5673"/>
        <v>10024</v>
      </c>
      <c r="CK374" s="42">
        <f t="shared" si="5673"/>
        <v>10024</v>
      </c>
      <c r="CL374" s="42">
        <f>ROUND(CK374*(1+取值表!$D$30)*取值表!$H$30,0)</f>
        <v>9489</v>
      </c>
      <c r="CM374" s="42">
        <f t="shared" ref="CM374:CO374" si="5674">CL374</f>
        <v>9489</v>
      </c>
      <c r="CN374" s="42">
        <f t="shared" si="5674"/>
        <v>9489</v>
      </c>
      <c r="CO374" s="42">
        <f t="shared" si="5674"/>
        <v>9489</v>
      </c>
      <c r="CP374" s="42">
        <f>ROUND(CO374*(1+取值表!$D$30)*取值表!$H$30,0)</f>
        <v>8983</v>
      </c>
      <c r="CQ374" s="42">
        <f t="shared" si="5623"/>
        <v>8983</v>
      </c>
      <c r="CR374" s="42">
        <f t="shared" si="5624"/>
        <v>8983</v>
      </c>
      <c r="CS374" s="42">
        <f t="shared" si="5625"/>
        <v>8983</v>
      </c>
      <c r="CT374" s="42">
        <f>ROUND(CS374*(1+取值表!$D$30)*取值表!$H$30,0)</f>
        <v>8504</v>
      </c>
      <c r="CU374" s="42">
        <f t="shared" si="5626"/>
        <v>8504</v>
      </c>
      <c r="CV374" s="42">
        <f t="shared" si="5627"/>
        <v>8504</v>
      </c>
      <c r="CW374" s="42">
        <f t="shared" si="5628"/>
        <v>8504</v>
      </c>
      <c r="CX374" s="42">
        <f>ROUND(CW374*(1+取值表!$D$30)*取值表!$H$30,0)</f>
        <v>8050</v>
      </c>
      <c r="CY374" s="42">
        <f t="shared" si="5629"/>
        <v>8050</v>
      </c>
      <c r="CZ374" s="42">
        <f t="shared" si="5630"/>
        <v>8050</v>
      </c>
      <c r="DA374" s="42">
        <f t="shared" si="5631"/>
        <v>8050</v>
      </c>
      <c r="DB374" s="42">
        <f>ROUND(DA374*(1+取值表!$D$30)*取值表!$H$30,0)</f>
        <v>7621</v>
      </c>
      <c r="DC374" s="42">
        <f t="shared" si="5632"/>
        <v>7621</v>
      </c>
      <c r="DD374" s="42">
        <f t="shared" si="5633"/>
        <v>7621</v>
      </c>
      <c r="DE374" s="42">
        <f t="shared" si="5634"/>
        <v>7621</v>
      </c>
      <c r="DF374" s="45">
        <f t="shared" si="4935"/>
        <v>1588828</v>
      </c>
    </row>
    <row r="375" spans="1:110" s="52" customFormat="1" ht="12">
      <c r="A375" s="505"/>
      <c r="B375" s="456"/>
      <c r="C375" s="457"/>
      <c r="D375" s="458"/>
      <c r="E375" s="459"/>
      <c r="F375" s="453"/>
      <c r="G375" s="453"/>
      <c r="H375" s="454"/>
      <c r="I375" s="219"/>
      <c r="J375" s="42"/>
      <c r="K375" s="42">
        <f t="shared" si="5602"/>
        <v>0</v>
      </c>
      <c r="L375" s="42">
        <f t="shared" si="5602"/>
        <v>0</v>
      </c>
      <c r="M375" s="42">
        <f t="shared" si="5602"/>
        <v>0</v>
      </c>
      <c r="N375" s="42"/>
      <c r="O375" s="42">
        <f t="shared" ref="O375:Q375" si="5675">N375</f>
        <v>0</v>
      </c>
      <c r="P375" s="42">
        <f t="shared" si="5675"/>
        <v>0</v>
      </c>
      <c r="Q375" s="42">
        <f t="shared" si="5675"/>
        <v>0</v>
      </c>
      <c r="R375" s="42"/>
      <c r="S375" s="42">
        <f t="shared" ref="S375:U375" si="5676">R375</f>
        <v>0</v>
      </c>
      <c r="T375" s="42">
        <f t="shared" si="5676"/>
        <v>0</v>
      </c>
      <c r="U375" s="42">
        <f t="shared" si="5676"/>
        <v>0</v>
      </c>
      <c r="V375" s="42"/>
      <c r="W375" s="42">
        <f t="shared" ref="W375:Y375" si="5677">V375</f>
        <v>0</v>
      </c>
      <c r="X375" s="42">
        <f t="shared" si="5677"/>
        <v>0</v>
      </c>
      <c r="Y375" s="42">
        <f t="shared" si="5677"/>
        <v>0</v>
      </c>
      <c r="Z375" s="42"/>
      <c r="AA375" s="42">
        <f t="shared" ref="AA375:AC375" si="5678">Z375</f>
        <v>0</v>
      </c>
      <c r="AB375" s="42">
        <f t="shared" si="5678"/>
        <v>0</v>
      </c>
      <c r="AC375" s="42">
        <f t="shared" si="5678"/>
        <v>0</v>
      </c>
      <c r="AD375" s="42"/>
      <c r="AE375" s="42">
        <f t="shared" ref="AE375:AG375" si="5679">AD375</f>
        <v>0</v>
      </c>
      <c r="AF375" s="42">
        <f t="shared" si="5679"/>
        <v>0</v>
      </c>
      <c r="AG375" s="42">
        <f t="shared" si="5679"/>
        <v>0</v>
      </c>
      <c r="AH375" s="42"/>
      <c r="AI375" s="42">
        <f t="shared" ref="AI375:AK375" si="5680">AH375</f>
        <v>0</v>
      </c>
      <c r="AJ375" s="42">
        <f t="shared" si="5680"/>
        <v>0</v>
      </c>
      <c r="AK375" s="42">
        <f t="shared" si="5680"/>
        <v>0</v>
      </c>
      <c r="AL375" s="42"/>
      <c r="AM375" s="42">
        <f t="shared" ref="AM375:AO375" si="5681">AL375</f>
        <v>0</v>
      </c>
      <c r="AN375" s="42">
        <f t="shared" si="5681"/>
        <v>0</v>
      </c>
      <c r="AO375" s="42">
        <f t="shared" si="5681"/>
        <v>0</v>
      </c>
      <c r="AP375" s="42"/>
      <c r="AQ375" s="42">
        <f t="shared" ref="AQ375:AS375" si="5682">AP375</f>
        <v>0</v>
      </c>
      <c r="AR375" s="42">
        <f t="shared" si="5682"/>
        <v>0</v>
      </c>
      <c r="AS375" s="42">
        <f t="shared" si="5682"/>
        <v>0</v>
      </c>
      <c r="AT375" s="42"/>
      <c r="AU375" s="42">
        <f t="shared" ref="AU375:AW375" si="5683">AT375</f>
        <v>0</v>
      </c>
      <c r="AV375" s="42">
        <f t="shared" si="5683"/>
        <v>0</v>
      </c>
      <c r="AW375" s="42">
        <f t="shared" si="5683"/>
        <v>0</v>
      </c>
      <c r="AX375" s="42"/>
      <c r="AY375" s="42">
        <f t="shared" ref="AY375:BA375" si="5684">AX375</f>
        <v>0</v>
      </c>
      <c r="AZ375" s="42">
        <f t="shared" si="5684"/>
        <v>0</v>
      </c>
      <c r="BA375" s="42">
        <f t="shared" si="5684"/>
        <v>0</v>
      </c>
      <c r="BB375" s="42"/>
      <c r="BC375" s="42">
        <f t="shared" ref="BC375:BE375" si="5685">BB375</f>
        <v>0</v>
      </c>
      <c r="BD375" s="42">
        <f t="shared" si="5685"/>
        <v>0</v>
      </c>
      <c r="BE375" s="42">
        <f t="shared" si="5685"/>
        <v>0</v>
      </c>
      <c r="BF375" s="42"/>
      <c r="BG375" s="42">
        <f t="shared" ref="BG375:BI375" si="5686">BF375</f>
        <v>0</v>
      </c>
      <c r="BH375" s="42">
        <f t="shared" si="5686"/>
        <v>0</v>
      </c>
      <c r="BI375" s="42">
        <f t="shared" si="5686"/>
        <v>0</v>
      </c>
      <c r="BJ375" s="42"/>
      <c r="BK375" s="42">
        <f t="shared" ref="BK375:BM375" si="5687">BJ375</f>
        <v>0</v>
      </c>
      <c r="BL375" s="42">
        <f t="shared" si="5687"/>
        <v>0</v>
      </c>
      <c r="BM375" s="42">
        <f t="shared" si="5687"/>
        <v>0</v>
      </c>
      <c r="BN375" s="42"/>
      <c r="BO375" s="42">
        <f t="shared" ref="BO375:BQ375" si="5688">BN375</f>
        <v>0</v>
      </c>
      <c r="BP375" s="42">
        <f t="shared" si="5688"/>
        <v>0</v>
      </c>
      <c r="BQ375" s="42">
        <f t="shared" si="5688"/>
        <v>0</v>
      </c>
      <c r="BR375" s="42"/>
      <c r="BS375" s="42">
        <f t="shared" ref="BS375:BU375" si="5689">BR375</f>
        <v>0</v>
      </c>
      <c r="BT375" s="42">
        <f t="shared" si="5689"/>
        <v>0</v>
      </c>
      <c r="BU375" s="42">
        <f t="shared" si="5689"/>
        <v>0</v>
      </c>
      <c r="BV375" s="42"/>
      <c r="BW375" s="42">
        <f t="shared" ref="BW375:BY375" si="5690">BV375</f>
        <v>0</v>
      </c>
      <c r="BX375" s="42">
        <f t="shared" si="5690"/>
        <v>0</v>
      </c>
      <c r="BY375" s="42">
        <f t="shared" si="5690"/>
        <v>0</v>
      </c>
      <c r="BZ375" s="42"/>
      <c r="CA375" s="42">
        <f t="shared" ref="CA375:CC375" si="5691">BZ375</f>
        <v>0</v>
      </c>
      <c r="CB375" s="42">
        <f t="shared" si="5691"/>
        <v>0</v>
      </c>
      <c r="CC375" s="42">
        <f t="shared" si="5691"/>
        <v>0</v>
      </c>
      <c r="CD375" s="42"/>
      <c r="CE375" s="42">
        <f t="shared" ref="CE375:CG375" si="5692">CD375</f>
        <v>0</v>
      </c>
      <c r="CF375" s="42">
        <f t="shared" si="5692"/>
        <v>0</v>
      </c>
      <c r="CG375" s="42">
        <f t="shared" si="5692"/>
        <v>0</v>
      </c>
      <c r="CH375" s="42"/>
      <c r="CI375" s="42">
        <f t="shared" ref="CI375:CK375" si="5693">CH375</f>
        <v>0</v>
      </c>
      <c r="CJ375" s="42">
        <f t="shared" si="5693"/>
        <v>0</v>
      </c>
      <c r="CK375" s="42">
        <f t="shared" si="5693"/>
        <v>0</v>
      </c>
      <c r="CL375" s="42"/>
      <c r="CM375" s="42">
        <f t="shared" ref="CM375:CO375" si="5694">CL375</f>
        <v>0</v>
      </c>
      <c r="CN375" s="42">
        <f t="shared" si="5694"/>
        <v>0</v>
      </c>
      <c r="CO375" s="42">
        <f t="shared" si="5694"/>
        <v>0</v>
      </c>
      <c r="CP375" s="42"/>
      <c r="CQ375" s="42">
        <f t="shared" si="5623"/>
        <v>0</v>
      </c>
      <c r="CR375" s="42">
        <f t="shared" si="5624"/>
        <v>0</v>
      </c>
      <c r="CS375" s="42">
        <f t="shared" si="5625"/>
        <v>0</v>
      </c>
      <c r="CT375" s="42"/>
      <c r="CU375" s="42">
        <f t="shared" si="5626"/>
        <v>0</v>
      </c>
      <c r="CV375" s="42">
        <f t="shared" si="5627"/>
        <v>0</v>
      </c>
      <c r="CW375" s="42">
        <f t="shared" si="5628"/>
        <v>0</v>
      </c>
      <c r="CX375" s="42"/>
      <c r="CY375" s="42">
        <f t="shared" si="5629"/>
        <v>0</v>
      </c>
      <c r="CZ375" s="42">
        <f t="shared" si="5630"/>
        <v>0</v>
      </c>
      <c r="DA375" s="42">
        <f t="shared" si="5631"/>
        <v>0</v>
      </c>
      <c r="DB375" s="42"/>
      <c r="DC375" s="42">
        <f t="shared" si="5632"/>
        <v>0</v>
      </c>
      <c r="DD375" s="42">
        <f t="shared" si="5633"/>
        <v>0</v>
      </c>
      <c r="DE375" s="42">
        <f t="shared" si="5634"/>
        <v>0</v>
      </c>
      <c r="DF375" s="45">
        <f t="shared" si="4935"/>
        <v>0</v>
      </c>
    </row>
    <row r="376" spans="1:110" s="52" customFormat="1" ht="12">
      <c r="A376" s="504">
        <v>192</v>
      </c>
      <c r="B376" s="456" t="s">
        <v>328</v>
      </c>
      <c r="C376" s="457" t="s">
        <v>329</v>
      </c>
      <c r="D376" s="458" t="s">
        <v>543</v>
      </c>
      <c r="E376" s="459"/>
      <c r="F376" s="453"/>
      <c r="G376" s="453"/>
      <c r="H376" s="454">
        <v>96000</v>
      </c>
      <c r="I376" s="219">
        <v>5000</v>
      </c>
      <c r="J376" s="42">
        <f>ROUND(H376/4*(1+取值表!$D$30)*取值表!$H$30,0)</f>
        <v>22720</v>
      </c>
      <c r="K376" s="42">
        <f t="shared" si="5602"/>
        <v>22720</v>
      </c>
      <c r="L376" s="42">
        <f t="shared" si="5602"/>
        <v>22720</v>
      </c>
      <c r="M376" s="42">
        <f t="shared" si="5602"/>
        <v>22720</v>
      </c>
      <c r="N376" s="42">
        <f>ROUND(M376*(1+取值表!$D$30)*取值表!$H$30,0)</f>
        <v>21508</v>
      </c>
      <c r="O376" s="42">
        <f t="shared" ref="O376:Q376" si="5695">N376</f>
        <v>21508</v>
      </c>
      <c r="P376" s="42">
        <f t="shared" si="5695"/>
        <v>21508</v>
      </c>
      <c r="Q376" s="42">
        <f t="shared" si="5695"/>
        <v>21508</v>
      </c>
      <c r="R376" s="42">
        <f>ROUND(Q376*(1+取值表!$D$30)*取值表!$H$30,0)</f>
        <v>20361</v>
      </c>
      <c r="S376" s="42">
        <f t="shared" ref="S376:U376" si="5696">R376</f>
        <v>20361</v>
      </c>
      <c r="T376" s="42">
        <f t="shared" si="5696"/>
        <v>20361</v>
      </c>
      <c r="U376" s="42">
        <f t="shared" si="5696"/>
        <v>20361</v>
      </c>
      <c r="V376" s="42">
        <f>ROUND(U376*(1+取值表!$D$30)*取值表!$H$30,0)</f>
        <v>19275</v>
      </c>
      <c r="W376" s="42">
        <f t="shared" ref="W376:Y376" si="5697">V376</f>
        <v>19275</v>
      </c>
      <c r="X376" s="42">
        <f t="shared" si="5697"/>
        <v>19275</v>
      </c>
      <c r="Y376" s="42">
        <f t="shared" si="5697"/>
        <v>19275</v>
      </c>
      <c r="Z376" s="42">
        <f>ROUND(Y376*(1+取值表!$D$30)*取值表!$H$30,0)</f>
        <v>18247</v>
      </c>
      <c r="AA376" s="42">
        <f t="shared" ref="AA376:AC376" si="5698">Z376</f>
        <v>18247</v>
      </c>
      <c r="AB376" s="42">
        <f t="shared" si="5698"/>
        <v>18247</v>
      </c>
      <c r="AC376" s="42">
        <f t="shared" si="5698"/>
        <v>18247</v>
      </c>
      <c r="AD376" s="42">
        <f>ROUND(AC376*(1+取值表!$D$30)*取值表!$H$30,0)</f>
        <v>17274</v>
      </c>
      <c r="AE376" s="42">
        <f t="shared" ref="AE376:AG376" si="5699">AD376</f>
        <v>17274</v>
      </c>
      <c r="AF376" s="42">
        <f t="shared" si="5699"/>
        <v>17274</v>
      </c>
      <c r="AG376" s="42">
        <f t="shared" si="5699"/>
        <v>17274</v>
      </c>
      <c r="AH376" s="42">
        <f>ROUND(AG376*(1+取值表!$D$30)*取值表!$H$30,0)</f>
        <v>16353</v>
      </c>
      <c r="AI376" s="42">
        <f t="shared" ref="AI376:AK376" si="5700">AH376</f>
        <v>16353</v>
      </c>
      <c r="AJ376" s="42">
        <f t="shared" si="5700"/>
        <v>16353</v>
      </c>
      <c r="AK376" s="42">
        <f t="shared" si="5700"/>
        <v>16353</v>
      </c>
      <c r="AL376" s="42">
        <f>ROUND(AK376*(1+取值表!$D$30)*取值表!$H$30,0)</f>
        <v>15481</v>
      </c>
      <c r="AM376" s="42">
        <f t="shared" ref="AM376:AO376" si="5701">AL376</f>
        <v>15481</v>
      </c>
      <c r="AN376" s="42">
        <f t="shared" si="5701"/>
        <v>15481</v>
      </c>
      <c r="AO376" s="42">
        <f t="shared" si="5701"/>
        <v>15481</v>
      </c>
      <c r="AP376" s="42">
        <f>ROUND(AO376*(1+取值表!$D$30)*取值表!$H$30,0)</f>
        <v>14655</v>
      </c>
      <c r="AQ376" s="42">
        <f t="shared" ref="AQ376:AS376" si="5702">AP376</f>
        <v>14655</v>
      </c>
      <c r="AR376" s="42">
        <f t="shared" si="5702"/>
        <v>14655</v>
      </c>
      <c r="AS376" s="42">
        <f t="shared" si="5702"/>
        <v>14655</v>
      </c>
      <c r="AT376" s="42">
        <f>ROUND(AS376*(1+取值表!$D$30)*取值表!$H$30,0)</f>
        <v>13873</v>
      </c>
      <c r="AU376" s="42">
        <f t="shared" ref="AU376:AW376" si="5703">AT376</f>
        <v>13873</v>
      </c>
      <c r="AV376" s="42">
        <f t="shared" si="5703"/>
        <v>13873</v>
      </c>
      <c r="AW376" s="42">
        <f t="shared" si="5703"/>
        <v>13873</v>
      </c>
      <c r="AX376" s="42">
        <f>ROUND(AW376*(1+取值表!$D$30)*取值表!$H$30,0)</f>
        <v>13133</v>
      </c>
      <c r="AY376" s="42">
        <f t="shared" ref="AY376:BA376" si="5704">AX376</f>
        <v>13133</v>
      </c>
      <c r="AZ376" s="42">
        <f t="shared" si="5704"/>
        <v>13133</v>
      </c>
      <c r="BA376" s="42">
        <f t="shared" si="5704"/>
        <v>13133</v>
      </c>
      <c r="BB376" s="42">
        <f>ROUND(BA376*(1+取值表!$D$30)*取值表!$H$30,0)</f>
        <v>12433</v>
      </c>
      <c r="BC376" s="42">
        <f t="shared" ref="BC376:BE376" si="5705">BB376</f>
        <v>12433</v>
      </c>
      <c r="BD376" s="42">
        <f t="shared" si="5705"/>
        <v>12433</v>
      </c>
      <c r="BE376" s="42">
        <f t="shared" si="5705"/>
        <v>12433</v>
      </c>
      <c r="BF376" s="42">
        <f>ROUND(BE376*(1+取值表!$D$30)*取值表!$H$30,0)</f>
        <v>11770</v>
      </c>
      <c r="BG376" s="42">
        <f t="shared" ref="BG376:BI376" si="5706">BF376</f>
        <v>11770</v>
      </c>
      <c r="BH376" s="42">
        <f t="shared" si="5706"/>
        <v>11770</v>
      </c>
      <c r="BI376" s="42">
        <f t="shared" si="5706"/>
        <v>11770</v>
      </c>
      <c r="BJ376" s="42">
        <f>ROUND(BI376*(1+取值表!$D$30)*取值表!$H$30,0)</f>
        <v>11142</v>
      </c>
      <c r="BK376" s="42">
        <f t="shared" ref="BK376:BM376" si="5707">BJ376</f>
        <v>11142</v>
      </c>
      <c r="BL376" s="42">
        <f t="shared" si="5707"/>
        <v>11142</v>
      </c>
      <c r="BM376" s="42">
        <f t="shared" si="5707"/>
        <v>11142</v>
      </c>
      <c r="BN376" s="42">
        <f>ROUND(BM376*(1+取值表!$D$30)*取值表!$H$30,0)</f>
        <v>10548</v>
      </c>
      <c r="BO376" s="42">
        <f t="shared" ref="BO376:BQ376" si="5708">BN376</f>
        <v>10548</v>
      </c>
      <c r="BP376" s="42">
        <f t="shared" si="5708"/>
        <v>10548</v>
      </c>
      <c r="BQ376" s="42">
        <f t="shared" si="5708"/>
        <v>10548</v>
      </c>
      <c r="BR376" s="42">
        <f>ROUND(BQ376*(1+取值表!$D$30)*取值表!$H$30,0)</f>
        <v>9985</v>
      </c>
      <c r="BS376" s="42">
        <f t="shared" ref="BS376:BU376" si="5709">BR376</f>
        <v>9985</v>
      </c>
      <c r="BT376" s="42">
        <f t="shared" si="5709"/>
        <v>9985</v>
      </c>
      <c r="BU376" s="42">
        <f t="shared" si="5709"/>
        <v>9985</v>
      </c>
      <c r="BV376" s="42">
        <f>ROUND(BU376*(1+取值表!$D$30)*取值表!$H$30,0)</f>
        <v>9453</v>
      </c>
      <c r="BW376" s="42">
        <f t="shared" ref="BW376:BY376" si="5710">BV376</f>
        <v>9453</v>
      </c>
      <c r="BX376" s="42">
        <f t="shared" si="5710"/>
        <v>9453</v>
      </c>
      <c r="BY376" s="42">
        <f t="shared" si="5710"/>
        <v>9453</v>
      </c>
      <c r="BZ376" s="42">
        <f>ROUND(BY376*(1+取值表!$D$30)*取值表!$H$30,0)</f>
        <v>8949</v>
      </c>
      <c r="CA376" s="42">
        <f t="shared" ref="CA376:CC376" si="5711">BZ376</f>
        <v>8949</v>
      </c>
      <c r="CB376" s="42">
        <f t="shared" si="5711"/>
        <v>8949</v>
      </c>
      <c r="CC376" s="42">
        <f t="shared" si="5711"/>
        <v>8949</v>
      </c>
      <c r="CD376" s="42">
        <f>ROUND(CC376*(1+取值表!$D$30)*取值表!$H$30,0)</f>
        <v>8472</v>
      </c>
      <c r="CE376" s="42">
        <f t="shared" ref="CE376:CG376" si="5712">CD376</f>
        <v>8472</v>
      </c>
      <c r="CF376" s="42">
        <f t="shared" si="5712"/>
        <v>8472</v>
      </c>
      <c r="CG376" s="42">
        <f t="shared" si="5712"/>
        <v>8472</v>
      </c>
      <c r="CH376" s="42">
        <f>ROUND(CG376*(1+取值表!$D$30)*取值表!$H$30,0)</f>
        <v>8020</v>
      </c>
      <c r="CI376" s="42">
        <f t="shared" ref="CI376:CK376" si="5713">CH376</f>
        <v>8020</v>
      </c>
      <c r="CJ376" s="42">
        <f t="shared" si="5713"/>
        <v>8020</v>
      </c>
      <c r="CK376" s="42">
        <f t="shared" si="5713"/>
        <v>8020</v>
      </c>
      <c r="CL376" s="42">
        <f>ROUND(CK376*(1+取值表!$D$30)*取值表!$H$30,0)</f>
        <v>7592</v>
      </c>
      <c r="CM376" s="42">
        <f t="shared" ref="CM376:CO376" si="5714">CL376</f>
        <v>7592</v>
      </c>
      <c r="CN376" s="42">
        <f t="shared" si="5714"/>
        <v>7592</v>
      </c>
      <c r="CO376" s="42">
        <f t="shared" si="5714"/>
        <v>7592</v>
      </c>
      <c r="CP376" s="42">
        <f>ROUND(CO376*(1+取值表!$D$30)*取值表!$H$30,0)</f>
        <v>7187</v>
      </c>
      <c r="CQ376" s="42">
        <f t="shared" si="5623"/>
        <v>7187</v>
      </c>
      <c r="CR376" s="42">
        <f t="shared" si="5624"/>
        <v>7187</v>
      </c>
      <c r="CS376" s="42">
        <f t="shared" si="5625"/>
        <v>7187</v>
      </c>
      <c r="CT376" s="42">
        <f>ROUND(CS376*(1+取值表!$D$30)*取值表!$H$30,0)</f>
        <v>6804</v>
      </c>
      <c r="CU376" s="42">
        <f t="shared" si="5626"/>
        <v>6804</v>
      </c>
      <c r="CV376" s="42">
        <f t="shared" si="5627"/>
        <v>6804</v>
      </c>
      <c r="CW376" s="42">
        <f t="shared" si="5628"/>
        <v>6804</v>
      </c>
      <c r="CX376" s="42">
        <f>ROUND(CW376*(1+取值表!$D$30)*取值表!$H$30,0)</f>
        <v>6441</v>
      </c>
      <c r="CY376" s="42">
        <f t="shared" si="5629"/>
        <v>6441</v>
      </c>
      <c r="CZ376" s="42">
        <f t="shared" si="5630"/>
        <v>6441</v>
      </c>
      <c r="DA376" s="42">
        <f t="shared" si="5631"/>
        <v>6441</v>
      </c>
      <c r="DB376" s="42">
        <f>ROUND(DA376*(1+取值表!$D$30)*取值表!$H$30,0)</f>
        <v>6098</v>
      </c>
      <c r="DC376" s="42">
        <f t="shared" si="5632"/>
        <v>6098</v>
      </c>
      <c r="DD376" s="42">
        <f t="shared" si="5633"/>
        <v>6098</v>
      </c>
      <c r="DE376" s="42">
        <f t="shared" si="5634"/>
        <v>6098</v>
      </c>
      <c r="DF376" s="45">
        <f t="shared" si="4935"/>
        <v>1271096</v>
      </c>
    </row>
    <row r="377" spans="1:110" s="52" customFormat="1" ht="12">
      <c r="A377" s="505"/>
      <c r="B377" s="456"/>
      <c r="C377" s="457"/>
      <c r="D377" s="458"/>
      <c r="E377" s="459"/>
      <c r="F377" s="453"/>
      <c r="G377" s="453"/>
      <c r="H377" s="454"/>
      <c r="I377" s="219"/>
      <c r="J377" s="42"/>
      <c r="K377" s="42">
        <f t="shared" si="5602"/>
        <v>0</v>
      </c>
      <c r="L377" s="42">
        <f t="shared" si="5602"/>
        <v>0</v>
      </c>
      <c r="M377" s="42">
        <f t="shared" si="5602"/>
        <v>0</v>
      </c>
      <c r="N377" s="42"/>
      <c r="O377" s="42">
        <f t="shared" ref="O377:Q377" si="5715">N377</f>
        <v>0</v>
      </c>
      <c r="P377" s="42">
        <f t="shared" si="5715"/>
        <v>0</v>
      </c>
      <c r="Q377" s="42">
        <f t="shared" si="5715"/>
        <v>0</v>
      </c>
      <c r="R377" s="42"/>
      <c r="S377" s="42">
        <f t="shared" ref="S377:U377" si="5716">R377</f>
        <v>0</v>
      </c>
      <c r="T377" s="42">
        <f t="shared" si="5716"/>
        <v>0</v>
      </c>
      <c r="U377" s="42">
        <f t="shared" si="5716"/>
        <v>0</v>
      </c>
      <c r="V377" s="42"/>
      <c r="W377" s="42">
        <f t="shared" ref="W377:Y377" si="5717">V377</f>
        <v>0</v>
      </c>
      <c r="X377" s="42">
        <f t="shared" si="5717"/>
        <v>0</v>
      </c>
      <c r="Y377" s="42">
        <f t="shared" si="5717"/>
        <v>0</v>
      </c>
      <c r="Z377" s="42"/>
      <c r="AA377" s="42">
        <f t="shared" ref="AA377:AC377" si="5718">Z377</f>
        <v>0</v>
      </c>
      <c r="AB377" s="42">
        <f t="shared" si="5718"/>
        <v>0</v>
      </c>
      <c r="AC377" s="42">
        <f t="shared" si="5718"/>
        <v>0</v>
      </c>
      <c r="AD377" s="42"/>
      <c r="AE377" s="42">
        <f t="shared" ref="AE377:AG377" si="5719">AD377</f>
        <v>0</v>
      </c>
      <c r="AF377" s="42">
        <f t="shared" si="5719"/>
        <v>0</v>
      </c>
      <c r="AG377" s="42">
        <f t="shared" si="5719"/>
        <v>0</v>
      </c>
      <c r="AH377" s="42"/>
      <c r="AI377" s="42">
        <f t="shared" ref="AI377:AK377" si="5720">AH377</f>
        <v>0</v>
      </c>
      <c r="AJ377" s="42">
        <f t="shared" si="5720"/>
        <v>0</v>
      </c>
      <c r="AK377" s="42">
        <f t="shared" si="5720"/>
        <v>0</v>
      </c>
      <c r="AL377" s="42"/>
      <c r="AM377" s="42">
        <f t="shared" ref="AM377:AO377" si="5721">AL377</f>
        <v>0</v>
      </c>
      <c r="AN377" s="42">
        <f t="shared" si="5721"/>
        <v>0</v>
      </c>
      <c r="AO377" s="42">
        <f t="shared" si="5721"/>
        <v>0</v>
      </c>
      <c r="AP377" s="42"/>
      <c r="AQ377" s="42">
        <f t="shared" ref="AQ377:AS377" si="5722">AP377</f>
        <v>0</v>
      </c>
      <c r="AR377" s="42">
        <f t="shared" si="5722"/>
        <v>0</v>
      </c>
      <c r="AS377" s="42">
        <f t="shared" si="5722"/>
        <v>0</v>
      </c>
      <c r="AT377" s="42"/>
      <c r="AU377" s="42">
        <f t="shared" ref="AU377:AW377" si="5723">AT377</f>
        <v>0</v>
      </c>
      <c r="AV377" s="42">
        <f t="shared" si="5723"/>
        <v>0</v>
      </c>
      <c r="AW377" s="42">
        <f t="shared" si="5723"/>
        <v>0</v>
      </c>
      <c r="AX377" s="42"/>
      <c r="AY377" s="42">
        <f t="shared" ref="AY377:BA377" si="5724">AX377</f>
        <v>0</v>
      </c>
      <c r="AZ377" s="42">
        <f t="shared" si="5724"/>
        <v>0</v>
      </c>
      <c r="BA377" s="42">
        <f t="shared" si="5724"/>
        <v>0</v>
      </c>
      <c r="BB377" s="42"/>
      <c r="BC377" s="42">
        <f t="shared" ref="BC377:BE377" si="5725">BB377</f>
        <v>0</v>
      </c>
      <c r="BD377" s="42">
        <f t="shared" si="5725"/>
        <v>0</v>
      </c>
      <c r="BE377" s="42">
        <f t="shared" si="5725"/>
        <v>0</v>
      </c>
      <c r="BF377" s="42"/>
      <c r="BG377" s="42">
        <f t="shared" ref="BG377:BI377" si="5726">BF377</f>
        <v>0</v>
      </c>
      <c r="BH377" s="42">
        <f t="shared" si="5726"/>
        <v>0</v>
      </c>
      <c r="BI377" s="42">
        <f t="shared" si="5726"/>
        <v>0</v>
      </c>
      <c r="BJ377" s="42"/>
      <c r="BK377" s="42">
        <f t="shared" ref="BK377:BM377" si="5727">BJ377</f>
        <v>0</v>
      </c>
      <c r="BL377" s="42">
        <f t="shared" si="5727"/>
        <v>0</v>
      </c>
      <c r="BM377" s="42">
        <f t="shared" si="5727"/>
        <v>0</v>
      </c>
      <c r="BN377" s="42"/>
      <c r="BO377" s="42">
        <f t="shared" ref="BO377:BQ377" si="5728">BN377</f>
        <v>0</v>
      </c>
      <c r="BP377" s="42">
        <f t="shared" si="5728"/>
        <v>0</v>
      </c>
      <c r="BQ377" s="42">
        <f t="shared" si="5728"/>
        <v>0</v>
      </c>
      <c r="BR377" s="42"/>
      <c r="BS377" s="42">
        <f t="shared" ref="BS377:BU377" si="5729">BR377</f>
        <v>0</v>
      </c>
      <c r="BT377" s="42">
        <f t="shared" si="5729"/>
        <v>0</v>
      </c>
      <c r="BU377" s="42">
        <f t="shared" si="5729"/>
        <v>0</v>
      </c>
      <c r="BV377" s="42"/>
      <c r="BW377" s="42">
        <f t="shared" ref="BW377:BY377" si="5730">BV377</f>
        <v>0</v>
      </c>
      <c r="BX377" s="42">
        <f t="shared" si="5730"/>
        <v>0</v>
      </c>
      <c r="BY377" s="42">
        <f t="shared" si="5730"/>
        <v>0</v>
      </c>
      <c r="BZ377" s="42"/>
      <c r="CA377" s="42">
        <f t="shared" ref="CA377:CC377" si="5731">BZ377</f>
        <v>0</v>
      </c>
      <c r="CB377" s="42">
        <f t="shared" si="5731"/>
        <v>0</v>
      </c>
      <c r="CC377" s="42">
        <f t="shared" si="5731"/>
        <v>0</v>
      </c>
      <c r="CD377" s="42"/>
      <c r="CE377" s="42">
        <f t="shared" ref="CE377:CG377" si="5732">CD377</f>
        <v>0</v>
      </c>
      <c r="CF377" s="42">
        <f t="shared" si="5732"/>
        <v>0</v>
      </c>
      <c r="CG377" s="42">
        <f t="shared" si="5732"/>
        <v>0</v>
      </c>
      <c r="CH377" s="42"/>
      <c r="CI377" s="42">
        <f t="shared" ref="CI377:CK377" si="5733">CH377</f>
        <v>0</v>
      </c>
      <c r="CJ377" s="42">
        <f t="shared" si="5733"/>
        <v>0</v>
      </c>
      <c r="CK377" s="42">
        <f t="shared" si="5733"/>
        <v>0</v>
      </c>
      <c r="CL377" s="42"/>
      <c r="CM377" s="42">
        <f t="shared" ref="CM377:CO377" si="5734">CL377</f>
        <v>0</v>
      </c>
      <c r="CN377" s="42">
        <f t="shared" si="5734"/>
        <v>0</v>
      </c>
      <c r="CO377" s="42">
        <f t="shared" si="5734"/>
        <v>0</v>
      </c>
      <c r="CP377" s="42"/>
      <c r="CQ377" s="42">
        <f t="shared" si="5623"/>
        <v>0</v>
      </c>
      <c r="CR377" s="42">
        <f t="shared" si="5624"/>
        <v>0</v>
      </c>
      <c r="CS377" s="42">
        <f t="shared" si="5625"/>
        <v>0</v>
      </c>
      <c r="CT377" s="42"/>
      <c r="CU377" s="42">
        <f t="shared" si="5626"/>
        <v>0</v>
      </c>
      <c r="CV377" s="42">
        <f t="shared" si="5627"/>
        <v>0</v>
      </c>
      <c r="CW377" s="42">
        <f t="shared" si="5628"/>
        <v>0</v>
      </c>
      <c r="CX377" s="42"/>
      <c r="CY377" s="42">
        <f t="shared" si="5629"/>
        <v>0</v>
      </c>
      <c r="CZ377" s="42">
        <f t="shared" si="5630"/>
        <v>0</v>
      </c>
      <c r="DA377" s="42">
        <f t="shared" si="5631"/>
        <v>0</v>
      </c>
      <c r="DB377" s="42"/>
      <c r="DC377" s="42">
        <f t="shared" si="5632"/>
        <v>0</v>
      </c>
      <c r="DD377" s="42">
        <f t="shared" si="5633"/>
        <v>0</v>
      </c>
      <c r="DE377" s="42">
        <f t="shared" si="5634"/>
        <v>0</v>
      </c>
      <c r="DF377" s="45">
        <f t="shared" si="4935"/>
        <v>0</v>
      </c>
    </row>
    <row r="378" spans="1:110" s="52" customFormat="1" ht="13.5" customHeight="1">
      <c r="A378" s="504">
        <v>193</v>
      </c>
      <c r="B378" s="456" t="s">
        <v>330</v>
      </c>
      <c r="C378" s="457" t="s">
        <v>83</v>
      </c>
      <c r="D378" s="458" t="s">
        <v>541</v>
      </c>
      <c r="E378" s="459"/>
      <c r="F378" s="453"/>
      <c r="G378" s="453"/>
      <c r="H378" s="454">
        <v>96000</v>
      </c>
      <c r="I378" s="219">
        <v>5000</v>
      </c>
      <c r="J378" s="42">
        <f>ROUND(H378/4*(1+取值表!$D$30)*取值表!$H$30,0)</f>
        <v>22720</v>
      </c>
      <c r="K378" s="42">
        <f t="shared" si="5602"/>
        <v>22720</v>
      </c>
      <c r="L378" s="42">
        <f t="shared" si="5602"/>
        <v>22720</v>
      </c>
      <c r="M378" s="42">
        <f t="shared" si="5602"/>
        <v>22720</v>
      </c>
      <c r="N378" s="42">
        <f>ROUND(M378*(1+取值表!$D$30)*取值表!$H$30,0)</f>
        <v>21508</v>
      </c>
      <c r="O378" s="42">
        <f t="shared" ref="O378:Q378" si="5735">N378</f>
        <v>21508</v>
      </c>
      <c r="P378" s="42">
        <f t="shared" si="5735"/>
        <v>21508</v>
      </c>
      <c r="Q378" s="42">
        <f t="shared" si="5735"/>
        <v>21508</v>
      </c>
      <c r="R378" s="42">
        <f>ROUND(Q378*(1+取值表!$D$30)*取值表!$H$30,0)</f>
        <v>20361</v>
      </c>
      <c r="S378" s="42">
        <f t="shared" ref="S378:U378" si="5736">R378</f>
        <v>20361</v>
      </c>
      <c r="T378" s="42">
        <f t="shared" si="5736"/>
        <v>20361</v>
      </c>
      <c r="U378" s="42">
        <f t="shared" si="5736"/>
        <v>20361</v>
      </c>
      <c r="V378" s="42">
        <f>ROUND(U378*(1+取值表!$D$30)*取值表!$H$30,0)</f>
        <v>19275</v>
      </c>
      <c r="W378" s="42">
        <f t="shared" ref="W378:Y378" si="5737">V378</f>
        <v>19275</v>
      </c>
      <c r="X378" s="42">
        <f t="shared" si="5737"/>
        <v>19275</v>
      </c>
      <c r="Y378" s="42">
        <f t="shared" si="5737"/>
        <v>19275</v>
      </c>
      <c r="Z378" s="42">
        <f>ROUND(Y378*(1+取值表!$D$30)*取值表!$H$30,0)</f>
        <v>18247</v>
      </c>
      <c r="AA378" s="42">
        <f t="shared" ref="AA378:AC378" si="5738">Z378</f>
        <v>18247</v>
      </c>
      <c r="AB378" s="42">
        <f t="shared" si="5738"/>
        <v>18247</v>
      </c>
      <c r="AC378" s="42">
        <f t="shared" si="5738"/>
        <v>18247</v>
      </c>
      <c r="AD378" s="42">
        <f>ROUND(AC378*(1+取值表!$D$30)*取值表!$H$30,0)</f>
        <v>17274</v>
      </c>
      <c r="AE378" s="42">
        <f t="shared" ref="AE378:AG378" si="5739">AD378</f>
        <v>17274</v>
      </c>
      <c r="AF378" s="42">
        <f t="shared" si="5739"/>
        <v>17274</v>
      </c>
      <c r="AG378" s="42">
        <f t="shared" si="5739"/>
        <v>17274</v>
      </c>
      <c r="AH378" s="42">
        <f>ROUND(AG378*(1+取值表!$D$30)*取值表!$H$30,0)</f>
        <v>16353</v>
      </c>
      <c r="AI378" s="42">
        <f t="shared" ref="AI378:AK378" si="5740">AH378</f>
        <v>16353</v>
      </c>
      <c r="AJ378" s="42">
        <f t="shared" si="5740"/>
        <v>16353</v>
      </c>
      <c r="AK378" s="42">
        <f t="shared" si="5740"/>
        <v>16353</v>
      </c>
      <c r="AL378" s="42">
        <f>ROUND(AK378*(1+取值表!$D$30)*取值表!$H$30,0)</f>
        <v>15481</v>
      </c>
      <c r="AM378" s="42">
        <f t="shared" ref="AM378:AO378" si="5741">AL378</f>
        <v>15481</v>
      </c>
      <c r="AN378" s="42">
        <f t="shared" si="5741"/>
        <v>15481</v>
      </c>
      <c r="AO378" s="42">
        <f t="shared" si="5741"/>
        <v>15481</v>
      </c>
      <c r="AP378" s="42">
        <f>ROUND(AO378*(1+取值表!$D$30)*取值表!$H$30,0)</f>
        <v>14655</v>
      </c>
      <c r="AQ378" s="42">
        <f t="shared" ref="AQ378:AS378" si="5742">AP378</f>
        <v>14655</v>
      </c>
      <c r="AR378" s="42">
        <f t="shared" si="5742"/>
        <v>14655</v>
      </c>
      <c r="AS378" s="42">
        <f t="shared" si="5742"/>
        <v>14655</v>
      </c>
      <c r="AT378" s="42">
        <f>ROUND(AS378*(1+取值表!$D$30)*取值表!$H$30,0)</f>
        <v>13873</v>
      </c>
      <c r="AU378" s="42">
        <f t="shared" ref="AU378:AW378" si="5743">AT378</f>
        <v>13873</v>
      </c>
      <c r="AV378" s="42">
        <f t="shared" si="5743"/>
        <v>13873</v>
      </c>
      <c r="AW378" s="42">
        <f t="shared" si="5743"/>
        <v>13873</v>
      </c>
      <c r="AX378" s="42">
        <f>ROUND(AW378*(1+取值表!$D$30)*取值表!$H$30,0)</f>
        <v>13133</v>
      </c>
      <c r="AY378" s="42">
        <f t="shared" ref="AY378:BA378" si="5744">AX378</f>
        <v>13133</v>
      </c>
      <c r="AZ378" s="42">
        <f t="shared" si="5744"/>
        <v>13133</v>
      </c>
      <c r="BA378" s="42">
        <f t="shared" si="5744"/>
        <v>13133</v>
      </c>
      <c r="BB378" s="42">
        <f>ROUND(BA378*(1+取值表!$D$30)*取值表!$H$30,0)</f>
        <v>12433</v>
      </c>
      <c r="BC378" s="42">
        <f t="shared" ref="BC378:BE378" si="5745">BB378</f>
        <v>12433</v>
      </c>
      <c r="BD378" s="42">
        <f t="shared" si="5745"/>
        <v>12433</v>
      </c>
      <c r="BE378" s="42">
        <f t="shared" si="5745"/>
        <v>12433</v>
      </c>
      <c r="BF378" s="42">
        <f>ROUND(BE378*(1+取值表!$D$30)*取值表!$H$30,0)</f>
        <v>11770</v>
      </c>
      <c r="BG378" s="42">
        <f t="shared" ref="BG378:BI378" si="5746">BF378</f>
        <v>11770</v>
      </c>
      <c r="BH378" s="42">
        <f t="shared" si="5746"/>
        <v>11770</v>
      </c>
      <c r="BI378" s="42">
        <f t="shared" si="5746"/>
        <v>11770</v>
      </c>
      <c r="BJ378" s="42">
        <f>ROUND(BI378*(1+取值表!$D$30)*取值表!$H$30,0)</f>
        <v>11142</v>
      </c>
      <c r="BK378" s="42">
        <f t="shared" ref="BK378:BM378" si="5747">BJ378</f>
        <v>11142</v>
      </c>
      <c r="BL378" s="42">
        <f t="shared" si="5747"/>
        <v>11142</v>
      </c>
      <c r="BM378" s="42">
        <f t="shared" si="5747"/>
        <v>11142</v>
      </c>
      <c r="BN378" s="42">
        <f>ROUND(BM378*(1+取值表!$D$30)*取值表!$H$30,0)</f>
        <v>10548</v>
      </c>
      <c r="BO378" s="42">
        <f t="shared" ref="BO378:BQ378" si="5748">BN378</f>
        <v>10548</v>
      </c>
      <c r="BP378" s="42">
        <f t="shared" si="5748"/>
        <v>10548</v>
      </c>
      <c r="BQ378" s="42">
        <f t="shared" si="5748"/>
        <v>10548</v>
      </c>
      <c r="BR378" s="42">
        <f>ROUND(BQ378*(1+取值表!$D$30)*取值表!$H$30,0)</f>
        <v>9985</v>
      </c>
      <c r="BS378" s="42">
        <f t="shared" ref="BS378:BU378" si="5749">BR378</f>
        <v>9985</v>
      </c>
      <c r="BT378" s="42">
        <f t="shared" si="5749"/>
        <v>9985</v>
      </c>
      <c r="BU378" s="42">
        <f t="shared" si="5749"/>
        <v>9985</v>
      </c>
      <c r="BV378" s="42">
        <f>ROUND(BU378*(1+取值表!$D$30)*取值表!$H$30,0)</f>
        <v>9453</v>
      </c>
      <c r="BW378" s="42">
        <f t="shared" ref="BW378:BY378" si="5750">BV378</f>
        <v>9453</v>
      </c>
      <c r="BX378" s="42">
        <f t="shared" si="5750"/>
        <v>9453</v>
      </c>
      <c r="BY378" s="42">
        <f t="shared" si="5750"/>
        <v>9453</v>
      </c>
      <c r="BZ378" s="42">
        <f>ROUND(BY378*(1+取值表!$D$30)*取值表!$H$30,0)</f>
        <v>8949</v>
      </c>
      <c r="CA378" s="42">
        <f t="shared" ref="CA378:CC378" si="5751">BZ378</f>
        <v>8949</v>
      </c>
      <c r="CB378" s="42">
        <f t="shared" si="5751"/>
        <v>8949</v>
      </c>
      <c r="CC378" s="42">
        <f t="shared" si="5751"/>
        <v>8949</v>
      </c>
      <c r="CD378" s="42">
        <f>ROUND(CC378*(1+取值表!$D$30)*取值表!$H$30,0)</f>
        <v>8472</v>
      </c>
      <c r="CE378" s="42">
        <f t="shared" ref="CE378:CG378" si="5752">CD378</f>
        <v>8472</v>
      </c>
      <c r="CF378" s="42">
        <f t="shared" si="5752"/>
        <v>8472</v>
      </c>
      <c r="CG378" s="42">
        <f t="shared" si="5752"/>
        <v>8472</v>
      </c>
      <c r="CH378" s="42">
        <f>ROUND(CG378*(1+取值表!$D$30)*取值表!$H$30,0)</f>
        <v>8020</v>
      </c>
      <c r="CI378" s="42">
        <f t="shared" ref="CI378:CK378" si="5753">CH378</f>
        <v>8020</v>
      </c>
      <c r="CJ378" s="42">
        <f t="shared" si="5753"/>
        <v>8020</v>
      </c>
      <c r="CK378" s="42">
        <f t="shared" si="5753"/>
        <v>8020</v>
      </c>
      <c r="CL378" s="42">
        <f>ROUND(CK378*(1+取值表!$D$30)*取值表!$H$30,0)</f>
        <v>7592</v>
      </c>
      <c r="CM378" s="42">
        <f t="shared" ref="CM378:CO378" si="5754">CL378</f>
        <v>7592</v>
      </c>
      <c r="CN378" s="42">
        <f t="shared" si="5754"/>
        <v>7592</v>
      </c>
      <c r="CO378" s="42">
        <f t="shared" si="5754"/>
        <v>7592</v>
      </c>
      <c r="CP378" s="42">
        <f>ROUND(CO378*(1+取值表!$D$30)*取值表!$H$30,0)</f>
        <v>7187</v>
      </c>
      <c r="CQ378" s="42">
        <f t="shared" si="5623"/>
        <v>7187</v>
      </c>
      <c r="CR378" s="42">
        <f t="shared" si="5624"/>
        <v>7187</v>
      </c>
      <c r="CS378" s="42">
        <f t="shared" si="5625"/>
        <v>7187</v>
      </c>
      <c r="CT378" s="42">
        <f>ROUND(CS378*(1+取值表!$D$30)*取值表!$H$30,0)</f>
        <v>6804</v>
      </c>
      <c r="CU378" s="42">
        <f t="shared" si="5626"/>
        <v>6804</v>
      </c>
      <c r="CV378" s="42">
        <f t="shared" si="5627"/>
        <v>6804</v>
      </c>
      <c r="CW378" s="42">
        <f t="shared" si="5628"/>
        <v>6804</v>
      </c>
      <c r="CX378" s="42">
        <f>ROUND(CW378*(1+取值表!$D$30)*取值表!$H$30,0)</f>
        <v>6441</v>
      </c>
      <c r="CY378" s="42">
        <f t="shared" si="5629"/>
        <v>6441</v>
      </c>
      <c r="CZ378" s="42">
        <f t="shared" si="5630"/>
        <v>6441</v>
      </c>
      <c r="DA378" s="42">
        <f t="shared" si="5631"/>
        <v>6441</v>
      </c>
      <c r="DB378" s="42">
        <f>ROUND(DA378*(1+取值表!$D$30)*取值表!$H$30,0)</f>
        <v>6098</v>
      </c>
      <c r="DC378" s="42">
        <f t="shared" si="5632"/>
        <v>6098</v>
      </c>
      <c r="DD378" s="42">
        <f t="shared" si="5633"/>
        <v>6098</v>
      </c>
      <c r="DE378" s="42">
        <f t="shared" si="5634"/>
        <v>6098</v>
      </c>
      <c r="DF378" s="45">
        <f t="shared" si="4935"/>
        <v>1271096</v>
      </c>
    </row>
    <row r="379" spans="1:110" s="52" customFormat="1" ht="12">
      <c r="A379" s="505"/>
      <c r="B379" s="456"/>
      <c r="C379" s="457"/>
      <c r="D379" s="458"/>
      <c r="E379" s="459"/>
      <c r="F379" s="453"/>
      <c r="G379" s="453"/>
      <c r="H379" s="454"/>
      <c r="I379" s="219"/>
      <c r="J379" s="42"/>
      <c r="K379" s="42">
        <f t="shared" si="5602"/>
        <v>0</v>
      </c>
      <c r="L379" s="42">
        <f t="shared" si="5602"/>
        <v>0</v>
      </c>
      <c r="M379" s="42">
        <f t="shared" si="5602"/>
        <v>0</v>
      </c>
      <c r="N379" s="42"/>
      <c r="O379" s="42">
        <f t="shared" ref="O379:Q379" si="5755">N379</f>
        <v>0</v>
      </c>
      <c r="P379" s="42">
        <f t="shared" si="5755"/>
        <v>0</v>
      </c>
      <c r="Q379" s="42">
        <f t="shared" si="5755"/>
        <v>0</v>
      </c>
      <c r="R379" s="42"/>
      <c r="S379" s="42">
        <f t="shared" ref="S379:U379" si="5756">R379</f>
        <v>0</v>
      </c>
      <c r="T379" s="42">
        <f t="shared" si="5756"/>
        <v>0</v>
      </c>
      <c r="U379" s="42">
        <f t="shared" si="5756"/>
        <v>0</v>
      </c>
      <c r="V379" s="42"/>
      <c r="W379" s="42">
        <f t="shared" ref="W379:Y379" si="5757">V379</f>
        <v>0</v>
      </c>
      <c r="X379" s="42">
        <f t="shared" si="5757"/>
        <v>0</v>
      </c>
      <c r="Y379" s="42">
        <f t="shared" si="5757"/>
        <v>0</v>
      </c>
      <c r="Z379" s="42"/>
      <c r="AA379" s="42">
        <f t="shared" ref="AA379:AC379" si="5758">Z379</f>
        <v>0</v>
      </c>
      <c r="AB379" s="42">
        <f t="shared" si="5758"/>
        <v>0</v>
      </c>
      <c r="AC379" s="42">
        <f t="shared" si="5758"/>
        <v>0</v>
      </c>
      <c r="AD379" s="42"/>
      <c r="AE379" s="42">
        <f t="shared" ref="AE379:AG379" si="5759">AD379</f>
        <v>0</v>
      </c>
      <c r="AF379" s="42">
        <f t="shared" si="5759"/>
        <v>0</v>
      </c>
      <c r="AG379" s="42">
        <f t="shared" si="5759"/>
        <v>0</v>
      </c>
      <c r="AH379" s="42"/>
      <c r="AI379" s="42">
        <f t="shared" ref="AI379:AK379" si="5760">AH379</f>
        <v>0</v>
      </c>
      <c r="AJ379" s="42">
        <f t="shared" si="5760"/>
        <v>0</v>
      </c>
      <c r="AK379" s="42">
        <f t="shared" si="5760"/>
        <v>0</v>
      </c>
      <c r="AL379" s="42"/>
      <c r="AM379" s="42">
        <f t="shared" ref="AM379:AO379" si="5761">AL379</f>
        <v>0</v>
      </c>
      <c r="AN379" s="42">
        <f t="shared" si="5761"/>
        <v>0</v>
      </c>
      <c r="AO379" s="42">
        <f t="shared" si="5761"/>
        <v>0</v>
      </c>
      <c r="AP379" s="42"/>
      <c r="AQ379" s="42">
        <f t="shared" ref="AQ379:AS379" si="5762">AP379</f>
        <v>0</v>
      </c>
      <c r="AR379" s="42">
        <f t="shared" si="5762"/>
        <v>0</v>
      </c>
      <c r="AS379" s="42">
        <f t="shared" si="5762"/>
        <v>0</v>
      </c>
      <c r="AT379" s="42"/>
      <c r="AU379" s="42">
        <f t="shared" ref="AU379:AW379" si="5763">AT379</f>
        <v>0</v>
      </c>
      <c r="AV379" s="42">
        <f t="shared" si="5763"/>
        <v>0</v>
      </c>
      <c r="AW379" s="42">
        <f t="shared" si="5763"/>
        <v>0</v>
      </c>
      <c r="AX379" s="42"/>
      <c r="AY379" s="42">
        <f t="shared" ref="AY379:BA379" si="5764">AX379</f>
        <v>0</v>
      </c>
      <c r="AZ379" s="42">
        <f t="shared" si="5764"/>
        <v>0</v>
      </c>
      <c r="BA379" s="42">
        <f t="shared" si="5764"/>
        <v>0</v>
      </c>
      <c r="BB379" s="42"/>
      <c r="BC379" s="42">
        <f t="shared" ref="BC379:BE379" si="5765">BB379</f>
        <v>0</v>
      </c>
      <c r="BD379" s="42">
        <f t="shared" si="5765"/>
        <v>0</v>
      </c>
      <c r="BE379" s="42">
        <f t="shared" si="5765"/>
        <v>0</v>
      </c>
      <c r="BF379" s="42"/>
      <c r="BG379" s="42">
        <f t="shared" ref="BG379:BI379" si="5766">BF379</f>
        <v>0</v>
      </c>
      <c r="BH379" s="42">
        <f t="shared" si="5766"/>
        <v>0</v>
      </c>
      <c r="BI379" s="42">
        <f t="shared" si="5766"/>
        <v>0</v>
      </c>
      <c r="BJ379" s="42"/>
      <c r="BK379" s="42">
        <f t="shared" ref="BK379:BM379" si="5767">BJ379</f>
        <v>0</v>
      </c>
      <c r="BL379" s="42">
        <f t="shared" si="5767"/>
        <v>0</v>
      </c>
      <c r="BM379" s="42">
        <f t="shared" si="5767"/>
        <v>0</v>
      </c>
      <c r="BN379" s="42"/>
      <c r="BO379" s="42">
        <f t="shared" ref="BO379:BQ379" si="5768">BN379</f>
        <v>0</v>
      </c>
      <c r="BP379" s="42">
        <f t="shared" si="5768"/>
        <v>0</v>
      </c>
      <c r="BQ379" s="42">
        <f t="shared" si="5768"/>
        <v>0</v>
      </c>
      <c r="BR379" s="42"/>
      <c r="BS379" s="42">
        <f t="shared" ref="BS379:BU379" si="5769">BR379</f>
        <v>0</v>
      </c>
      <c r="BT379" s="42">
        <f t="shared" si="5769"/>
        <v>0</v>
      </c>
      <c r="BU379" s="42">
        <f t="shared" si="5769"/>
        <v>0</v>
      </c>
      <c r="BV379" s="42"/>
      <c r="BW379" s="42">
        <f t="shared" ref="BW379:BY379" si="5770">BV379</f>
        <v>0</v>
      </c>
      <c r="BX379" s="42">
        <f t="shared" si="5770"/>
        <v>0</v>
      </c>
      <c r="BY379" s="42">
        <f t="shared" si="5770"/>
        <v>0</v>
      </c>
      <c r="BZ379" s="42"/>
      <c r="CA379" s="42">
        <f t="shared" ref="CA379:CC379" si="5771">BZ379</f>
        <v>0</v>
      </c>
      <c r="CB379" s="42">
        <f t="shared" si="5771"/>
        <v>0</v>
      </c>
      <c r="CC379" s="42">
        <f t="shared" si="5771"/>
        <v>0</v>
      </c>
      <c r="CD379" s="42"/>
      <c r="CE379" s="42">
        <f t="shared" ref="CE379:CG379" si="5772">CD379</f>
        <v>0</v>
      </c>
      <c r="CF379" s="42">
        <f t="shared" si="5772"/>
        <v>0</v>
      </c>
      <c r="CG379" s="42">
        <f t="shared" si="5772"/>
        <v>0</v>
      </c>
      <c r="CH379" s="42"/>
      <c r="CI379" s="42">
        <f t="shared" ref="CI379:CK379" si="5773">CH379</f>
        <v>0</v>
      </c>
      <c r="CJ379" s="42">
        <f t="shared" si="5773"/>
        <v>0</v>
      </c>
      <c r="CK379" s="42">
        <f t="shared" si="5773"/>
        <v>0</v>
      </c>
      <c r="CL379" s="42"/>
      <c r="CM379" s="42">
        <f t="shared" ref="CM379:CO379" si="5774">CL379</f>
        <v>0</v>
      </c>
      <c r="CN379" s="42">
        <f t="shared" si="5774"/>
        <v>0</v>
      </c>
      <c r="CO379" s="42">
        <f t="shared" si="5774"/>
        <v>0</v>
      </c>
      <c r="CP379" s="42"/>
      <c r="CQ379" s="42">
        <f t="shared" si="5623"/>
        <v>0</v>
      </c>
      <c r="CR379" s="42">
        <f t="shared" si="5624"/>
        <v>0</v>
      </c>
      <c r="CS379" s="42">
        <f t="shared" si="5625"/>
        <v>0</v>
      </c>
      <c r="CT379" s="42"/>
      <c r="CU379" s="42">
        <f t="shared" si="5626"/>
        <v>0</v>
      </c>
      <c r="CV379" s="42">
        <f t="shared" si="5627"/>
        <v>0</v>
      </c>
      <c r="CW379" s="42">
        <f t="shared" si="5628"/>
        <v>0</v>
      </c>
      <c r="CX379" s="42"/>
      <c r="CY379" s="42">
        <f t="shared" si="5629"/>
        <v>0</v>
      </c>
      <c r="CZ379" s="42">
        <f t="shared" si="5630"/>
        <v>0</v>
      </c>
      <c r="DA379" s="42">
        <f t="shared" si="5631"/>
        <v>0</v>
      </c>
      <c r="DB379" s="42"/>
      <c r="DC379" s="42">
        <f t="shared" si="5632"/>
        <v>0</v>
      </c>
      <c r="DD379" s="42">
        <f t="shared" si="5633"/>
        <v>0</v>
      </c>
      <c r="DE379" s="42">
        <f t="shared" si="5634"/>
        <v>0</v>
      </c>
      <c r="DF379" s="45">
        <f t="shared" si="4935"/>
        <v>0</v>
      </c>
    </row>
    <row r="380" spans="1:110" s="52" customFormat="1" ht="13.5" customHeight="1">
      <c r="A380" s="504">
        <v>194</v>
      </c>
      <c r="B380" s="456" t="s">
        <v>331</v>
      </c>
      <c r="C380" s="457" t="s">
        <v>316</v>
      </c>
      <c r="D380" s="458" t="s">
        <v>464</v>
      </c>
      <c r="E380" s="459"/>
      <c r="F380" s="453"/>
      <c r="G380" s="453"/>
      <c r="H380" s="454">
        <v>96000</v>
      </c>
      <c r="I380" s="219">
        <v>5000</v>
      </c>
      <c r="J380" s="42">
        <f>ROUND(H380/4*(1+取值表!$D$30)*取值表!$H$30,0)</f>
        <v>22720</v>
      </c>
      <c r="K380" s="42">
        <f t="shared" si="5602"/>
        <v>22720</v>
      </c>
      <c r="L380" s="42">
        <f t="shared" si="5602"/>
        <v>22720</v>
      </c>
      <c r="M380" s="42">
        <f t="shared" si="5602"/>
        <v>22720</v>
      </c>
      <c r="N380" s="42">
        <f>ROUND(M380*(1+取值表!$D$30)*取值表!$H$30,0)</f>
        <v>21508</v>
      </c>
      <c r="O380" s="42">
        <f t="shared" ref="O380:Q380" si="5775">N380</f>
        <v>21508</v>
      </c>
      <c r="P380" s="42">
        <f t="shared" si="5775"/>
        <v>21508</v>
      </c>
      <c r="Q380" s="42">
        <f t="shared" si="5775"/>
        <v>21508</v>
      </c>
      <c r="R380" s="42">
        <f>ROUND(Q380*(1+取值表!$D$30)*取值表!$H$30,0)</f>
        <v>20361</v>
      </c>
      <c r="S380" s="42">
        <f t="shared" ref="S380:U380" si="5776">R380</f>
        <v>20361</v>
      </c>
      <c r="T380" s="42">
        <f t="shared" si="5776"/>
        <v>20361</v>
      </c>
      <c r="U380" s="42">
        <f t="shared" si="5776"/>
        <v>20361</v>
      </c>
      <c r="V380" s="42">
        <f>ROUND(U380*(1+取值表!$D$30)*取值表!$H$30,0)</f>
        <v>19275</v>
      </c>
      <c r="W380" s="42">
        <f t="shared" ref="W380:Y380" si="5777">V380</f>
        <v>19275</v>
      </c>
      <c r="X380" s="42">
        <f t="shared" si="5777"/>
        <v>19275</v>
      </c>
      <c r="Y380" s="42">
        <f t="shared" si="5777"/>
        <v>19275</v>
      </c>
      <c r="Z380" s="42">
        <f>ROUND(Y380*(1+取值表!$D$30)*取值表!$H$30,0)</f>
        <v>18247</v>
      </c>
      <c r="AA380" s="42">
        <f t="shared" ref="AA380:AC380" si="5778">Z380</f>
        <v>18247</v>
      </c>
      <c r="AB380" s="42">
        <f t="shared" si="5778"/>
        <v>18247</v>
      </c>
      <c r="AC380" s="42">
        <f t="shared" si="5778"/>
        <v>18247</v>
      </c>
      <c r="AD380" s="42">
        <f>ROUND(AC380*(1+取值表!$D$30)*取值表!$H$30,0)</f>
        <v>17274</v>
      </c>
      <c r="AE380" s="42">
        <f t="shared" ref="AE380:AG380" si="5779">AD380</f>
        <v>17274</v>
      </c>
      <c r="AF380" s="42">
        <f t="shared" si="5779"/>
        <v>17274</v>
      </c>
      <c r="AG380" s="42">
        <f t="shared" si="5779"/>
        <v>17274</v>
      </c>
      <c r="AH380" s="42">
        <f>ROUND(AG380*(1+取值表!$D$30)*取值表!$H$30,0)</f>
        <v>16353</v>
      </c>
      <c r="AI380" s="42">
        <f t="shared" ref="AI380:AK380" si="5780">AH380</f>
        <v>16353</v>
      </c>
      <c r="AJ380" s="42">
        <f t="shared" si="5780"/>
        <v>16353</v>
      </c>
      <c r="AK380" s="42">
        <f t="shared" si="5780"/>
        <v>16353</v>
      </c>
      <c r="AL380" s="42">
        <f>ROUND(AK380*(1+取值表!$D$30)*取值表!$H$30,0)</f>
        <v>15481</v>
      </c>
      <c r="AM380" s="42">
        <f t="shared" ref="AM380:AO380" si="5781">AL380</f>
        <v>15481</v>
      </c>
      <c r="AN380" s="42">
        <f t="shared" si="5781"/>
        <v>15481</v>
      </c>
      <c r="AO380" s="42">
        <f t="shared" si="5781"/>
        <v>15481</v>
      </c>
      <c r="AP380" s="42">
        <f>ROUND(AO380*(1+取值表!$D$30)*取值表!$H$30,0)</f>
        <v>14655</v>
      </c>
      <c r="AQ380" s="42">
        <f t="shared" ref="AQ380:AS380" si="5782">AP380</f>
        <v>14655</v>
      </c>
      <c r="AR380" s="42">
        <f t="shared" si="5782"/>
        <v>14655</v>
      </c>
      <c r="AS380" s="42">
        <f t="shared" si="5782"/>
        <v>14655</v>
      </c>
      <c r="AT380" s="42">
        <f>ROUND(AS380*(1+取值表!$D$30)*取值表!$H$30,0)</f>
        <v>13873</v>
      </c>
      <c r="AU380" s="42">
        <f t="shared" ref="AU380:AW380" si="5783">AT380</f>
        <v>13873</v>
      </c>
      <c r="AV380" s="42">
        <f t="shared" si="5783"/>
        <v>13873</v>
      </c>
      <c r="AW380" s="42">
        <f t="shared" si="5783"/>
        <v>13873</v>
      </c>
      <c r="AX380" s="42">
        <f>ROUND(AW380*(1+取值表!$D$30)*取值表!$H$30,0)</f>
        <v>13133</v>
      </c>
      <c r="AY380" s="42">
        <f t="shared" ref="AY380:BA380" si="5784">AX380</f>
        <v>13133</v>
      </c>
      <c r="AZ380" s="42">
        <f t="shared" si="5784"/>
        <v>13133</v>
      </c>
      <c r="BA380" s="42">
        <f t="shared" si="5784"/>
        <v>13133</v>
      </c>
      <c r="BB380" s="42">
        <f>ROUND(BA380*(1+取值表!$D$30)*取值表!$H$30,0)</f>
        <v>12433</v>
      </c>
      <c r="BC380" s="42">
        <f t="shared" ref="BC380:BE380" si="5785">BB380</f>
        <v>12433</v>
      </c>
      <c r="BD380" s="42">
        <f t="shared" si="5785"/>
        <v>12433</v>
      </c>
      <c r="BE380" s="42">
        <f t="shared" si="5785"/>
        <v>12433</v>
      </c>
      <c r="BF380" s="42">
        <f>ROUND(BE380*(1+取值表!$D$30)*取值表!$H$30,0)</f>
        <v>11770</v>
      </c>
      <c r="BG380" s="42">
        <f t="shared" ref="BG380:BI380" si="5786">BF380</f>
        <v>11770</v>
      </c>
      <c r="BH380" s="42">
        <f t="shared" si="5786"/>
        <v>11770</v>
      </c>
      <c r="BI380" s="42">
        <f t="shared" si="5786"/>
        <v>11770</v>
      </c>
      <c r="BJ380" s="42">
        <f>ROUND(BI380*(1+取值表!$D$30)*取值表!$H$30,0)</f>
        <v>11142</v>
      </c>
      <c r="BK380" s="42">
        <f t="shared" ref="BK380:BM380" si="5787">BJ380</f>
        <v>11142</v>
      </c>
      <c r="BL380" s="42">
        <f t="shared" si="5787"/>
        <v>11142</v>
      </c>
      <c r="BM380" s="42">
        <f t="shared" si="5787"/>
        <v>11142</v>
      </c>
      <c r="BN380" s="42">
        <f>ROUND(BM380*(1+取值表!$D$30)*取值表!$H$30,0)</f>
        <v>10548</v>
      </c>
      <c r="BO380" s="42">
        <f t="shared" ref="BO380:BQ380" si="5788">BN380</f>
        <v>10548</v>
      </c>
      <c r="BP380" s="42">
        <f t="shared" si="5788"/>
        <v>10548</v>
      </c>
      <c r="BQ380" s="42">
        <f t="shared" si="5788"/>
        <v>10548</v>
      </c>
      <c r="BR380" s="42">
        <f>ROUND(BQ380*(1+取值表!$D$30)*取值表!$H$30,0)</f>
        <v>9985</v>
      </c>
      <c r="BS380" s="42">
        <f t="shared" ref="BS380:BU380" si="5789">BR380</f>
        <v>9985</v>
      </c>
      <c r="BT380" s="42">
        <f t="shared" si="5789"/>
        <v>9985</v>
      </c>
      <c r="BU380" s="42">
        <f t="shared" si="5789"/>
        <v>9985</v>
      </c>
      <c r="BV380" s="42">
        <f>ROUND(BU380*(1+取值表!$D$30)*取值表!$H$30,0)</f>
        <v>9453</v>
      </c>
      <c r="BW380" s="42">
        <f t="shared" ref="BW380:BY380" si="5790">BV380</f>
        <v>9453</v>
      </c>
      <c r="BX380" s="42">
        <f t="shared" si="5790"/>
        <v>9453</v>
      </c>
      <c r="BY380" s="42">
        <f t="shared" si="5790"/>
        <v>9453</v>
      </c>
      <c r="BZ380" s="42">
        <f>ROUND(BY380*(1+取值表!$D$30)*取值表!$H$30,0)</f>
        <v>8949</v>
      </c>
      <c r="CA380" s="42">
        <f t="shared" ref="CA380:CC380" si="5791">BZ380</f>
        <v>8949</v>
      </c>
      <c r="CB380" s="42">
        <f t="shared" si="5791"/>
        <v>8949</v>
      </c>
      <c r="CC380" s="42">
        <f t="shared" si="5791"/>
        <v>8949</v>
      </c>
      <c r="CD380" s="42">
        <f>ROUND(CC380*(1+取值表!$D$30)*取值表!$H$30,0)</f>
        <v>8472</v>
      </c>
      <c r="CE380" s="42">
        <f t="shared" ref="CE380:CG380" si="5792">CD380</f>
        <v>8472</v>
      </c>
      <c r="CF380" s="42">
        <f t="shared" si="5792"/>
        <v>8472</v>
      </c>
      <c r="CG380" s="42">
        <f t="shared" si="5792"/>
        <v>8472</v>
      </c>
      <c r="CH380" s="42">
        <f>ROUND(CG380*(1+取值表!$D$30)*取值表!$H$30,0)</f>
        <v>8020</v>
      </c>
      <c r="CI380" s="42">
        <f t="shared" ref="CI380:CK380" si="5793">CH380</f>
        <v>8020</v>
      </c>
      <c r="CJ380" s="42">
        <f t="shared" si="5793"/>
        <v>8020</v>
      </c>
      <c r="CK380" s="42">
        <f t="shared" si="5793"/>
        <v>8020</v>
      </c>
      <c r="CL380" s="42">
        <f>ROUND(CK380*(1+取值表!$D$30)*取值表!$H$30,0)</f>
        <v>7592</v>
      </c>
      <c r="CM380" s="42">
        <f t="shared" ref="CM380:CO380" si="5794">CL380</f>
        <v>7592</v>
      </c>
      <c r="CN380" s="42">
        <f t="shared" si="5794"/>
        <v>7592</v>
      </c>
      <c r="CO380" s="42">
        <f t="shared" si="5794"/>
        <v>7592</v>
      </c>
      <c r="CP380" s="42">
        <f>ROUND(CO380*(1+取值表!$D$30)*取值表!$H$30,0)</f>
        <v>7187</v>
      </c>
      <c r="CQ380" s="42">
        <f t="shared" si="5623"/>
        <v>7187</v>
      </c>
      <c r="CR380" s="42">
        <f t="shared" si="5624"/>
        <v>7187</v>
      </c>
      <c r="CS380" s="42">
        <f t="shared" si="5625"/>
        <v>7187</v>
      </c>
      <c r="CT380" s="42">
        <f>ROUND(CS380*(1+取值表!$D$30)*取值表!$H$30,0)</f>
        <v>6804</v>
      </c>
      <c r="CU380" s="42">
        <f t="shared" si="5626"/>
        <v>6804</v>
      </c>
      <c r="CV380" s="42">
        <f t="shared" si="5627"/>
        <v>6804</v>
      </c>
      <c r="CW380" s="42">
        <f t="shared" si="5628"/>
        <v>6804</v>
      </c>
      <c r="CX380" s="42">
        <f>ROUND(CW380*(1+取值表!$D$30)*取值表!$H$30,0)</f>
        <v>6441</v>
      </c>
      <c r="CY380" s="42">
        <f t="shared" si="5629"/>
        <v>6441</v>
      </c>
      <c r="CZ380" s="42">
        <f t="shared" si="5630"/>
        <v>6441</v>
      </c>
      <c r="DA380" s="42">
        <f t="shared" si="5631"/>
        <v>6441</v>
      </c>
      <c r="DB380" s="42">
        <f>ROUND(DA380*(1+取值表!$D$30)*取值表!$H$30,0)</f>
        <v>6098</v>
      </c>
      <c r="DC380" s="42">
        <f t="shared" si="5632"/>
        <v>6098</v>
      </c>
      <c r="DD380" s="42">
        <f t="shared" si="5633"/>
        <v>6098</v>
      </c>
      <c r="DE380" s="42">
        <f t="shared" si="5634"/>
        <v>6098</v>
      </c>
      <c r="DF380" s="45">
        <f t="shared" si="4935"/>
        <v>1271096</v>
      </c>
    </row>
    <row r="381" spans="1:110" s="52" customFormat="1" ht="12">
      <c r="A381" s="505"/>
      <c r="B381" s="456"/>
      <c r="C381" s="457"/>
      <c r="D381" s="458"/>
      <c r="E381" s="459"/>
      <c r="F381" s="453"/>
      <c r="G381" s="453"/>
      <c r="H381" s="454"/>
      <c r="I381" s="219"/>
      <c r="J381" s="42"/>
      <c r="K381" s="42">
        <f t="shared" si="5602"/>
        <v>0</v>
      </c>
      <c r="L381" s="42">
        <f t="shared" si="5602"/>
        <v>0</v>
      </c>
      <c r="M381" s="42">
        <f t="shared" si="5602"/>
        <v>0</v>
      </c>
      <c r="N381" s="42"/>
      <c r="O381" s="42">
        <f t="shared" ref="O381:Q381" si="5795">N381</f>
        <v>0</v>
      </c>
      <c r="P381" s="42">
        <f t="shared" si="5795"/>
        <v>0</v>
      </c>
      <c r="Q381" s="42">
        <f t="shared" si="5795"/>
        <v>0</v>
      </c>
      <c r="R381" s="42"/>
      <c r="S381" s="42">
        <f t="shared" ref="S381:U381" si="5796">R381</f>
        <v>0</v>
      </c>
      <c r="T381" s="42">
        <f t="shared" si="5796"/>
        <v>0</v>
      </c>
      <c r="U381" s="42">
        <f t="shared" si="5796"/>
        <v>0</v>
      </c>
      <c r="V381" s="42"/>
      <c r="W381" s="42">
        <f t="shared" ref="W381:Y381" si="5797">V381</f>
        <v>0</v>
      </c>
      <c r="X381" s="42">
        <f t="shared" si="5797"/>
        <v>0</v>
      </c>
      <c r="Y381" s="42">
        <f t="shared" si="5797"/>
        <v>0</v>
      </c>
      <c r="Z381" s="42"/>
      <c r="AA381" s="42">
        <f t="shared" ref="AA381:AC381" si="5798">Z381</f>
        <v>0</v>
      </c>
      <c r="AB381" s="42">
        <f t="shared" si="5798"/>
        <v>0</v>
      </c>
      <c r="AC381" s="42">
        <f t="shared" si="5798"/>
        <v>0</v>
      </c>
      <c r="AD381" s="42"/>
      <c r="AE381" s="42">
        <f t="shared" ref="AE381:AG381" si="5799">AD381</f>
        <v>0</v>
      </c>
      <c r="AF381" s="42">
        <f t="shared" si="5799"/>
        <v>0</v>
      </c>
      <c r="AG381" s="42">
        <f t="shared" si="5799"/>
        <v>0</v>
      </c>
      <c r="AH381" s="42"/>
      <c r="AI381" s="42">
        <f t="shared" ref="AI381:AK381" si="5800">AH381</f>
        <v>0</v>
      </c>
      <c r="AJ381" s="42">
        <f t="shared" si="5800"/>
        <v>0</v>
      </c>
      <c r="AK381" s="42">
        <f t="shared" si="5800"/>
        <v>0</v>
      </c>
      <c r="AL381" s="42"/>
      <c r="AM381" s="42">
        <f t="shared" ref="AM381:AO381" si="5801">AL381</f>
        <v>0</v>
      </c>
      <c r="AN381" s="42">
        <f t="shared" si="5801"/>
        <v>0</v>
      </c>
      <c r="AO381" s="42">
        <f t="shared" si="5801"/>
        <v>0</v>
      </c>
      <c r="AP381" s="42"/>
      <c r="AQ381" s="42">
        <f t="shared" ref="AQ381:AS381" si="5802">AP381</f>
        <v>0</v>
      </c>
      <c r="AR381" s="42">
        <f t="shared" si="5802"/>
        <v>0</v>
      </c>
      <c r="AS381" s="42">
        <f t="shared" si="5802"/>
        <v>0</v>
      </c>
      <c r="AT381" s="42"/>
      <c r="AU381" s="42">
        <f t="shared" ref="AU381:AW381" si="5803">AT381</f>
        <v>0</v>
      </c>
      <c r="AV381" s="42">
        <f t="shared" si="5803"/>
        <v>0</v>
      </c>
      <c r="AW381" s="42">
        <f t="shared" si="5803"/>
        <v>0</v>
      </c>
      <c r="AX381" s="42"/>
      <c r="AY381" s="42">
        <f t="shared" ref="AY381:BA381" si="5804">AX381</f>
        <v>0</v>
      </c>
      <c r="AZ381" s="42">
        <f t="shared" si="5804"/>
        <v>0</v>
      </c>
      <c r="BA381" s="42">
        <f t="shared" si="5804"/>
        <v>0</v>
      </c>
      <c r="BB381" s="42"/>
      <c r="BC381" s="42">
        <f t="shared" ref="BC381:BE381" si="5805">BB381</f>
        <v>0</v>
      </c>
      <c r="BD381" s="42">
        <f t="shared" si="5805"/>
        <v>0</v>
      </c>
      <c r="BE381" s="42">
        <f t="shared" si="5805"/>
        <v>0</v>
      </c>
      <c r="BF381" s="42"/>
      <c r="BG381" s="42">
        <f t="shared" ref="BG381:BI381" si="5806">BF381</f>
        <v>0</v>
      </c>
      <c r="BH381" s="42">
        <f t="shared" si="5806"/>
        <v>0</v>
      </c>
      <c r="BI381" s="42">
        <f t="shared" si="5806"/>
        <v>0</v>
      </c>
      <c r="BJ381" s="42"/>
      <c r="BK381" s="42">
        <f t="shared" ref="BK381:BM381" si="5807">BJ381</f>
        <v>0</v>
      </c>
      <c r="BL381" s="42">
        <f t="shared" si="5807"/>
        <v>0</v>
      </c>
      <c r="BM381" s="42">
        <f t="shared" si="5807"/>
        <v>0</v>
      </c>
      <c r="BN381" s="42"/>
      <c r="BO381" s="42">
        <f t="shared" ref="BO381:BQ381" si="5808">BN381</f>
        <v>0</v>
      </c>
      <c r="BP381" s="42">
        <f t="shared" si="5808"/>
        <v>0</v>
      </c>
      <c r="BQ381" s="42">
        <f t="shared" si="5808"/>
        <v>0</v>
      </c>
      <c r="BR381" s="42"/>
      <c r="BS381" s="42">
        <f t="shared" ref="BS381:BU381" si="5809">BR381</f>
        <v>0</v>
      </c>
      <c r="BT381" s="42">
        <f t="shared" si="5809"/>
        <v>0</v>
      </c>
      <c r="BU381" s="42">
        <f t="shared" si="5809"/>
        <v>0</v>
      </c>
      <c r="BV381" s="42"/>
      <c r="BW381" s="42">
        <f t="shared" ref="BW381:BY381" si="5810">BV381</f>
        <v>0</v>
      </c>
      <c r="BX381" s="42">
        <f t="shared" si="5810"/>
        <v>0</v>
      </c>
      <c r="BY381" s="42">
        <f t="shared" si="5810"/>
        <v>0</v>
      </c>
      <c r="BZ381" s="42"/>
      <c r="CA381" s="42">
        <f t="shared" ref="CA381:CC381" si="5811">BZ381</f>
        <v>0</v>
      </c>
      <c r="CB381" s="42">
        <f t="shared" si="5811"/>
        <v>0</v>
      </c>
      <c r="CC381" s="42">
        <f t="shared" si="5811"/>
        <v>0</v>
      </c>
      <c r="CD381" s="42"/>
      <c r="CE381" s="42">
        <f t="shared" ref="CE381:CG381" si="5812">CD381</f>
        <v>0</v>
      </c>
      <c r="CF381" s="42">
        <f t="shared" si="5812"/>
        <v>0</v>
      </c>
      <c r="CG381" s="42">
        <f t="shared" si="5812"/>
        <v>0</v>
      </c>
      <c r="CH381" s="42"/>
      <c r="CI381" s="42">
        <f t="shared" ref="CI381:CK381" si="5813">CH381</f>
        <v>0</v>
      </c>
      <c r="CJ381" s="42">
        <f t="shared" si="5813"/>
        <v>0</v>
      </c>
      <c r="CK381" s="42">
        <f t="shared" si="5813"/>
        <v>0</v>
      </c>
      <c r="CL381" s="42"/>
      <c r="CM381" s="42">
        <f t="shared" ref="CM381:CO381" si="5814">CL381</f>
        <v>0</v>
      </c>
      <c r="CN381" s="42">
        <f t="shared" si="5814"/>
        <v>0</v>
      </c>
      <c r="CO381" s="42">
        <f t="shared" si="5814"/>
        <v>0</v>
      </c>
      <c r="CP381" s="42"/>
      <c r="CQ381" s="42">
        <f t="shared" si="5623"/>
        <v>0</v>
      </c>
      <c r="CR381" s="42">
        <f t="shared" si="5624"/>
        <v>0</v>
      </c>
      <c r="CS381" s="42">
        <f t="shared" si="5625"/>
        <v>0</v>
      </c>
      <c r="CT381" s="42"/>
      <c r="CU381" s="42">
        <f t="shared" si="5626"/>
        <v>0</v>
      </c>
      <c r="CV381" s="42">
        <f t="shared" si="5627"/>
        <v>0</v>
      </c>
      <c r="CW381" s="42">
        <f t="shared" si="5628"/>
        <v>0</v>
      </c>
      <c r="CX381" s="42"/>
      <c r="CY381" s="42">
        <f t="shared" si="5629"/>
        <v>0</v>
      </c>
      <c r="CZ381" s="42">
        <f t="shared" si="5630"/>
        <v>0</v>
      </c>
      <c r="DA381" s="42">
        <f t="shared" si="5631"/>
        <v>0</v>
      </c>
      <c r="DB381" s="42"/>
      <c r="DC381" s="42">
        <f t="shared" si="5632"/>
        <v>0</v>
      </c>
      <c r="DD381" s="42">
        <f t="shared" si="5633"/>
        <v>0</v>
      </c>
      <c r="DE381" s="42">
        <f t="shared" si="5634"/>
        <v>0</v>
      </c>
      <c r="DF381" s="45">
        <f t="shared" si="4935"/>
        <v>0</v>
      </c>
    </row>
    <row r="382" spans="1:110" s="52" customFormat="1" ht="12" customHeight="1">
      <c r="A382" s="504">
        <v>195</v>
      </c>
      <c r="B382" s="456" t="s">
        <v>332</v>
      </c>
      <c r="C382" s="457" t="s">
        <v>13</v>
      </c>
      <c r="D382" s="458" t="s">
        <v>544</v>
      </c>
      <c r="E382" s="459"/>
      <c r="F382" s="453"/>
      <c r="G382" s="453"/>
      <c r="H382" s="454">
        <v>96000</v>
      </c>
      <c r="I382" s="219">
        <v>5000</v>
      </c>
      <c r="J382" s="42">
        <f>ROUND(H382/4*(1+取值表!$D$30)*取值表!$H$30,0)</f>
        <v>22720</v>
      </c>
      <c r="K382" s="42">
        <f t="shared" si="5602"/>
        <v>22720</v>
      </c>
      <c r="L382" s="42">
        <f t="shared" si="5602"/>
        <v>22720</v>
      </c>
      <c r="M382" s="42">
        <f t="shared" si="5602"/>
        <v>22720</v>
      </c>
      <c r="N382" s="42">
        <f>ROUND(M382*(1+取值表!$D$30)*取值表!$H$30,0)</f>
        <v>21508</v>
      </c>
      <c r="O382" s="42">
        <f t="shared" ref="O382:Q382" si="5815">N382</f>
        <v>21508</v>
      </c>
      <c r="P382" s="42">
        <f t="shared" si="5815"/>
        <v>21508</v>
      </c>
      <c r="Q382" s="42">
        <f t="shared" si="5815"/>
        <v>21508</v>
      </c>
      <c r="R382" s="42">
        <f>ROUND(Q382*(1+取值表!$D$30)*取值表!$H$30,0)</f>
        <v>20361</v>
      </c>
      <c r="S382" s="42">
        <f t="shared" ref="S382:U382" si="5816">R382</f>
        <v>20361</v>
      </c>
      <c r="T382" s="42">
        <f t="shared" si="5816"/>
        <v>20361</v>
      </c>
      <c r="U382" s="42">
        <f t="shared" si="5816"/>
        <v>20361</v>
      </c>
      <c r="V382" s="42">
        <f>ROUND(U382*(1+取值表!$D$30)*取值表!$H$30,0)</f>
        <v>19275</v>
      </c>
      <c r="W382" s="42">
        <f t="shared" ref="W382:Y382" si="5817">V382</f>
        <v>19275</v>
      </c>
      <c r="X382" s="42">
        <f t="shared" si="5817"/>
        <v>19275</v>
      </c>
      <c r="Y382" s="42">
        <f t="shared" si="5817"/>
        <v>19275</v>
      </c>
      <c r="Z382" s="42">
        <f>ROUND(Y382*(1+取值表!$D$30)*取值表!$H$30,0)</f>
        <v>18247</v>
      </c>
      <c r="AA382" s="42">
        <f t="shared" ref="AA382:AC382" si="5818">Z382</f>
        <v>18247</v>
      </c>
      <c r="AB382" s="42">
        <f t="shared" si="5818"/>
        <v>18247</v>
      </c>
      <c r="AC382" s="42">
        <f t="shared" si="5818"/>
        <v>18247</v>
      </c>
      <c r="AD382" s="42">
        <f>ROUND(AC382*(1+取值表!$D$30)*取值表!$H$30,0)</f>
        <v>17274</v>
      </c>
      <c r="AE382" s="42">
        <f t="shared" ref="AE382:AG382" si="5819">AD382</f>
        <v>17274</v>
      </c>
      <c r="AF382" s="42">
        <f t="shared" si="5819"/>
        <v>17274</v>
      </c>
      <c r="AG382" s="42">
        <f t="shared" si="5819"/>
        <v>17274</v>
      </c>
      <c r="AH382" s="42">
        <f>ROUND(AG382*(1+取值表!$D$30)*取值表!$H$30,0)</f>
        <v>16353</v>
      </c>
      <c r="AI382" s="42">
        <f t="shared" ref="AI382:AK382" si="5820">AH382</f>
        <v>16353</v>
      </c>
      <c r="AJ382" s="42">
        <f t="shared" si="5820"/>
        <v>16353</v>
      </c>
      <c r="AK382" s="42">
        <f t="shared" si="5820"/>
        <v>16353</v>
      </c>
      <c r="AL382" s="42">
        <f>ROUND(AK382*(1+取值表!$D$30)*取值表!$H$30,0)</f>
        <v>15481</v>
      </c>
      <c r="AM382" s="42">
        <f t="shared" ref="AM382:AO382" si="5821">AL382</f>
        <v>15481</v>
      </c>
      <c r="AN382" s="42">
        <f t="shared" si="5821"/>
        <v>15481</v>
      </c>
      <c r="AO382" s="42">
        <f t="shared" si="5821"/>
        <v>15481</v>
      </c>
      <c r="AP382" s="42">
        <f>ROUND(AO382*(1+取值表!$D$30)*取值表!$H$30,0)</f>
        <v>14655</v>
      </c>
      <c r="AQ382" s="42">
        <f t="shared" ref="AQ382:AS382" si="5822">AP382</f>
        <v>14655</v>
      </c>
      <c r="AR382" s="42">
        <f t="shared" si="5822"/>
        <v>14655</v>
      </c>
      <c r="AS382" s="42">
        <f t="shared" si="5822"/>
        <v>14655</v>
      </c>
      <c r="AT382" s="42">
        <f>ROUND(AS382*(1+取值表!$D$30)*取值表!$H$30,0)</f>
        <v>13873</v>
      </c>
      <c r="AU382" s="42">
        <f t="shared" ref="AU382:AW382" si="5823">AT382</f>
        <v>13873</v>
      </c>
      <c r="AV382" s="42">
        <f t="shared" si="5823"/>
        <v>13873</v>
      </c>
      <c r="AW382" s="42">
        <f t="shared" si="5823"/>
        <v>13873</v>
      </c>
      <c r="AX382" s="42">
        <f>ROUND(AW382*(1+取值表!$D$30)*取值表!$H$30,0)</f>
        <v>13133</v>
      </c>
      <c r="AY382" s="42">
        <f t="shared" ref="AY382:BA382" si="5824">AX382</f>
        <v>13133</v>
      </c>
      <c r="AZ382" s="42">
        <f t="shared" si="5824"/>
        <v>13133</v>
      </c>
      <c r="BA382" s="42">
        <f t="shared" si="5824"/>
        <v>13133</v>
      </c>
      <c r="BB382" s="42">
        <f>ROUND(BA382*(1+取值表!$D$30)*取值表!$H$30,0)</f>
        <v>12433</v>
      </c>
      <c r="BC382" s="42">
        <f t="shared" ref="BC382:BE382" si="5825">BB382</f>
        <v>12433</v>
      </c>
      <c r="BD382" s="42">
        <f t="shared" si="5825"/>
        <v>12433</v>
      </c>
      <c r="BE382" s="42">
        <f t="shared" si="5825"/>
        <v>12433</v>
      </c>
      <c r="BF382" s="42">
        <f>ROUND(BE382*(1+取值表!$D$30)*取值表!$H$30,0)</f>
        <v>11770</v>
      </c>
      <c r="BG382" s="42">
        <f t="shared" ref="BG382:BI382" si="5826">BF382</f>
        <v>11770</v>
      </c>
      <c r="BH382" s="42">
        <f t="shared" si="5826"/>
        <v>11770</v>
      </c>
      <c r="BI382" s="42">
        <f t="shared" si="5826"/>
        <v>11770</v>
      </c>
      <c r="BJ382" s="42">
        <f>ROUND(BI382*(1+取值表!$D$30)*取值表!$H$30,0)</f>
        <v>11142</v>
      </c>
      <c r="BK382" s="42">
        <f t="shared" ref="BK382:BM382" si="5827">BJ382</f>
        <v>11142</v>
      </c>
      <c r="BL382" s="42">
        <f t="shared" si="5827"/>
        <v>11142</v>
      </c>
      <c r="BM382" s="42">
        <f t="shared" si="5827"/>
        <v>11142</v>
      </c>
      <c r="BN382" s="42">
        <f>ROUND(BM382*(1+取值表!$D$30)*取值表!$H$30,0)</f>
        <v>10548</v>
      </c>
      <c r="BO382" s="42">
        <f t="shared" ref="BO382:BQ382" si="5828">BN382</f>
        <v>10548</v>
      </c>
      <c r="BP382" s="42">
        <f t="shared" si="5828"/>
        <v>10548</v>
      </c>
      <c r="BQ382" s="42">
        <f t="shared" si="5828"/>
        <v>10548</v>
      </c>
      <c r="BR382" s="42">
        <f>ROUND(BQ382*(1+取值表!$D$30)*取值表!$H$30,0)</f>
        <v>9985</v>
      </c>
      <c r="BS382" s="42">
        <f t="shared" ref="BS382:BU382" si="5829">BR382</f>
        <v>9985</v>
      </c>
      <c r="BT382" s="42">
        <f t="shared" si="5829"/>
        <v>9985</v>
      </c>
      <c r="BU382" s="42">
        <f t="shared" si="5829"/>
        <v>9985</v>
      </c>
      <c r="BV382" s="42">
        <f>ROUND(BU382*(1+取值表!$D$30)*取值表!$H$30,0)</f>
        <v>9453</v>
      </c>
      <c r="BW382" s="42">
        <f t="shared" ref="BW382:BY382" si="5830">BV382</f>
        <v>9453</v>
      </c>
      <c r="BX382" s="42">
        <f t="shared" si="5830"/>
        <v>9453</v>
      </c>
      <c r="BY382" s="42">
        <f t="shared" si="5830"/>
        <v>9453</v>
      </c>
      <c r="BZ382" s="42">
        <f>ROUND(BY382*(1+取值表!$D$30)*取值表!$H$30,0)</f>
        <v>8949</v>
      </c>
      <c r="CA382" s="42">
        <f t="shared" ref="CA382:CC382" si="5831">BZ382</f>
        <v>8949</v>
      </c>
      <c r="CB382" s="42">
        <f t="shared" si="5831"/>
        <v>8949</v>
      </c>
      <c r="CC382" s="42">
        <f t="shared" si="5831"/>
        <v>8949</v>
      </c>
      <c r="CD382" s="42">
        <f>ROUND(CC382*(1+取值表!$D$30)*取值表!$H$30,0)</f>
        <v>8472</v>
      </c>
      <c r="CE382" s="42">
        <f t="shared" ref="CE382:CG382" si="5832">CD382</f>
        <v>8472</v>
      </c>
      <c r="CF382" s="42">
        <f t="shared" si="5832"/>
        <v>8472</v>
      </c>
      <c r="CG382" s="42">
        <f t="shared" si="5832"/>
        <v>8472</v>
      </c>
      <c r="CH382" s="42">
        <f>ROUND(CG382*(1+取值表!$D$30)*取值表!$H$30,0)</f>
        <v>8020</v>
      </c>
      <c r="CI382" s="42">
        <f t="shared" ref="CI382:CK382" si="5833">CH382</f>
        <v>8020</v>
      </c>
      <c r="CJ382" s="42">
        <f t="shared" si="5833"/>
        <v>8020</v>
      </c>
      <c r="CK382" s="42">
        <f t="shared" si="5833"/>
        <v>8020</v>
      </c>
      <c r="CL382" s="42">
        <f>ROUND(CK382*(1+取值表!$D$30)*取值表!$H$30,0)</f>
        <v>7592</v>
      </c>
      <c r="CM382" s="42">
        <f t="shared" ref="CM382:CO382" si="5834">CL382</f>
        <v>7592</v>
      </c>
      <c r="CN382" s="42">
        <f t="shared" si="5834"/>
        <v>7592</v>
      </c>
      <c r="CO382" s="42">
        <f t="shared" si="5834"/>
        <v>7592</v>
      </c>
      <c r="CP382" s="42">
        <f>ROUND(CO382*(1+取值表!$D$30)*取值表!$H$30,0)</f>
        <v>7187</v>
      </c>
      <c r="CQ382" s="42">
        <f t="shared" si="5623"/>
        <v>7187</v>
      </c>
      <c r="CR382" s="42">
        <f t="shared" si="5624"/>
        <v>7187</v>
      </c>
      <c r="CS382" s="42">
        <f t="shared" si="5625"/>
        <v>7187</v>
      </c>
      <c r="CT382" s="42">
        <f>ROUND(CS382*(1+取值表!$D$30)*取值表!$H$30,0)</f>
        <v>6804</v>
      </c>
      <c r="CU382" s="42">
        <f t="shared" si="5626"/>
        <v>6804</v>
      </c>
      <c r="CV382" s="42">
        <f t="shared" si="5627"/>
        <v>6804</v>
      </c>
      <c r="CW382" s="42">
        <f t="shared" si="5628"/>
        <v>6804</v>
      </c>
      <c r="CX382" s="42">
        <f>ROUND(CW382*(1+取值表!$D$30)*取值表!$H$30,0)</f>
        <v>6441</v>
      </c>
      <c r="CY382" s="42">
        <f t="shared" si="5629"/>
        <v>6441</v>
      </c>
      <c r="CZ382" s="42">
        <f t="shared" si="5630"/>
        <v>6441</v>
      </c>
      <c r="DA382" s="42">
        <f t="shared" si="5631"/>
        <v>6441</v>
      </c>
      <c r="DB382" s="42">
        <f>ROUND(DA382*(1+取值表!$D$30)*取值表!$H$30,0)</f>
        <v>6098</v>
      </c>
      <c r="DC382" s="42">
        <f t="shared" si="5632"/>
        <v>6098</v>
      </c>
      <c r="DD382" s="42">
        <f t="shared" si="5633"/>
        <v>6098</v>
      </c>
      <c r="DE382" s="42">
        <f t="shared" si="5634"/>
        <v>6098</v>
      </c>
      <c r="DF382" s="45">
        <f t="shared" si="4935"/>
        <v>1271096</v>
      </c>
    </row>
    <row r="383" spans="1:110" s="52" customFormat="1" ht="12">
      <c r="A383" s="505"/>
      <c r="B383" s="456"/>
      <c r="C383" s="457"/>
      <c r="D383" s="458"/>
      <c r="E383" s="459"/>
      <c r="F383" s="453"/>
      <c r="G383" s="453"/>
      <c r="H383" s="454"/>
      <c r="I383" s="219"/>
      <c r="J383" s="42"/>
      <c r="K383" s="42">
        <f t="shared" si="5602"/>
        <v>0</v>
      </c>
      <c r="L383" s="42">
        <f t="shared" si="5602"/>
        <v>0</v>
      </c>
      <c r="M383" s="42">
        <f t="shared" si="5602"/>
        <v>0</v>
      </c>
      <c r="N383" s="42"/>
      <c r="O383" s="42">
        <f t="shared" ref="O383:Q383" si="5835">N383</f>
        <v>0</v>
      </c>
      <c r="P383" s="42">
        <f t="shared" si="5835"/>
        <v>0</v>
      </c>
      <c r="Q383" s="42">
        <f t="shared" si="5835"/>
        <v>0</v>
      </c>
      <c r="R383" s="42"/>
      <c r="S383" s="42">
        <f t="shared" ref="S383:U383" si="5836">R383</f>
        <v>0</v>
      </c>
      <c r="T383" s="42">
        <f t="shared" si="5836"/>
        <v>0</v>
      </c>
      <c r="U383" s="42">
        <f t="shared" si="5836"/>
        <v>0</v>
      </c>
      <c r="V383" s="42"/>
      <c r="W383" s="42">
        <f t="shared" ref="W383:Y383" si="5837">V383</f>
        <v>0</v>
      </c>
      <c r="X383" s="42">
        <f t="shared" si="5837"/>
        <v>0</v>
      </c>
      <c r="Y383" s="42">
        <f t="shared" si="5837"/>
        <v>0</v>
      </c>
      <c r="Z383" s="42"/>
      <c r="AA383" s="42">
        <f t="shared" ref="AA383:AC383" si="5838">Z383</f>
        <v>0</v>
      </c>
      <c r="AB383" s="42">
        <f t="shared" si="5838"/>
        <v>0</v>
      </c>
      <c r="AC383" s="42">
        <f t="shared" si="5838"/>
        <v>0</v>
      </c>
      <c r="AD383" s="42"/>
      <c r="AE383" s="42">
        <f t="shared" ref="AE383:AG383" si="5839">AD383</f>
        <v>0</v>
      </c>
      <c r="AF383" s="42">
        <f t="shared" si="5839"/>
        <v>0</v>
      </c>
      <c r="AG383" s="42">
        <f t="shared" si="5839"/>
        <v>0</v>
      </c>
      <c r="AH383" s="42"/>
      <c r="AI383" s="42">
        <f t="shared" ref="AI383:AK383" si="5840">AH383</f>
        <v>0</v>
      </c>
      <c r="AJ383" s="42">
        <f t="shared" si="5840"/>
        <v>0</v>
      </c>
      <c r="AK383" s="42">
        <f t="shared" si="5840"/>
        <v>0</v>
      </c>
      <c r="AL383" s="42"/>
      <c r="AM383" s="42">
        <f t="shared" ref="AM383:AO383" si="5841">AL383</f>
        <v>0</v>
      </c>
      <c r="AN383" s="42">
        <f t="shared" si="5841"/>
        <v>0</v>
      </c>
      <c r="AO383" s="42">
        <f t="shared" si="5841"/>
        <v>0</v>
      </c>
      <c r="AP383" s="42"/>
      <c r="AQ383" s="42">
        <f t="shared" ref="AQ383:AS383" si="5842">AP383</f>
        <v>0</v>
      </c>
      <c r="AR383" s="42">
        <f t="shared" si="5842"/>
        <v>0</v>
      </c>
      <c r="AS383" s="42">
        <f t="shared" si="5842"/>
        <v>0</v>
      </c>
      <c r="AT383" s="42"/>
      <c r="AU383" s="42">
        <f t="shared" ref="AU383:AW383" si="5843">AT383</f>
        <v>0</v>
      </c>
      <c r="AV383" s="42">
        <f t="shared" si="5843"/>
        <v>0</v>
      </c>
      <c r="AW383" s="42">
        <f t="shared" si="5843"/>
        <v>0</v>
      </c>
      <c r="AX383" s="42"/>
      <c r="AY383" s="42">
        <f t="shared" ref="AY383:BA383" si="5844">AX383</f>
        <v>0</v>
      </c>
      <c r="AZ383" s="42">
        <f t="shared" si="5844"/>
        <v>0</v>
      </c>
      <c r="BA383" s="42">
        <f t="shared" si="5844"/>
        <v>0</v>
      </c>
      <c r="BB383" s="42"/>
      <c r="BC383" s="42">
        <f t="shared" ref="BC383:BE383" si="5845">BB383</f>
        <v>0</v>
      </c>
      <c r="BD383" s="42">
        <f t="shared" si="5845"/>
        <v>0</v>
      </c>
      <c r="BE383" s="42">
        <f t="shared" si="5845"/>
        <v>0</v>
      </c>
      <c r="BF383" s="42"/>
      <c r="BG383" s="42">
        <f t="shared" ref="BG383:BI383" si="5846">BF383</f>
        <v>0</v>
      </c>
      <c r="BH383" s="42">
        <f t="shared" si="5846"/>
        <v>0</v>
      </c>
      <c r="BI383" s="42">
        <f t="shared" si="5846"/>
        <v>0</v>
      </c>
      <c r="BJ383" s="42"/>
      <c r="BK383" s="42">
        <f t="shared" ref="BK383:BM383" si="5847">BJ383</f>
        <v>0</v>
      </c>
      <c r="BL383" s="42">
        <f t="shared" si="5847"/>
        <v>0</v>
      </c>
      <c r="BM383" s="42">
        <f t="shared" si="5847"/>
        <v>0</v>
      </c>
      <c r="BN383" s="42"/>
      <c r="BO383" s="42">
        <f t="shared" ref="BO383:BQ383" si="5848">BN383</f>
        <v>0</v>
      </c>
      <c r="BP383" s="42">
        <f t="shared" si="5848"/>
        <v>0</v>
      </c>
      <c r="BQ383" s="42">
        <f t="shared" si="5848"/>
        <v>0</v>
      </c>
      <c r="BR383" s="42"/>
      <c r="BS383" s="42">
        <f t="shared" ref="BS383:BU383" si="5849">BR383</f>
        <v>0</v>
      </c>
      <c r="BT383" s="42">
        <f t="shared" si="5849"/>
        <v>0</v>
      </c>
      <c r="BU383" s="42">
        <f t="shared" si="5849"/>
        <v>0</v>
      </c>
      <c r="BV383" s="42"/>
      <c r="BW383" s="42">
        <f t="shared" ref="BW383:BY383" si="5850">BV383</f>
        <v>0</v>
      </c>
      <c r="BX383" s="42">
        <f t="shared" si="5850"/>
        <v>0</v>
      </c>
      <c r="BY383" s="42">
        <f t="shared" si="5850"/>
        <v>0</v>
      </c>
      <c r="BZ383" s="42"/>
      <c r="CA383" s="42">
        <f t="shared" ref="CA383:CC383" si="5851">BZ383</f>
        <v>0</v>
      </c>
      <c r="CB383" s="42">
        <f t="shared" si="5851"/>
        <v>0</v>
      </c>
      <c r="CC383" s="42">
        <f t="shared" si="5851"/>
        <v>0</v>
      </c>
      <c r="CD383" s="42"/>
      <c r="CE383" s="42">
        <f t="shared" ref="CE383:CG383" si="5852">CD383</f>
        <v>0</v>
      </c>
      <c r="CF383" s="42">
        <f t="shared" si="5852"/>
        <v>0</v>
      </c>
      <c r="CG383" s="42">
        <f t="shared" si="5852"/>
        <v>0</v>
      </c>
      <c r="CH383" s="42"/>
      <c r="CI383" s="42">
        <f t="shared" ref="CI383:CK383" si="5853">CH383</f>
        <v>0</v>
      </c>
      <c r="CJ383" s="42">
        <f t="shared" si="5853"/>
        <v>0</v>
      </c>
      <c r="CK383" s="42">
        <f t="shared" si="5853"/>
        <v>0</v>
      </c>
      <c r="CL383" s="42"/>
      <c r="CM383" s="42">
        <f t="shared" ref="CM383:CO383" si="5854">CL383</f>
        <v>0</v>
      </c>
      <c r="CN383" s="42">
        <f t="shared" si="5854"/>
        <v>0</v>
      </c>
      <c r="CO383" s="42">
        <f t="shared" si="5854"/>
        <v>0</v>
      </c>
      <c r="CP383" s="42"/>
      <c r="CQ383" s="42">
        <f t="shared" si="5623"/>
        <v>0</v>
      </c>
      <c r="CR383" s="42">
        <f t="shared" si="5624"/>
        <v>0</v>
      </c>
      <c r="CS383" s="42">
        <f t="shared" si="5625"/>
        <v>0</v>
      </c>
      <c r="CT383" s="42"/>
      <c r="CU383" s="42">
        <f t="shared" si="5626"/>
        <v>0</v>
      </c>
      <c r="CV383" s="42">
        <f t="shared" si="5627"/>
        <v>0</v>
      </c>
      <c r="CW383" s="42">
        <f t="shared" si="5628"/>
        <v>0</v>
      </c>
      <c r="CX383" s="42"/>
      <c r="CY383" s="42">
        <f t="shared" si="5629"/>
        <v>0</v>
      </c>
      <c r="CZ383" s="42">
        <f t="shared" si="5630"/>
        <v>0</v>
      </c>
      <c r="DA383" s="42">
        <f t="shared" si="5631"/>
        <v>0</v>
      </c>
      <c r="DB383" s="42"/>
      <c r="DC383" s="42">
        <f t="shared" si="5632"/>
        <v>0</v>
      </c>
      <c r="DD383" s="42">
        <f t="shared" si="5633"/>
        <v>0</v>
      </c>
      <c r="DE383" s="42">
        <f t="shared" si="5634"/>
        <v>0</v>
      </c>
      <c r="DF383" s="45">
        <f t="shared" si="4935"/>
        <v>0</v>
      </c>
    </row>
    <row r="384" spans="1:110" s="52" customFormat="1" ht="12">
      <c r="A384" s="504">
        <v>196</v>
      </c>
      <c r="B384" s="456" t="s">
        <v>332</v>
      </c>
      <c r="C384" s="457" t="s">
        <v>764</v>
      </c>
      <c r="D384" s="458" t="s">
        <v>545</v>
      </c>
      <c r="E384" s="459"/>
      <c r="F384" s="453"/>
      <c r="G384" s="453"/>
      <c r="H384" s="454">
        <v>96000</v>
      </c>
      <c r="I384" s="219">
        <v>5000</v>
      </c>
      <c r="J384" s="42">
        <f>ROUND(H384/4*(1+取值表!$D$30)*取值表!$H$30,0)</f>
        <v>22720</v>
      </c>
      <c r="K384" s="42">
        <f t="shared" si="5602"/>
        <v>22720</v>
      </c>
      <c r="L384" s="42">
        <f t="shared" si="5602"/>
        <v>22720</v>
      </c>
      <c r="M384" s="42">
        <f t="shared" si="5602"/>
        <v>22720</v>
      </c>
      <c r="N384" s="42">
        <f>ROUND(M384*(1+取值表!$D$30)*取值表!$H$30,0)</f>
        <v>21508</v>
      </c>
      <c r="O384" s="42">
        <f t="shared" ref="O384:Q384" si="5855">N384</f>
        <v>21508</v>
      </c>
      <c r="P384" s="42">
        <f t="shared" si="5855"/>
        <v>21508</v>
      </c>
      <c r="Q384" s="42">
        <f t="shared" si="5855"/>
        <v>21508</v>
      </c>
      <c r="R384" s="42">
        <f>ROUND(Q384*(1+取值表!$D$30)*取值表!$H$30,0)</f>
        <v>20361</v>
      </c>
      <c r="S384" s="42">
        <f t="shared" ref="S384:U384" si="5856">R384</f>
        <v>20361</v>
      </c>
      <c r="T384" s="42">
        <f t="shared" si="5856"/>
        <v>20361</v>
      </c>
      <c r="U384" s="42">
        <f t="shared" si="5856"/>
        <v>20361</v>
      </c>
      <c r="V384" s="42">
        <f>ROUND(U384*(1+取值表!$D$30)*取值表!$H$30,0)</f>
        <v>19275</v>
      </c>
      <c r="W384" s="42">
        <f t="shared" ref="W384:Y384" si="5857">V384</f>
        <v>19275</v>
      </c>
      <c r="X384" s="42">
        <f t="shared" si="5857"/>
        <v>19275</v>
      </c>
      <c r="Y384" s="42">
        <f t="shared" si="5857"/>
        <v>19275</v>
      </c>
      <c r="Z384" s="42">
        <f>ROUND(Y384*(1+取值表!$D$30)*取值表!$H$30,0)</f>
        <v>18247</v>
      </c>
      <c r="AA384" s="42">
        <f t="shared" ref="AA384:AC384" si="5858">Z384</f>
        <v>18247</v>
      </c>
      <c r="AB384" s="42">
        <f t="shared" si="5858"/>
        <v>18247</v>
      </c>
      <c r="AC384" s="42">
        <f t="shared" si="5858"/>
        <v>18247</v>
      </c>
      <c r="AD384" s="42">
        <f>ROUND(AC384*(1+取值表!$D$30)*取值表!$H$30,0)</f>
        <v>17274</v>
      </c>
      <c r="AE384" s="42">
        <f t="shared" ref="AE384:AG384" si="5859">AD384</f>
        <v>17274</v>
      </c>
      <c r="AF384" s="42">
        <f t="shared" si="5859"/>
        <v>17274</v>
      </c>
      <c r="AG384" s="42">
        <f t="shared" si="5859"/>
        <v>17274</v>
      </c>
      <c r="AH384" s="42">
        <f>ROUND(AG384*(1+取值表!$D$30)*取值表!$H$30,0)</f>
        <v>16353</v>
      </c>
      <c r="AI384" s="42">
        <f t="shared" ref="AI384:AK384" si="5860">AH384</f>
        <v>16353</v>
      </c>
      <c r="AJ384" s="42">
        <f t="shared" si="5860"/>
        <v>16353</v>
      </c>
      <c r="AK384" s="42">
        <f t="shared" si="5860"/>
        <v>16353</v>
      </c>
      <c r="AL384" s="42">
        <f>ROUND(AK384*(1+取值表!$D$30)*取值表!$H$30,0)</f>
        <v>15481</v>
      </c>
      <c r="AM384" s="42">
        <f t="shared" ref="AM384:AO384" si="5861">AL384</f>
        <v>15481</v>
      </c>
      <c r="AN384" s="42">
        <f t="shared" si="5861"/>
        <v>15481</v>
      </c>
      <c r="AO384" s="42">
        <f t="shared" si="5861"/>
        <v>15481</v>
      </c>
      <c r="AP384" s="42">
        <f>ROUND(AO384*(1+取值表!$D$30)*取值表!$H$30,0)</f>
        <v>14655</v>
      </c>
      <c r="AQ384" s="42">
        <f t="shared" ref="AQ384:AS384" si="5862">AP384</f>
        <v>14655</v>
      </c>
      <c r="AR384" s="42">
        <f t="shared" si="5862"/>
        <v>14655</v>
      </c>
      <c r="AS384" s="42">
        <f t="shared" si="5862"/>
        <v>14655</v>
      </c>
      <c r="AT384" s="42">
        <f>ROUND(AS384*(1+取值表!$D$30)*取值表!$H$30,0)</f>
        <v>13873</v>
      </c>
      <c r="AU384" s="42">
        <f t="shared" ref="AU384:AW384" si="5863">AT384</f>
        <v>13873</v>
      </c>
      <c r="AV384" s="42">
        <f t="shared" si="5863"/>
        <v>13873</v>
      </c>
      <c r="AW384" s="42">
        <f t="shared" si="5863"/>
        <v>13873</v>
      </c>
      <c r="AX384" s="42">
        <f>ROUND(AW384*(1+取值表!$D$30)*取值表!$H$30,0)</f>
        <v>13133</v>
      </c>
      <c r="AY384" s="42">
        <f t="shared" ref="AY384:BA384" si="5864">AX384</f>
        <v>13133</v>
      </c>
      <c r="AZ384" s="42">
        <f t="shared" si="5864"/>
        <v>13133</v>
      </c>
      <c r="BA384" s="42">
        <f t="shared" si="5864"/>
        <v>13133</v>
      </c>
      <c r="BB384" s="42">
        <f>ROUND(BA384*(1+取值表!$D$30)*取值表!$H$30,0)</f>
        <v>12433</v>
      </c>
      <c r="BC384" s="42">
        <f t="shared" ref="BC384:BE384" si="5865">BB384</f>
        <v>12433</v>
      </c>
      <c r="BD384" s="42">
        <f t="shared" si="5865"/>
        <v>12433</v>
      </c>
      <c r="BE384" s="42">
        <f t="shared" si="5865"/>
        <v>12433</v>
      </c>
      <c r="BF384" s="42">
        <f>ROUND(BE384*(1+取值表!$D$30)*取值表!$H$30,0)</f>
        <v>11770</v>
      </c>
      <c r="BG384" s="42">
        <f t="shared" ref="BG384:BI384" si="5866">BF384</f>
        <v>11770</v>
      </c>
      <c r="BH384" s="42">
        <f t="shared" si="5866"/>
        <v>11770</v>
      </c>
      <c r="BI384" s="42">
        <f t="shared" si="5866"/>
        <v>11770</v>
      </c>
      <c r="BJ384" s="42">
        <f>ROUND(BI384*(1+取值表!$D$30)*取值表!$H$30,0)</f>
        <v>11142</v>
      </c>
      <c r="BK384" s="42">
        <f t="shared" ref="BK384:BM384" si="5867">BJ384</f>
        <v>11142</v>
      </c>
      <c r="BL384" s="42">
        <f t="shared" si="5867"/>
        <v>11142</v>
      </c>
      <c r="BM384" s="42">
        <f t="shared" si="5867"/>
        <v>11142</v>
      </c>
      <c r="BN384" s="42">
        <f>ROUND(BM384*(1+取值表!$D$30)*取值表!$H$30,0)</f>
        <v>10548</v>
      </c>
      <c r="BO384" s="42">
        <f t="shared" ref="BO384:BQ384" si="5868">BN384</f>
        <v>10548</v>
      </c>
      <c r="BP384" s="42">
        <f t="shared" si="5868"/>
        <v>10548</v>
      </c>
      <c r="BQ384" s="42">
        <f t="shared" si="5868"/>
        <v>10548</v>
      </c>
      <c r="BR384" s="42">
        <f>ROUND(BQ384*(1+取值表!$D$30)*取值表!$H$30,0)</f>
        <v>9985</v>
      </c>
      <c r="BS384" s="42">
        <f t="shared" ref="BS384:BU384" si="5869">BR384</f>
        <v>9985</v>
      </c>
      <c r="BT384" s="42">
        <f t="shared" si="5869"/>
        <v>9985</v>
      </c>
      <c r="BU384" s="42">
        <f t="shared" si="5869"/>
        <v>9985</v>
      </c>
      <c r="BV384" s="42">
        <f>ROUND(BU384*(1+取值表!$D$30)*取值表!$H$30,0)</f>
        <v>9453</v>
      </c>
      <c r="BW384" s="42">
        <f t="shared" ref="BW384:BY384" si="5870">BV384</f>
        <v>9453</v>
      </c>
      <c r="BX384" s="42">
        <f t="shared" si="5870"/>
        <v>9453</v>
      </c>
      <c r="BY384" s="42">
        <f t="shared" si="5870"/>
        <v>9453</v>
      </c>
      <c r="BZ384" s="42">
        <f>ROUND(BY384*(1+取值表!$D$30)*取值表!$H$30,0)</f>
        <v>8949</v>
      </c>
      <c r="CA384" s="42">
        <f t="shared" ref="CA384:CC384" si="5871">BZ384</f>
        <v>8949</v>
      </c>
      <c r="CB384" s="42">
        <f t="shared" si="5871"/>
        <v>8949</v>
      </c>
      <c r="CC384" s="42">
        <f t="shared" si="5871"/>
        <v>8949</v>
      </c>
      <c r="CD384" s="42">
        <f>ROUND(CC384*(1+取值表!$D$30)*取值表!$H$30,0)</f>
        <v>8472</v>
      </c>
      <c r="CE384" s="42">
        <f t="shared" ref="CE384:CG384" si="5872">CD384</f>
        <v>8472</v>
      </c>
      <c r="CF384" s="42">
        <f t="shared" si="5872"/>
        <v>8472</v>
      </c>
      <c r="CG384" s="42">
        <f t="shared" si="5872"/>
        <v>8472</v>
      </c>
      <c r="CH384" s="42">
        <f>ROUND(CG384*(1+取值表!$D$30)*取值表!$H$30,0)</f>
        <v>8020</v>
      </c>
      <c r="CI384" s="42">
        <f t="shared" ref="CI384:CK384" si="5873">CH384</f>
        <v>8020</v>
      </c>
      <c r="CJ384" s="42">
        <f t="shared" si="5873"/>
        <v>8020</v>
      </c>
      <c r="CK384" s="42">
        <f t="shared" si="5873"/>
        <v>8020</v>
      </c>
      <c r="CL384" s="42">
        <f>ROUND(CK384*(1+取值表!$D$30)*取值表!$H$30,0)</f>
        <v>7592</v>
      </c>
      <c r="CM384" s="42">
        <f t="shared" ref="CM384:CO384" si="5874">CL384</f>
        <v>7592</v>
      </c>
      <c r="CN384" s="42">
        <f t="shared" si="5874"/>
        <v>7592</v>
      </c>
      <c r="CO384" s="42">
        <f t="shared" si="5874"/>
        <v>7592</v>
      </c>
      <c r="CP384" s="42">
        <f>ROUND(CO384*(1+取值表!$D$30)*取值表!$H$30,0)</f>
        <v>7187</v>
      </c>
      <c r="CQ384" s="42">
        <f t="shared" si="5623"/>
        <v>7187</v>
      </c>
      <c r="CR384" s="42">
        <f t="shared" si="5624"/>
        <v>7187</v>
      </c>
      <c r="CS384" s="42">
        <f t="shared" si="5625"/>
        <v>7187</v>
      </c>
      <c r="CT384" s="42">
        <f>ROUND(CS384*(1+取值表!$D$30)*取值表!$H$30,0)</f>
        <v>6804</v>
      </c>
      <c r="CU384" s="42">
        <f t="shared" si="5626"/>
        <v>6804</v>
      </c>
      <c r="CV384" s="42">
        <f t="shared" si="5627"/>
        <v>6804</v>
      </c>
      <c r="CW384" s="42">
        <f t="shared" si="5628"/>
        <v>6804</v>
      </c>
      <c r="CX384" s="42">
        <f>ROUND(CW384*(1+取值表!$D$30)*取值表!$H$30,0)</f>
        <v>6441</v>
      </c>
      <c r="CY384" s="42">
        <f t="shared" si="5629"/>
        <v>6441</v>
      </c>
      <c r="CZ384" s="42">
        <f t="shared" si="5630"/>
        <v>6441</v>
      </c>
      <c r="DA384" s="42">
        <f t="shared" si="5631"/>
        <v>6441</v>
      </c>
      <c r="DB384" s="42">
        <f>ROUND(DA384*(1+取值表!$D$30)*取值表!$H$30,0)</f>
        <v>6098</v>
      </c>
      <c r="DC384" s="42">
        <f t="shared" si="5632"/>
        <v>6098</v>
      </c>
      <c r="DD384" s="42">
        <f t="shared" si="5633"/>
        <v>6098</v>
      </c>
      <c r="DE384" s="42">
        <f t="shared" si="5634"/>
        <v>6098</v>
      </c>
      <c r="DF384" s="45">
        <f t="shared" si="4935"/>
        <v>1271096</v>
      </c>
    </row>
    <row r="385" spans="1:126" s="52" customFormat="1" ht="12">
      <c r="A385" s="505"/>
      <c r="B385" s="456"/>
      <c r="C385" s="457"/>
      <c r="D385" s="458"/>
      <c r="E385" s="459"/>
      <c r="F385" s="453"/>
      <c r="G385" s="453"/>
      <c r="H385" s="454"/>
      <c r="I385" s="219"/>
      <c r="J385" s="42"/>
      <c r="K385" s="42">
        <f t="shared" si="5602"/>
        <v>0</v>
      </c>
      <c r="L385" s="42">
        <f t="shared" si="5602"/>
        <v>0</v>
      </c>
      <c r="M385" s="42">
        <f t="shared" si="5602"/>
        <v>0</v>
      </c>
      <c r="N385" s="42"/>
      <c r="O385" s="42">
        <f t="shared" ref="O385:Q385" si="5875">N385</f>
        <v>0</v>
      </c>
      <c r="P385" s="42">
        <f t="shared" si="5875"/>
        <v>0</v>
      </c>
      <c r="Q385" s="42">
        <f t="shared" si="5875"/>
        <v>0</v>
      </c>
      <c r="R385" s="42"/>
      <c r="S385" s="42">
        <f t="shared" ref="S385:U385" si="5876">R385</f>
        <v>0</v>
      </c>
      <c r="T385" s="42">
        <f t="shared" si="5876"/>
        <v>0</v>
      </c>
      <c r="U385" s="42">
        <f t="shared" si="5876"/>
        <v>0</v>
      </c>
      <c r="V385" s="42"/>
      <c r="W385" s="42">
        <f t="shared" ref="W385:Y385" si="5877">V385</f>
        <v>0</v>
      </c>
      <c r="X385" s="42">
        <f t="shared" si="5877"/>
        <v>0</v>
      </c>
      <c r="Y385" s="42">
        <f t="shared" si="5877"/>
        <v>0</v>
      </c>
      <c r="Z385" s="42"/>
      <c r="AA385" s="42">
        <f t="shared" ref="AA385:AC385" si="5878">Z385</f>
        <v>0</v>
      </c>
      <c r="AB385" s="42">
        <f t="shared" si="5878"/>
        <v>0</v>
      </c>
      <c r="AC385" s="42">
        <f t="shared" si="5878"/>
        <v>0</v>
      </c>
      <c r="AD385" s="42"/>
      <c r="AE385" s="42">
        <f t="shared" ref="AE385:AG385" si="5879">AD385</f>
        <v>0</v>
      </c>
      <c r="AF385" s="42">
        <f t="shared" si="5879"/>
        <v>0</v>
      </c>
      <c r="AG385" s="42">
        <f t="shared" si="5879"/>
        <v>0</v>
      </c>
      <c r="AH385" s="42"/>
      <c r="AI385" s="42">
        <f t="shared" ref="AI385:AK385" si="5880">AH385</f>
        <v>0</v>
      </c>
      <c r="AJ385" s="42">
        <f t="shared" si="5880"/>
        <v>0</v>
      </c>
      <c r="AK385" s="42">
        <f t="shared" si="5880"/>
        <v>0</v>
      </c>
      <c r="AL385" s="42"/>
      <c r="AM385" s="42">
        <f t="shared" ref="AM385:AO385" si="5881">AL385</f>
        <v>0</v>
      </c>
      <c r="AN385" s="42">
        <f t="shared" si="5881"/>
        <v>0</v>
      </c>
      <c r="AO385" s="42">
        <f t="shared" si="5881"/>
        <v>0</v>
      </c>
      <c r="AP385" s="42"/>
      <c r="AQ385" s="42">
        <f t="shared" ref="AQ385:AS385" si="5882">AP385</f>
        <v>0</v>
      </c>
      <c r="AR385" s="42">
        <f t="shared" si="5882"/>
        <v>0</v>
      </c>
      <c r="AS385" s="42">
        <f t="shared" si="5882"/>
        <v>0</v>
      </c>
      <c r="AT385" s="42"/>
      <c r="AU385" s="42">
        <f t="shared" ref="AU385:AW385" si="5883">AT385</f>
        <v>0</v>
      </c>
      <c r="AV385" s="42">
        <f t="shared" si="5883"/>
        <v>0</v>
      </c>
      <c r="AW385" s="42">
        <f t="shared" si="5883"/>
        <v>0</v>
      </c>
      <c r="AX385" s="42"/>
      <c r="AY385" s="42">
        <f t="shared" ref="AY385:BA385" si="5884">AX385</f>
        <v>0</v>
      </c>
      <c r="AZ385" s="42">
        <f t="shared" si="5884"/>
        <v>0</v>
      </c>
      <c r="BA385" s="42">
        <f t="shared" si="5884"/>
        <v>0</v>
      </c>
      <c r="BB385" s="42"/>
      <c r="BC385" s="42">
        <f t="shared" ref="BC385:BE385" si="5885">BB385</f>
        <v>0</v>
      </c>
      <c r="BD385" s="42">
        <f t="shared" si="5885"/>
        <v>0</v>
      </c>
      <c r="BE385" s="42">
        <f t="shared" si="5885"/>
        <v>0</v>
      </c>
      <c r="BF385" s="42"/>
      <c r="BG385" s="42">
        <f t="shared" ref="BG385:BI385" si="5886">BF385</f>
        <v>0</v>
      </c>
      <c r="BH385" s="42">
        <f t="shared" si="5886"/>
        <v>0</v>
      </c>
      <c r="BI385" s="42">
        <f t="shared" si="5886"/>
        <v>0</v>
      </c>
      <c r="BJ385" s="42"/>
      <c r="BK385" s="42">
        <f t="shared" ref="BK385:BM385" si="5887">BJ385</f>
        <v>0</v>
      </c>
      <c r="BL385" s="42">
        <f t="shared" si="5887"/>
        <v>0</v>
      </c>
      <c r="BM385" s="42">
        <f t="shared" si="5887"/>
        <v>0</v>
      </c>
      <c r="BN385" s="42"/>
      <c r="BO385" s="42">
        <f t="shared" ref="BO385:BQ385" si="5888">BN385</f>
        <v>0</v>
      </c>
      <c r="BP385" s="42">
        <f t="shared" si="5888"/>
        <v>0</v>
      </c>
      <c r="BQ385" s="42">
        <f t="shared" si="5888"/>
        <v>0</v>
      </c>
      <c r="BR385" s="42"/>
      <c r="BS385" s="42">
        <f t="shared" ref="BS385:BU385" si="5889">BR385</f>
        <v>0</v>
      </c>
      <c r="BT385" s="42">
        <f t="shared" si="5889"/>
        <v>0</v>
      </c>
      <c r="BU385" s="42">
        <f t="shared" si="5889"/>
        <v>0</v>
      </c>
      <c r="BV385" s="42"/>
      <c r="BW385" s="42">
        <f t="shared" ref="BW385:BY385" si="5890">BV385</f>
        <v>0</v>
      </c>
      <c r="BX385" s="42">
        <f t="shared" si="5890"/>
        <v>0</v>
      </c>
      <c r="BY385" s="42">
        <f t="shared" si="5890"/>
        <v>0</v>
      </c>
      <c r="BZ385" s="42"/>
      <c r="CA385" s="42">
        <f t="shared" ref="CA385:CC385" si="5891">BZ385</f>
        <v>0</v>
      </c>
      <c r="CB385" s="42">
        <f t="shared" si="5891"/>
        <v>0</v>
      </c>
      <c r="CC385" s="42">
        <f t="shared" si="5891"/>
        <v>0</v>
      </c>
      <c r="CD385" s="42"/>
      <c r="CE385" s="42">
        <f t="shared" ref="CE385:CG385" si="5892">CD385</f>
        <v>0</v>
      </c>
      <c r="CF385" s="42">
        <f t="shared" si="5892"/>
        <v>0</v>
      </c>
      <c r="CG385" s="42">
        <f t="shared" si="5892"/>
        <v>0</v>
      </c>
      <c r="CH385" s="42"/>
      <c r="CI385" s="42">
        <f t="shared" ref="CI385:CK385" si="5893">CH385</f>
        <v>0</v>
      </c>
      <c r="CJ385" s="42">
        <f t="shared" si="5893"/>
        <v>0</v>
      </c>
      <c r="CK385" s="42">
        <f t="shared" si="5893"/>
        <v>0</v>
      </c>
      <c r="CL385" s="42"/>
      <c r="CM385" s="42">
        <f t="shared" ref="CM385:CO385" si="5894">CL385</f>
        <v>0</v>
      </c>
      <c r="CN385" s="42">
        <f t="shared" si="5894"/>
        <v>0</v>
      </c>
      <c r="CO385" s="42">
        <f t="shared" si="5894"/>
        <v>0</v>
      </c>
      <c r="CP385" s="42"/>
      <c r="CQ385" s="42">
        <f t="shared" si="5623"/>
        <v>0</v>
      </c>
      <c r="CR385" s="42">
        <f t="shared" si="5624"/>
        <v>0</v>
      </c>
      <c r="CS385" s="42">
        <f t="shared" si="5625"/>
        <v>0</v>
      </c>
      <c r="CT385" s="42"/>
      <c r="CU385" s="42">
        <f t="shared" si="5626"/>
        <v>0</v>
      </c>
      <c r="CV385" s="42">
        <f t="shared" si="5627"/>
        <v>0</v>
      </c>
      <c r="CW385" s="42">
        <f t="shared" si="5628"/>
        <v>0</v>
      </c>
      <c r="CX385" s="42"/>
      <c r="CY385" s="42">
        <f t="shared" si="5629"/>
        <v>0</v>
      </c>
      <c r="CZ385" s="42">
        <f t="shared" si="5630"/>
        <v>0</v>
      </c>
      <c r="DA385" s="42">
        <f t="shared" si="5631"/>
        <v>0</v>
      </c>
      <c r="DB385" s="42"/>
      <c r="DC385" s="42">
        <f t="shared" si="5632"/>
        <v>0</v>
      </c>
      <c r="DD385" s="42">
        <f t="shared" si="5633"/>
        <v>0</v>
      </c>
      <c r="DE385" s="42">
        <f t="shared" si="5634"/>
        <v>0</v>
      </c>
      <c r="DF385" s="45">
        <f t="shared" si="4935"/>
        <v>0</v>
      </c>
    </row>
    <row r="386" spans="1:126" s="52" customFormat="1" ht="13.5" customHeight="1">
      <c r="A386" s="504">
        <v>197</v>
      </c>
      <c r="B386" s="456" t="s">
        <v>333</v>
      </c>
      <c r="C386" s="457" t="s">
        <v>334</v>
      </c>
      <c r="D386" s="458" t="s">
        <v>464</v>
      </c>
      <c r="E386" s="459"/>
      <c r="F386" s="453"/>
      <c r="G386" s="453"/>
      <c r="H386" s="454">
        <v>120000</v>
      </c>
      <c r="I386" s="219">
        <v>5000</v>
      </c>
      <c r="J386" s="42">
        <f>ROUND(H386/4*(1+取值表!$D$30)*取值表!$H$30,0)</f>
        <v>28400</v>
      </c>
      <c r="K386" s="42">
        <f>J386</f>
        <v>28400</v>
      </c>
      <c r="L386" s="42">
        <f>K386</f>
        <v>28400</v>
      </c>
      <c r="M386" s="42">
        <f>L386</f>
        <v>28400</v>
      </c>
      <c r="N386" s="42">
        <f>ROUND(M386*(1+取值表!$D$30)*取值表!$H$30,0)</f>
        <v>26885</v>
      </c>
      <c r="O386" s="42">
        <f t="shared" ref="O386:Q386" si="5895">N386</f>
        <v>26885</v>
      </c>
      <c r="P386" s="42">
        <f t="shared" si="5895"/>
        <v>26885</v>
      </c>
      <c r="Q386" s="42">
        <f t="shared" si="5895"/>
        <v>26885</v>
      </c>
      <c r="R386" s="42">
        <f>ROUND(Q386*(1+取值表!$D$30)*取值表!$H$30,0)</f>
        <v>25451</v>
      </c>
      <c r="S386" s="42">
        <f t="shared" ref="S386:U386" si="5896">R386</f>
        <v>25451</v>
      </c>
      <c r="T386" s="42">
        <f t="shared" si="5896"/>
        <v>25451</v>
      </c>
      <c r="U386" s="42">
        <f t="shared" si="5896"/>
        <v>25451</v>
      </c>
      <c r="V386" s="42">
        <f>ROUND(U386*(1+取值表!$D$30)*取值表!$H$30,0)</f>
        <v>24094</v>
      </c>
      <c r="W386" s="42">
        <f t="shared" ref="W386:Y386" si="5897">V386</f>
        <v>24094</v>
      </c>
      <c r="X386" s="42">
        <f t="shared" si="5897"/>
        <v>24094</v>
      </c>
      <c r="Y386" s="42">
        <f t="shared" si="5897"/>
        <v>24094</v>
      </c>
      <c r="Z386" s="42">
        <f>ROUND(Y386*(1+取值表!$D$30)*取值表!$H$30,0)</f>
        <v>22809</v>
      </c>
      <c r="AA386" s="42">
        <f t="shared" ref="AA386:AC386" si="5898">Z386</f>
        <v>22809</v>
      </c>
      <c r="AB386" s="42">
        <f t="shared" si="5898"/>
        <v>22809</v>
      </c>
      <c r="AC386" s="42">
        <f t="shared" si="5898"/>
        <v>22809</v>
      </c>
      <c r="AD386" s="42">
        <f>ROUND(AC386*(1+取值表!$D$30)*取值表!$H$30,0)</f>
        <v>21593</v>
      </c>
      <c r="AE386" s="42">
        <f t="shared" ref="AE386:AG386" si="5899">AD386</f>
        <v>21593</v>
      </c>
      <c r="AF386" s="42">
        <f t="shared" si="5899"/>
        <v>21593</v>
      </c>
      <c r="AG386" s="42">
        <f t="shared" si="5899"/>
        <v>21593</v>
      </c>
      <c r="AH386" s="42">
        <f>ROUND(AG386*(1+取值表!$D$30)*取值表!$H$30,0)</f>
        <v>20441</v>
      </c>
      <c r="AI386" s="42">
        <f t="shared" ref="AI386:AK386" si="5900">AH386</f>
        <v>20441</v>
      </c>
      <c r="AJ386" s="42">
        <f t="shared" si="5900"/>
        <v>20441</v>
      </c>
      <c r="AK386" s="42">
        <f t="shared" si="5900"/>
        <v>20441</v>
      </c>
      <c r="AL386" s="42">
        <f>ROUND(AK386*(1+取值表!$D$30)*取值表!$H$30,0)</f>
        <v>19351</v>
      </c>
      <c r="AM386" s="42">
        <f t="shared" ref="AM386:AO386" si="5901">AL386</f>
        <v>19351</v>
      </c>
      <c r="AN386" s="42">
        <f t="shared" si="5901"/>
        <v>19351</v>
      </c>
      <c r="AO386" s="42">
        <f t="shared" si="5901"/>
        <v>19351</v>
      </c>
      <c r="AP386" s="42">
        <f>ROUND(AO386*(1+取值表!$D$30)*取值表!$H$30,0)</f>
        <v>18319</v>
      </c>
      <c r="AQ386" s="42">
        <f t="shared" ref="AQ386:AS386" si="5902">AP386</f>
        <v>18319</v>
      </c>
      <c r="AR386" s="42">
        <f t="shared" si="5902"/>
        <v>18319</v>
      </c>
      <c r="AS386" s="42">
        <f t="shared" si="5902"/>
        <v>18319</v>
      </c>
      <c r="AT386" s="42">
        <f>ROUND(AS386*(1+取值表!$D$30)*取值表!$H$30,0)</f>
        <v>17342</v>
      </c>
      <c r="AU386" s="42">
        <f t="shared" ref="AU386:AW386" si="5903">AT386</f>
        <v>17342</v>
      </c>
      <c r="AV386" s="42">
        <f t="shared" si="5903"/>
        <v>17342</v>
      </c>
      <c r="AW386" s="42">
        <f t="shared" si="5903"/>
        <v>17342</v>
      </c>
      <c r="AX386" s="42">
        <f>ROUND(AW386*(1+取值表!$D$30)*取值表!$H$30,0)</f>
        <v>16417</v>
      </c>
      <c r="AY386" s="42">
        <f t="shared" ref="AY386:BA386" si="5904">AX386</f>
        <v>16417</v>
      </c>
      <c r="AZ386" s="42">
        <f t="shared" si="5904"/>
        <v>16417</v>
      </c>
      <c r="BA386" s="42">
        <f t="shared" si="5904"/>
        <v>16417</v>
      </c>
      <c r="BB386" s="42">
        <f>ROUND(BA386*(1+取值表!$D$30)*取值表!$H$30,0)</f>
        <v>15541</v>
      </c>
      <c r="BC386" s="42">
        <f t="shared" ref="BC386:BE386" si="5905">BB386</f>
        <v>15541</v>
      </c>
      <c r="BD386" s="42">
        <f t="shared" si="5905"/>
        <v>15541</v>
      </c>
      <c r="BE386" s="42">
        <f t="shared" si="5905"/>
        <v>15541</v>
      </c>
      <c r="BF386" s="42">
        <f>ROUND(BE386*(1+取值表!$D$30)*取值表!$H$30,0)</f>
        <v>14712</v>
      </c>
      <c r="BG386" s="42">
        <f t="shared" ref="BG386:BI386" si="5906">BF386</f>
        <v>14712</v>
      </c>
      <c r="BH386" s="42">
        <f t="shared" si="5906"/>
        <v>14712</v>
      </c>
      <c r="BI386" s="42">
        <f t="shared" si="5906"/>
        <v>14712</v>
      </c>
      <c r="BJ386" s="42">
        <f>ROUND(BI386*(1+取值表!$D$30)*取值表!$H$30,0)</f>
        <v>13927</v>
      </c>
      <c r="BK386" s="42">
        <f t="shared" ref="BK386:BM386" si="5907">BJ386</f>
        <v>13927</v>
      </c>
      <c r="BL386" s="42">
        <f t="shared" si="5907"/>
        <v>13927</v>
      </c>
      <c r="BM386" s="42">
        <f t="shared" si="5907"/>
        <v>13927</v>
      </c>
      <c r="BN386" s="42">
        <f>ROUND(BM386*(1+取值表!$D$30)*取值表!$H$30,0)</f>
        <v>13184</v>
      </c>
      <c r="BO386" s="42">
        <f t="shared" ref="BO386:BQ386" si="5908">BN386</f>
        <v>13184</v>
      </c>
      <c r="BP386" s="42">
        <f t="shared" si="5908"/>
        <v>13184</v>
      </c>
      <c r="BQ386" s="42">
        <f t="shared" si="5908"/>
        <v>13184</v>
      </c>
      <c r="BR386" s="42">
        <f>ROUND(BQ386*(1+取值表!$D$30)*取值表!$H$30,0)</f>
        <v>12481</v>
      </c>
      <c r="BS386" s="42">
        <f t="shared" ref="BS386:BU386" si="5909">BR386</f>
        <v>12481</v>
      </c>
      <c r="BT386" s="42">
        <f t="shared" si="5909"/>
        <v>12481</v>
      </c>
      <c r="BU386" s="42">
        <f t="shared" si="5909"/>
        <v>12481</v>
      </c>
      <c r="BV386" s="42">
        <f>ROUND(BU386*(1+取值表!$D$30)*取值表!$H$30,0)</f>
        <v>11815</v>
      </c>
      <c r="BW386" s="42">
        <f t="shared" ref="BW386:BY386" si="5910">BV386</f>
        <v>11815</v>
      </c>
      <c r="BX386" s="42">
        <f t="shared" si="5910"/>
        <v>11815</v>
      </c>
      <c r="BY386" s="42">
        <f t="shared" si="5910"/>
        <v>11815</v>
      </c>
      <c r="BZ386" s="42">
        <f>ROUND(BY386*(1+取值表!$D$30)*取值表!$H$30,0)</f>
        <v>11185</v>
      </c>
      <c r="CA386" s="42">
        <f t="shared" ref="CA386:CC386" si="5911">BZ386</f>
        <v>11185</v>
      </c>
      <c r="CB386" s="42">
        <f t="shared" si="5911"/>
        <v>11185</v>
      </c>
      <c r="CC386" s="42">
        <f t="shared" si="5911"/>
        <v>11185</v>
      </c>
      <c r="CD386" s="42">
        <f>ROUND(CC386*(1+取值表!$D$30)*取值表!$H$30,0)</f>
        <v>10589</v>
      </c>
      <c r="CE386" s="42">
        <f t="shared" ref="CE386:CG386" si="5912">CD386</f>
        <v>10589</v>
      </c>
      <c r="CF386" s="42">
        <f t="shared" si="5912"/>
        <v>10589</v>
      </c>
      <c r="CG386" s="42">
        <f t="shared" si="5912"/>
        <v>10589</v>
      </c>
      <c r="CH386" s="42">
        <f>ROUND(CG386*(1+取值表!$D$30)*取值表!$H$30,0)</f>
        <v>10024</v>
      </c>
      <c r="CI386" s="42">
        <f t="shared" ref="CI386:CK386" si="5913">CH386</f>
        <v>10024</v>
      </c>
      <c r="CJ386" s="42">
        <f t="shared" si="5913"/>
        <v>10024</v>
      </c>
      <c r="CK386" s="42">
        <f t="shared" si="5913"/>
        <v>10024</v>
      </c>
      <c r="CL386" s="42">
        <f>ROUND(CK386*(1+取值表!$D$30)*取值表!$H$30,0)</f>
        <v>9489</v>
      </c>
      <c r="CM386" s="42">
        <f t="shared" ref="CM386:CO386" si="5914">CL386</f>
        <v>9489</v>
      </c>
      <c r="CN386" s="42">
        <f t="shared" si="5914"/>
        <v>9489</v>
      </c>
      <c r="CO386" s="42">
        <f t="shared" si="5914"/>
        <v>9489</v>
      </c>
      <c r="CP386" s="42">
        <f>ROUND(CO386*(1+取值表!$D$30)*取值表!$H$30,0)</f>
        <v>8983</v>
      </c>
      <c r="CQ386" s="42">
        <f t="shared" si="5623"/>
        <v>8983</v>
      </c>
      <c r="CR386" s="42">
        <f t="shared" si="5624"/>
        <v>8983</v>
      </c>
      <c r="CS386" s="42">
        <f t="shared" si="5625"/>
        <v>8983</v>
      </c>
      <c r="CT386" s="42">
        <f>ROUND(CS386*(1+取值表!$D$30)*取值表!$H$30,0)</f>
        <v>8504</v>
      </c>
      <c r="CU386" s="42">
        <f t="shared" si="5626"/>
        <v>8504</v>
      </c>
      <c r="CV386" s="42">
        <f t="shared" si="5627"/>
        <v>8504</v>
      </c>
      <c r="CW386" s="42">
        <f t="shared" si="5628"/>
        <v>8504</v>
      </c>
      <c r="CX386" s="42">
        <f>ROUND(CW386*(1+取值表!$D$30)*取值表!$H$30,0)</f>
        <v>8050</v>
      </c>
      <c r="CY386" s="42">
        <f t="shared" si="5629"/>
        <v>8050</v>
      </c>
      <c r="CZ386" s="42">
        <f t="shared" si="5630"/>
        <v>8050</v>
      </c>
      <c r="DA386" s="42">
        <f t="shared" si="5631"/>
        <v>8050</v>
      </c>
      <c r="DB386" s="42">
        <f>ROUND(DA386*(1+取值表!$D$30)*取值表!$H$30,0)</f>
        <v>7621</v>
      </c>
      <c r="DC386" s="42">
        <f t="shared" si="5632"/>
        <v>7621</v>
      </c>
      <c r="DD386" s="42">
        <f t="shared" si="5633"/>
        <v>7621</v>
      </c>
      <c r="DE386" s="42">
        <f t="shared" si="5634"/>
        <v>7621</v>
      </c>
      <c r="DF386" s="45">
        <f t="shared" si="4935"/>
        <v>1588828</v>
      </c>
    </row>
    <row r="387" spans="1:126" s="52" customFormat="1" ht="12">
      <c r="A387" s="505"/>
      <c r="B387" s="456"/>
      <c r="C387" s="457"/>
      <c r="D387" s="458"/>
      <c r="E387" s="459"/>
      <c r="F387" s="453"/>
      <c r="G387" s="453"/>
      <c r="H387" s="454"/>
      <c r="I387" s="219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  <c r="DB387" s="42"/>
      <c r="DC387" s="42"/>
      <c r="DD387" s="42"/>
      <c r="DE387" s="42"/>
      <c r="DF387" s="45">
        <f t="shared" si="4935"/>
        <v>0</v>
      </c>
    </row>
    <row r="388" spans="1:126" s="52" customFormat="1" ht="13.5" customHeight="1">
      <c r="A388" s="504">
        <v>198</v>
      </c>
      <c r="B388" s="456" t="s">
        <v>335</v>
      </c>
      <c r="C388" s="457" t="s">
        <v>13</v>
      </c>
      <c r="D388" s="458" t="s">
        <v>464</v>
      </c>
      <c r="E388" s="459"/>
      <c r="F388" s="453"/>
      <c r="G388" s="453"/>
      <c r="H388" s="454">
        <v>96000</v>
      </c>
      <c r="I388" s="219">
        <v>5000</v>
      </c>
      <c r="J388" s="42">
        <f>ROUND(H388/4*(1+取值表!$D$30)*取值表!$H$30,0)</f>
        <v>22720</v>
      </c>
      <c r="K388" s="42">
        <f>J388</f>
        <v>22720</v>
      </c>
      <c r="L388" s="42">
        <f>K388</f>
        <v>22720</v>
      </c>
      <c r="M388" s="42">
        <f>L388</f>
        <v>22720</v>
      </c>
      <c r="N388" s="42">
        <f>ROUND(M388*(1+取值表!$D$30)*取值表!$H$30,0)</f>
        <v>21508</v>
      </c>
      <c r="O388" s="42">
        <f t="shared" ref="O388:Q388" si="5915">N388</f>
        <v>21508</v>
      </c>
      <c r="P388" s="42">
        <f t="shared" si="5915"/>
        <v>21508</v>
      </c>
      <c r="Q388" s="42">
        <f t="shared" si="5915"/>
        <v>21508</v>
      </c>
      <c r="R388" s="42">
        <f>ROUND(Q388*(1+取值表!$D$30)*取值表!$H$30,0)</f>
        <v>20361</v>
      </c>
      <c r="S388" s="42">
        <f t="shared" ref="S388:U388" si="5916">R388</f>
        <v>20361</v>
      </c>
      <c r="T388" s="42">
        <f t="shared" si="5916"/>
        <v>20361</v>
      </c>
      <c r="U388" s="42">
        <f t="shared" si="5916"/>
        <v>20361</v>
      </c>
      <c r="V388" s="42">
        <f>ROUND(U388*(1+取值表!$D$30)*取值表!$H$30,0)</f>
        <v>19275</v>
      </c>
      <c r="W388" s="42">
        <f t="shared" ref="W388:Y388" si="5917">V388</f>
        <v>19275</v>
      </c>
      <c r="X388" s="42">
        <f t="shared" si="5917"/>
        <v>19275</v>
      </c>
      <c r="Y388" s="42">
        <f t="shared" si="5917"/>
        <v>19275</v>
      </c>
      <c r="Z388" s="42">
        <f>ROUND(Y388*(1+取值表!$D$30)*取值表!$H$30,0)</f>
        <v>18247</v>
      </c>
      <c r="AA388" s="42">
        <f t="shared" ref="AA388:AC388" si="5918">Z388</f>
        <v>18247</v>
      </c>
      <c r="AB388" s="42">
        <f t="shared" si="5918"/>
        <v>18247</v>
      </c>
      <c r="AC388" s="42">
        <f t="shared" si="5918"/>
        <v>18247</v>
      </c>
      <c r="AD388" s="42">
        <f>ROUND(AC388*(1+取值表!$D$30)*取值表!$H$30,0)</f>
        <v>17274</v>
      </c>
      <c r="AE388" s="42">
        <f t="shared" ref="AE388:AG388" si="5919">AD388</f>
        <v>17274</v>
      </c>
      <c r="AF388" s="42">
        <f t="shared" si="5919"/>
        <v>17274</v>
      </c>
      <c r="AG388" s="42">
        <f t="shared" si="5919"/>
        <v>17274</v>
      </c>
      <c r="AH388" s="42">
        <f>ROUND(AG388*(1+取值表!$D$30)*取值表!$H$30,0)</f>
        <v>16353</v>
      </c>
      <c r="AI388" s="42">
        <f t="shared" ref="AI388:AK388" si="5920">AH388</f>
        <v>16353</v>
      </c>
      <c r="AJ388" s="42">
        <f t="shared" si="5920"/>
        <v>16353</v>
      </c>
      <c r="AK388" s="42">
        <f t="shared" si="5920"/>
        <v>16353</v>
      </c>
      <c r="AL388" s="42">
        <f>ROUND(AK388*(1+取值表!$D$30)*取值表!$H$30,0)</f>
        <v>15481</v>
      </c>
      <c r="AM388" s="42">
        <f t="shared" ref="AM388:AO388" si="5921">AL388</f>
        <v>15481</v>
      </c>
      <c r="AN388" s="42">
        <f t="shared" si="5921"/>
        <v>15481</v>
      </c>
      <c r="AO388" s="42">
        <f t="shared" si="5921"/>
        <v>15481</v>
      </c>
      <c r="AP388" s="42">
        <f>ROUND(AO388*(1+取值表!$D$30)*取值表!$H$30,0)</f>
        <v>14655</v>
      </c>
      <c r="AQ388" s="42">
        <f t="shared" ref="AQ388:AS388" si="5922">AP388</f>
        <v>14655</v>
      </c>
      <c r="AR388" s="42">
        <f t="shared" si="5922"/>
        <v>14655</v>
      </c>
      <c r="AS388" s="42">
        <f t="shared" si="5922"/>
        <v>14655</v>
      </c>
      <c r="AT388" s="42">
        <f>ROUND(AS388*(1+取值表!$D$30)*取值表!$H$30,0)</f>
        <v>13873</v>
      </c>
      <c r="AU388" s="42">
        <f t="shared" ref="AU388:AW388" si="5923">AT388</f>
        <v>13873</v>
      </c>
      <c r="AV388" s="42">
        <f t="shared" si="5923"/>
        <v>13873</v>
      </c>
      <c r="AW388" s="42">
        <f t="shared" si="5923"/>
        <v>13873</v>
      </c>
      <c r="AX388" s="42">
        <f>ROUND(AW388*(1+取值表!$D$30)*取值表!$H$30,0)</f>
        <v>13133</v>
      </c>
      <c r="AY388" s="42">
        <f t="shared" ref="AY388:BA388" si="5924">AX388</f>
        <v>13133</v>
      </c>
      <c r="AZ388" s="42">
        <f t="shared" si="5924"/>
        <v>13133</v>
      </c>
      <c r="BA388" s="42">
        <f t="shared" si="5924"/>
        <v>13133</v>
      </c>
      <c r="BB388" s="42">
        <f>ROUND(BA388*(1+取值表!$D$30)*取值表!$H$30,0)</f>
        <v>12433</v>
      </c>
      <c r="BC388" s="42">
        <f t="shared" ref="BC388:BE388" si="5925">BB388</f>
        <v>12433</v>
      </c>
      <c r="BD388" s="42">
        <f t="shared" si="5925"/>
        <v>12433</v>
      </c>
      <c r="BE388" s="42">
        <f t="shared" si="5925"/>
        <v>12433</v>
      </c>
      <c r="BF388" s="42">
        <f>ROUND(BE388*(1+取值表!$D$30)*取值表!$H$30,0)</f>
        <v>11770</v>
      </c>
      <c r="BG388" s="42">
        <f t="shared" ref="BG388:BI388" si="5926">BF388</f>
        <v>11770</v>
      </c>
      <c r="BH388" s="42">
        <f t="shared" si="5926"/>
        <v>11770</v>
      </c>
      <c r="BI388" s="42">
        <f t="shared" si="5926"/>
        <v>11770</v>
      </c>
      <c r="BJ388" s="42">
        <f>ROUND(BI388*(1+取值表!$D$30)*取值表!$H$30,0)</f>
        <v>11142</v>
      </c>
      <c r="BK388" s="42">
        <f t="shared" ref="BK388:BM388" si="5927">BJ388</f>
        <v>11142</v>
      </c>
      <c r="BL388" s="42">
        <f t="shared" si="5927"/>
        <v>11142</v>
      </c>
      <c r="BM388" s="42">
        <f t="shared" si="5927"/>
        <v>11142</v>
      </c>
      <c r="BN388" s="42">
        <f>ROUND(BM388*(1+取值表!$D$30)*取值表!$H$30,0)</f>
        <v>10548</v>
      </c>
      <c r="BO388" s="42">
        <f t="shared" ref="BO388:BQ388" si="5928">BN388</f>
        <v>10548</v>
      </c>
      <c r="BP388" s="42">
        <f t="shared" si="5928"/>
        <v>10548</v>
      </c>
      <c r="BQ388" s="42">
        <f t="shared" si="5928"/>
        <v>10548</v>
      </c>
      <c r="BR388" s="42">
        <f>ROUND(BQ388*(1+取值表!$D$30)*取值表!$H$30,0)</f>
        <v>9985</v>
      </c>
      <c r="BS388" s="42">
        <f t="shared" ref="BS388:BU388" si="5929">BR388</f>
        <v>9985</v>
      </c>
      <c r="BT388" s="42">
        <f t="shared" si="5929"/>
        <v>9985</v>
      </c>
      <c r="BU388" s="42">
        <f t="shared" si="5929"/>
        <v>9985</v>
      </c>
      <c r="BV388" s="42">
        <f>ROUND(BU388*(1+取值表!$D$30)*取值表!$H$30,0)</f>
        <v>9453</v>
      </c>
      <c r="BW388" s="42">
        <f t="shared" ref="BW388:BY388" si="5930">BV388</f>
        <v>9453</v>
      </c>
      <c r="BX388" s="42">
        <f t="shared" si="5930"/>
        <v>9453</v>
      </c>
      <c r="BY388" s="42">
        <f t="shared" si="5930"/>
        <v>9453</v>
      </c>
      <c r="BZ388" s="42">
        <f>ROUND(BY388*(1+取值表!$D$30)*取值表!$H$30,0)</f>
        <v>8949</v>
      </c>
      <c r="CA388" s="42">
        <f t="shared" ref="CA388:CC388" si="5931">BZ388</f>
        <v>8949</v>
      </c>
      <c r="CB388" s="42">
        <f t="shared" si="5931"/>
        <v>8949</v>
      </c>
      <c r="CC388" s="42">
        <f t="shared" si="5931"/>
        <v>8949</v>
      </c>
      <c r="CD388" s="42">
        <f>ROUND(CC388*(1+取值表!$D$30)*取值表!$H$30,0)</f>
        <v>8472</v>
      </c>
      <c r="CE388" s="42">
        <f t="shared" ref="CE388:CG388" si="5932">CD388</f>
        <v>8472</v>
      </c>
      <c r="CF388" s="42">
        <f t="shared" si="5932"/>
        <v>8472</v>
      </c>
      <c r="CG388" s="42">
        <f t="shared" si="5932"/>
        <v>8472</v>
      </c>
      <c r="CH388" s="42">
        <f>ROUND(CG388*(1+取值表!$D$30)*取值表!$H$30,0)</f>
        <v>8020</v>
      </c>
      <c r="CI388" s="42">
        <f t="shared" ref="CI388:CK388" si="5933">CH388</f>
        <v>8020</v>
      </c>
      <c r="CJ388" s="42">
        <f t="shared" si="5933"/>
        <v>8020</v>
      </c>
      <c r="CK388" s="42">
        <f t="shared" si="5933"/>
        <v>8020</v>
      </c>
      <c r="CL388" s="42">
        <f>ROUND(CK388*(1+取值表!$D$30)*取值表!$H$30,0)</f>
        <v>7592</v>
      </c>
      <c r="CM388" s="42">
        <f t="shared" ref="CM388:CO388" si="5934">CL388</f>
        <v>7592</v>
      </c>
      <c r="CN388" s="42">
        <f t="shared" si="5934"/>
        <v>7592</v>
      </c>
      <c r="CO388" s="42">
        <f t="shared" si="5934"/>
        <v>7592</v>
      </c>
      <c r="CP388" s="42">
        <f>ROUND(CO388*(1+取值表!$D$30)*取值表!$H$30,0)</f>
        <v>7187</v>
      </c>
      <c r="CQ388" s="42">
        <f t="shared" ref="CQ388" si="5935">CP388</f>
        <v>7187</v>
      </c>
      <c r="CR388" s="42">
        <f t="shared" ref="CR388" si="5936">CQ388</f>
        <v>7187</v>
      </c>
      <c r="CS388" s="42">
        <f t="shared" ref="CS388" si="5937">CR388</f>
        <v>7187</v>
      </c>
      <c r="CT388" s="42">
        <f>ROUND(CS388*(1+取值表!$D$30)*取值表!$H$30,0)</f>
        <v>6804</v>
      </c>
      <c r="CU388" s="42">
        <f t="shared" ref="CU388" si="5938">CT388</f>
        <v>6804</v>
      </c>
      <c r="CV388" s="42">
        <f t="shared" ref="CV388" si="5939">CU388</f>
        <v>6804</v>
      </c>
      <c r="CW388" s="42">
        <f t="shared" ref="CW388" si="5940">CV388</f>
        <v>6804</v>
      </c>
      <c r="CX388" s="42">
        <f>ROUND(CW388*(1+取值表!$D$30)*取值表!$H$30,0)</f>
        <v>6441</v>
      </c>
      <c r="CY388" s="42">
        <f t="shared" ref="CY388" si="5941">CX388</f>
        <v>6441</v>
      </c>
      <c r="CZ388" s="42">
        <f t="shared" ref="CZ388" si="5942">CY388</f>
        <v>6441</v>
      </c>
      <c r="DA388" s="42">
        <f t="shared" ref="DA388" si="5943">CZ388</f>
        <v>6441</v>
      </c>
      <c r="DB388" s="42">
        <f>ROUND(DA388*(1+取值表!$D$30)*取值表!$H$30,0)</f>
        <v>6098</v>
      </c>
      <c r="DC388" s="42">
        <f t="shared" ref="DC388" si="5944">DB388</f>
        <v>6098</v>
      </c>
      <c r="DD388" s="42">
        <f t="shared" ref="DD388" si="5945">DC388</f>
        <v>6098</v>
      </c>
      <c r="DE388" s="42">
        <f t="shared" ref="DE388" si="5946">DD388</f>
        <v>6098</v>
      </c>
      <c r="DF388" s="45">
        <f t="shared" ref="DF388:DF396" si="5947">SUM(J388:DE388)</f>
        <v>1271096</v>
      </c>
    </row>
    <row r="389" spans="1:126" s="52" customFormat="1" ht="12">
      <c r="A389" s="505"/>
      <c r="B389" s="456"/>
      <c r="C389" s="457"/>
      <c r="D389" s="458"/>
      <c r="E389" s="459"/>
      <c r="F389" s="453"/>
      <c r="G389" s="453"/>
      <c r="H389" s="454"/>
      <c r="I389" s="219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  <c r="DB389" s="42"/>
      <c r="DC389" s="42"/>
      <c r="DD389" s="42"/>
      <c r="DE389" s="42"/>
      <c r="DF389" s="45">
        <f t="shared" si="5947"/>
        <v>0</v>
      </c>
    </row>
    <row r="390" spans="1:126" s="52" customFormat="1" ht="12">
      <c r="A390" s="504">
        <v>199</v>
      </c>
      <c r="B390" s="456" t="s">
        <v>335</v>
      </c>
      <c r="C390" s="457" t="s">
        <v>106</v>
      </c>
      <c r="D390" s="458" t="s">
        <v>542</v>
      </c>
      <c r="E390" s="459"/>
      <c r="F390" s="453"/>
      <c r="G390" s="453"/>
      <c r="H390" s="454">
        <v>96000</v>
      </c>
      <c r="I390" s="219">
        <v>5000</v>
      </c>
      <c r="J390" s="42">
        <f>ROUND(H390/4*(1+取值表!$D$30)*取值表!$H$30,0)</f>
        <v>22720</v>
      </c>
      <c r="K390" s="42">
        <f>J390</f>
        <v>22720</v>
      </c>
      <c r="L390" s="42">
        <f>K390</f>
        <v>22720</v>
      </c>
      <c r="M390" s="42">
        <f>L390</f>
        <v>22720</v>
      </c>
      <c r="N390" s="42">
        <f>ROUND(M390*(1+取值表!$D$30)*取值表!$H$30,0)</f>
        <v>21508</v>
      </c>
      <c r="O390" s="42">
        <f t="shared" ref="O390:Q390" si="5948">N390</f>
        <v>21508</v>
      </c>
      <c r="P390" s="42">
        <f t="shared" si="5948"/>
        <v>21508</v>
      </c>
      <c r="Q390" s="42">
        <f t="shared" si="5948"/>
        <v>21508</v>
      </c>
      <c r="R390" s="42">
        <f>ROUND(Q390*(1+取值表!$D$30)*取值表!$H$30,0)</f>
        <v>20361</v>
      </c>
      <c r="S390" s="42">
        <f t="shared" ref="S390:U390" si="5949">R390</f>
        <v>20361</v>
      </c>
      <c r="T390" s="42">
        <f t="shared" si="5949"/>
        <v>20361</v>
      </c>
      <c r="U390" s="42">
        <f t="shared" si="5949"/>
        <v>20361</v>
      </c>
      <c r="V390" s="42">
        <f>ROUND(U390*(1+取值表!$D$30)*取值表!$H$30,0)</f>
        <v>19275</v>
      </c>
      <c r="W390" s="42">
        <f t="shared" ref="W390:Y390" si="5950">V390</f>
        <v>19275</v>
      </c>
      <c r="X390" s="42">
        <f t="shared" si="5950"/>
        <v>19275</v>
      </c>
      <c r="Y390" s="42">
        <f t="shared" si="5950"/>
        <v>19275</v>
      </c>
      <c r="Z390" s="42">
        <f>ROUND(Y390*(1+取值表!$D$30)*取值表!$H$30,0)</f>
        <v>18247</v>
      </c>
      <c r="AA390" s="42">
        <f t="shared" ref="AA390:AC390" si="5951">Z390</f>
        <v>18247</v>
      </c>
      <c r="AB390" s="42">
        <f t="shared" si="5951"/>
        <v>18247</v>
      </c>
      <c r="AC390" s="42">
        <f t="shared" si="5951"/>
        <v>18247</v>
      </c>
      <c r="AD390" s="42">
        <f>ROUND(AC390*(1+取值表!$D$30)*取值表!$H$30,0)</f>
        <v>17274</v>
      </c>
      <c r="AE390" s="42">
        <f t="shared" ref="AE390:AG390" si="5952">AD390</f>
        <v>17274</v>
      </c>
      <c r="AF390" s="42">
        <f t="shared" si="5952"/>
        <v>17274</v>
      </c>
      <c r="AG390" s="42">
        <f t="shared" si="5952"/>
        <v>17274</v>
      </c>
      <c r="AH390" s="42">
        <f>ROUND(AG390*(1+取值表!$D$30)*取值表!$H$30,0)</f>
        <v>16353</v>
      </c>
      <c r="AI390" s="42">
        <f t="shared" ref="AI390:AK390" si="5953">AH390</f>
        <v>16353</v>
      </c>
      <c r="AJ390" s="42">
        <f t="shared" si="5953"/>
        <v>16353</v>
      </c>
      <c r="AK390" s="42">
        <f t="shared" si="5953"/>
        <v>16353</v>
      </c>
      <c r="AL390" s="42">
        <f>ROUND(AK390*(1+取值表!$D$30)*取值表!$H$30,0)</f>
        <v>15481</v>
      </c>
      <c r="AM390" s="42">
        <f t="shared" ref="AM390:AO390" si="5954">AL390</f>
        <v>15481</v>
      </c>
      <c r="AN390" s="42">
        <f t="shared" si="5954"/>
        <v>15481</v>
      </c>
      <c r="AO390" s="42">
        <f t="shared" si="5954"/>
        <v>15481</v>
      </c>
      <c r="AP390" s="42">
        <f>ROUND(AO390*(1+取值表!$D$30)*取值表!$H$30,0)</f>
        <v>14655</v>
      </c>
      <c r="AQ390" s="42">
        <f t="shared" ref="AQ390:AS390" si="5955">AP390</f>
        <v>14655</v>
      </c>
      <c r="AR390" s="42">
        <f t="shared" si="5955"/>
        <v>14655</v>
      </c>
      <c r="AS390" s="42">
        <f t="shared" si="5955"/>
        <v>14655</v>
      </c>
      <c r="AT390" s="42">
        <f>ROUND(AS390*(1+取值表!$D$30)*取值表!$H$30,0)</f>
        <v>13873</v>
      </c>
      <c r="AU390" s="42">
        <f t="shared" ref="AU390:AW390" si="5956">AT390</f>
        <v>13873</v>
      </c>
      <c r="AV390" s="42">
        <f t="shared" si="5956"/>
        <v>13873</v>
      </c>
      <c r="AW390" s="42">
        <f t="shared" si="5956"/>
        <v>13873</v>
      </c>
      <c r="AX390" s="42">
        <f>ROUND(AW390*(1+取值表!$D$30)*取值表!$H$30,0)</f>
        <v>13133</v>
      </c>
      <c r="AY390" s="42">
        <f t="shared" ref="AY390:BA390" si="5957">AX390</f>
        <v>13133</v>
      </c>
      <c r="AZ390" s="42">
        <f t="shared" si="5957"/>
        <v>13133</v>
      </c>
      <c r="BA390" s="42">
        <f t="shared" si="5957"/>
        <v>13133</v>
      </c>
      <c r="BB390" s="42">
        <f>ROUND(BA390*(1+取值表!$D$30)*取值表!$H$30,0)</f>
        <v>12433</v>
      </c>
      <c r="BC390" s="42">
        <f t="shared" ref="BC390:BE390" si="5958">BB390</f>
        <v>12433</v>
      </c>
      <c r="BD390" s="42">
        <f t="shared" si="5958"/>
        <v>12433</v>
      </c>
      <c r="BE390" s="42">
        <f t="shared" si="5958"/>
        <v>12433</v>
      </c>
      <c r="BF390" s="42">
        <f>ROUND(BE390*(1+取值表!$D$30)*取值表!$H$30,0)</f>
        <v>11770</v>
      </c>
      <c r="BG390" s="42">
        <f t="shared" ref="BG390:BI390" si="5959">BF390</f>
        <v>11770</v>
      </c>
      <c r="BH390" s="42">
        <f t="shared" si="5959"/>
        <v>11770</v>
      </c>
      <c r="BI390" s="42">
        <f t="shared" si="5959"/>
        <v>11770</v>
      </c>
      <c r="BJ390" s="42">
        <f>ROUND(BI390*(1+取值表!$D$30)*取值表!$H$30,0)</f>
        <v>11142</v>
      </c>
      <c r="BK390" s="42">
        <f t="shared" ref="BK390:BM390" si="5960">BJ390</f>
        <v>11142</v>
      </c>
      <c r="BL390" s="42">
        <f t="shared" si="5960"/>
        <v>11142</v>
      </c>
      <c r="BM390" s="42">
        <f t="shared" si="5960"/>
        <v>11142</v>
      </c>
      <c r="BN390" s="42">
        <f>ROUND(BM390*(1+取值表!$D$30)*取值表!$H$30,0)</f>
        <v>10548</v>
      </c>
      <c r="BO390" s="42">
        <f t="shared" ref="BO390:BQ390" si="5961">BN390</f>
        <v>10548</v>
      </c>
      <c r="BP390" s="42">
        <f t="shared" si="5961"/>
        <v>10548</v>
      </c>
      <c r="BQ390" s="42">
        <f t="shared" si="5961"/>
        <v>10548</v>
      </c>
      <c r="BR390" s="42">
        <f>ROUND(BQ390*(1+取值表!$D$30)*取值表!$H$30,0)</f>
        <v>9985</v>
      </c>
      <c r="BS390" s="42">
        <f t="shared" ref="BS390:BU390" si="5962">BR390</f>
        <v>9985</v>
      </c>
      <c r="BT390" s="42">
        <f t="shared" si="5962"/>
        <v>9985</v>
      </c>
      <c r="BU390" s="42">
        <f t="shared" si="5962"/>
        <v>9985</v>
      </c>
      <c r="BV390" s="42">
        <f>ROUND(BU390*(1+取值表!$D$30)*取值表!$H$30,0)</f>
        <v>9453</v>
      </c>
      <c r="BW390" s="42">
        <f t="shared" ref="BW390:BY390" si="5963">BV390</f>
        <v>9453</v>
      </c>
      <c r="BX390" s="42">
        <f t="shared" si="5963"/>
        <v>9453</v>
      </c>
      <c r="BY390" s="42">
        <f t="shared" si="5963"/>
        <v>9453</v>
      </c>
      <c r="BZ390" s="42">
        <f>ROUND(BY390*(1+取值表!$D$30)*取值表!$H$30,0)</f>
        <v>8949</v>
      </c>
      <c r="CA390" s="42">
        <f t="shared" ref="CA390:CC390" si="5964">BZ390</f>
        <v>8949</v>
      </c>
      <c r="CB390" s="42">
        <f t="shared" si="5964"/>
        <v>8949</v>
      </c>
      <c r="CC390" s="42">
        <f t="shared" si="5964"/>
        <v>8949</v>
      </c>
      <c r="CD390" s="42">
        <f>ROUND(CC390*(1+取值表!$D$30)*取值表!$H$30,0)</f>
        <v>8472</v>
      </c>
      <c r="CE390" s="42">
        <f t="shared" ref="CE390:CG390" si="5965">CD390</f>
        <v>8472</v>
      </c>
      <c r="CF390" s="42">
        <f t="shared" si="5965"/>
        <v>8472</v>
      </c>
      <c r="CG390" s="42">
        <f t="shared" si="5965"/>
        <v>8472</v>
      </c>
      <c r="CH390" s="42">
        <f>ROUND(CG390*(1+取值表!$D$30)*取值表!$H$30,0)</f>
        <v>8020</v>
      </c>
      <c r="CI390" s="42">
        <f t="shared" ref="CI390:CK390" si="5966">CH390</f>
        <v>8020</v>
      </c>
      <c r="CJ390" s="42">
        <f t="shared" si="5966"/>
        <v>8020</v>
      </c>
      <c r="CK390" s="42">
        <f t="shared" si="5966"/>
        <v>8020</v>
      </c>
      <c r="CL390" s="42">
        <f>ROUND(CK390*(1+取值表!$D$30)*取值表!$H$30,0)</f>
        <v>7592</v>
      </c>
      <c r="CM390" s="42">
        <f t="shared" ref="CM390:CO390" si="5967">CL390</f>
        <v>7592</v>
      </c>
      <c r="CN390" s="42">
        <f t="shared" si="5967"/>
        <v>7592</v>
      </c>
      <c r="CO390" s="42">
        <f t="shared" si="5967"/>
        <v>7592</v>
      </c>
      <c r="CP390" s="42">
        <f>ROUND(CO390*(1+取值表!$D$30)*取值表!$H$30,0)</f>
        <v>7187</v>
      </c>
      <c r="CQ390" s="42">
        <f t="shared" ref="CQ390" si="5968">CP390</f>
        <v>7187</v>
      </c>
      <c r="CR390" s="42">
        <f t="shared" ref="CR390" si="5969">CQ390</f>
        <v>7187</v>
      </c>
      <c r="CS390" s="42">
        <f t="shared" ref="CS390" si="5970">CR390</f>
        <v>7187</v>
      </c>
      <c r="CT390" s="42">
        <f>ROUND(CS390*(1+取值表!$D$30)*取值表!$H$30,0)</f>
        <v>6804</v>
      </c>
      <c r="CU390" s="42">
        <f t="shared" ref="CU390" si="5971">CT390</f>
        <v>6804</v>
      </c>
      <c r="CV390" s="42">
        <f t="shared" ref="CV390" si="5972">CU390</f>
        <v>6804</v>
      </c>
      <c r="CW390" s="42">
        <f t="shared" ref="CW390" si="5973">CV390</f>
        <v>6804</v>
      </c>
      <c r="CX390" s="42">
        <f>ROUND(CW390*(1+取值表!$D$30)*取值表!$H$30,0)</f>
        <v>6441</v>
      </c>
      <c r="CY390" s="42">
        <f t="shared" ref="CY390" si="5974">CX390</f>
        <v>6441</v>
      </c>
      <c r="CZ390" s="42">
        <f t="shared" ref="CZ390" si="5975">CY390</f>
        <v>6441</v>
      </c>
      <c r="DA390" s="42">
        <f t="shared" ref="DA390" si="5976">CZ390</f>
        <v>6441</v>
      </c>
      <c r="DB390" s="42">
        <f>ROUND(DA390*(1+取值表!$D$30)*取值表!$H$30,0)</f>
        <v>6098</v>
      </c>
      <c r="DC390" s="42">
        <f t="shared" ref="DC390" si="5977">DB390</f>
        <v>6098</v>
      </c>
      <c r="DD390" s="42">
        <f t="shared" ref="DD390" si="5978">DC390</f>
        <v>6098</v>
      </c>
      <c r="DE390" s="42">
        <f t="shared" ref="DE390" si="5979">DD390</f>
        <v>6098</v>
      </c>
      <c r="DF390" s="45">
        <f t="shared" si="5947"/>
        <v>1271096</v>
      </c>
    </row>
    <row r="391" spans="1:126" s="52" customFormat="1" ht="12">
      <c r="A391" s="505"/>
      <c r="B391" s="456"/>
      <c r="C391" s="457"/>
      <c r="D391" s="458"/>
      <c r="E391" s="459"/>
      <c r="F391" s="453"/>
      <c r="G391" s="453"/>
      <c r="H391" s="454"/>
      <c r="I391" s="219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  <c r="DB391" s="42"/>
      <c r="DC391" s="42"/>
      <c r="DD391" s="42"/>
      <c r="DE391" s="42"/>
      <c r="DF391" s="45">
        <f t="shared" si="5947"/>
        <v>0</v>
      </c>
    </row>
    <row r="392" spans="1:126" s="52" customFormat="1" ht="12">
      <c r="A392" s="504">
        <v>200</v>
      </c>
      <c r="B392" s="456" t="s">
        <v>336</v>
      </c>
      <c r="C392" s="457" t="s">
        <v>337</v>
      </c>
      <c r="D392" s="458" t="s">
        <v>464</v>
      </c>
      <c r="E392" s="459"/>
      <c r="F392" s="453"/>
      <c r="G392" s="453"/>
      <c r="H392" s="454">
        <v>96000</v>
      </c>
      <c r="I392" s="219">
        <v>5000</v>
      </c>
      <c r="J392" s="42">
        <f>ROUND(H392/4*(1+取值表!$D$30)*取值表!$H$30,0)</f>
        <v>22720</v>
      </c>
      <c r="K392" s="42">
        <f>J392</f>
        <v>22720</v>
      </c>
      <c r="L392" s="42">
        <f>K392</f>
        <v>22720</v>
      </c>
      <c r="M392" s="42">
        <f>L392</f>
        <v>22720</v>
      </c>
      <c r="N392" s="42">
        <f>ROUND(M392*(1+取值表!$D$30)*取值表!$H$30,0)</f>
        <v>21508</v>
      </c>
      <c r="O392" s="42">
        <f t="shared" ref="O392:Q392" si="5980">N392</f>
        <v>21508</v>
      </c>
      <c r="P392" s="42">
        <f t="shared" si="5980"/>
        <v>21508</v>
      </c>
      <c r="Q392" s="42">
        <f t="shared" si="5980"/>
        <v>21508</v>
      </c>
      <c r="R392" s="42">
        <f>ROUND(Q392*(1+取值表!$D$30)*取值表!$H$30,0)</f>
        <v>20361</v>
      </c>
      <c r="S392" s="42">
        <f t="shared" ref="S392:U392" si="5981">R392</f>
        <v>20361</v>
      </c>
      <c r="T392" s="42">
        <f t="shared" si="5981"/>
        <v>20361</v>
      </c>
      <c r="U392" s="42">
        <f t="shared" si="5981"/>
        <v>20361</v>
      </c>
      <c r="V392" s="42">
        <f>ROUND(U392*(1+取值表!$D$30)*取值表!$H$30,0)</f>
        <v>19275</v>
      </c>
      <c r="W392" s="42">
        <f t="shared" ref="W392:Y392" si="5982">V392</f>
        <v>19275</v>
      </c>
      <c r="X392" s="42">
        <f t="shared" si="5982"/>
        <v>19275</v>
      </c>
      <c r="Y392" s="42">
        <f t="shared" si="5982"/>
        <v>19275</v>
      </c>
      <c r="Z392" s="42">
        <f>ROUND(Y392*(1+取值表!$D$30)*取值表!$H$30,0)</f>
        <v>18247</v>
      </c>
      <c r="AA392" s="42">
        <f t="shared" ref="AA392:AC392" si="5983">Z392</f>
        <v>18247</v>
      </c>
      <c r="AB392" s="42">
        <f t="shared" si="5983"/>
        <v>18247</v>
      </c>
      <c r="AC392" s="42">
        <f t="shared" si="5983"/>
        <v>18247</v>
      </c>
      <c r="AD392" s="42">
        <f>ROUND(AC392*(1+取值表!$D$30)*取值表!$H$30,0)</f>
        <v>17274</v>
      </c>
      <c r="AE392" s="42">
        <f t="shared" ref="AE392:AG392" si="5984">AD392</f>
        <v>17274</v>
      </c>
      <c r="AF392" s="42">
        <f t="shared" si="5984"/>
        <v>17274</v>
      </c>
      <c r="AG392" s="42">
        <f t="shared" si="5984"/>
        <v>17274</v>
      </c>
      <c r="AH392" s="42">
        <f>ROUND(AG392*(1+取值表!$D$30)*取值表!$H$30,0)</f>
        <v>16353</v>
      </c>
      <c r="AI392" s="42">
        <f t="shared" ref="AI392:AK392" si="5985">AH392</f>
        <v>16353</v>
      </c>
      <c r="AJ392" s="42">
        <f t="shared" si="5985"/>
        <v>16353</v>
      </c>
      <c r="AK392" s="42">
        <f t="shared" si="5985"/>
        <v>16353</v>
      </c>
      <c r="AL392" s="42">
        <f>ROUND(AK392*(1+取值表!$D$30)*取值表!$H$30,0)</f>
        <v>15481</v>
      </c>
      <c r="AM392" s="42">
        <f t="shared" ref="AM392:AO392" si="5986">AL392</f>
        <v>15481</v>
      </c>
      <c r="AN392" s="42">
        <f t="shared" si="5986"/>
        <v>15481</v>
      </c>
      <c r="AO392" s="42">
        <f t="shared" si="5986"/>
        <v>15481</v>
      </c>
      <c r="AP392" s="42">
        <f>ROUND(AO392*(1+取值表!$D$30)*取值表!$H$30,0)</f>
        <v>14655</v>
      </c>
      <c r="AQ392" s="42">
        <f t="shared" ref="AQ392:AS392" si="5987">AP392</f>
        <v>14655</v>
      </c>
      <c r="AR392" s="42">
        <f t="shared" si="5987"/>
        <v>14655</v>
      </c>
      <c r="AS392" s="42">
        <f t="shared" si="5987"/>
        <v>14655</v>
      </c>
      <c r="AT392" s="42">
        <f>ROUND(AS392*(1+取值表!$D$30)*取值表!$H$30,0)</f>
        <v>13873</v>
      </c>
      <c r="AU392" s="42">
        <f t="shared" ref="AU392:AW392" si="5988">AT392</f>
        <v>13873</v>
      </c>
      <c r="AV392" s="42">
        <f t="shared" si="5988"/>
        <v>13873</v>
      </c>
      <c r="AW392" s="42">
        <f t="shared" si="5988"/>
        <v>13873</v>
      </c>
      <c r="AX392" s="42">
        <f>ROUND(AW392*(1+取值表!$D$30)*取值表!$H$30,0)</f>
        <v>13133</v>
      </c>
      <c r="AY392" s="42">
        <f t="shared" ref="AY392:BA392" si="5989">AX392</f>
        <v>13133</v>
      </c>
      <c r="AZ392" s="42">
        <f t="shared" si="5989"/>
        <v>13133</v>
      </c>
      <c r="BA392" s="42">
        <f t="shared" si="5989"/>
        <v>13133</v>
      </c>
      <c r="BB392" s="42">
        <f>ROUND(BA392*(1+取值表!$D$30)*取值表!$H$30,0)</f>
        <v>12433</v>
      </c>
      <c r="BC392" s="42">
        <f t="shared" ref="BC392:BE392" si="5990">BB392</f>
        <v>12433</v>
      </c>
      <c r="BD392" s="42">
        <f t="shared" si="5990"/>
        <v>12433</v>
      </c>
      <c r="BE392" s="42">
        <f t="shared" si="5990"/>
        <v>12433</v>
      </c>
      <c r="BF392" s="42">
        <f>ROUND(BE392*(1+取值表!$D$30)*取值表!$H$30,0)</f>
        <v>11770</v>
      </c>
      <c r="BG392" s="42">
        <f t="shared" ref="BG392:BI392" si="5991">BF392</f>
        <v>11770</v>
      </c>
      <c r="BH392" s="42">
        <f t="shared" si="5991"/>
        <v>11770</v>
      </c>
      <c r="BI392" s="42">
        <f t="shared" si="5991"/>
        <v>11770</v>
      </c>
      <c r="BJ392" s="42">
        <f>ROUND(BI392*(1+取值表!$D$30)*取值表!$H$30,0)</f>
        <v>11142</v>
      </c>
      <c r="BK392" s="42">
        <f t="shared" ref="BK392:BM392" si="5992">BJ392</f>
        <v>11142</v>
      </c>
      <c r="BL392" s="42">
        <f t="shared" si="5992"/>
        <v>11142</v>
      </c>
      <c r="BM392" s="42">
        <f t="shared" si="5992"/>
        <v>11142</v>
      </c>
      <c r="BN392" s="42">
        <f>ROUND(BM392*(1+取值表!$D$30)*取值表!$H$30,0)</f>
        <v>10548</v>
      </c>
      <c r="BO392" s="42">
        <f t="shared" ref="BO392:BQ392" si="5993">BN392</f>
        <v>10548</v>
      </c>
      <c r="BP392" s="42">
        <f t="shared" si="5993"/>
        <v>10548</v>
      </c>
      <c r="BQ392" s="42">
        <f t="shared" si="5993"/>
        <v>10548</v>
      </c>
      <c r="BR392" s="42">
        <f>ROUND(BQ392*(1+取值表!$D$30)*取值表!$H$30,0)</f>
        <v>9985</v>
      </c>
      <c r="BS392" s="42">
        <f t="shared" ref="BS392:BU392" si="5994">BR392</f>
        <v>9985</v>
      </c>
      <c r="BT392" s="42">
        <f t="shared" si="5994"/>
        <v>9985</v>
      </c>
      <c r="BU392" s="42">
        <f t="shared" si="5994"/>
        <v>9985</v>
      </c>
      <c r="BV392" s="42">
        <f>ROUND(BU392*(1+取值表!$D$30)*取值表!$H$30,0)</f>
        <v>9453</v>
      </c>
      <c r="BW392" s="42">
        <f t="shared" ref="BW392:BY392" si="5995">BV392</f>
        <v>9453</v>
      </c>
      <c r="BX392" s="42">
        <f t="shared" si="5995"/>
        <v>9453</v>
      </c>
      <c r="BY392" s="42">
        <f t="shared" si="5995"/>
        <v>9453</v>
      </c>
      <c r="BZ392" s="42">
        <f>ROUND(BY392*(1+取值表!$D$30)*取值表!$H$30,0)</f>
        <v>8949</v>
      </c>
      <c r="CA392" s="42">
        <f t="shared" ref="CA392:CC392" si="5996">BZ392</f>
        <v>8949</v>
      </c>
      <c r="CB392" s="42">
        <f t="shared" si="5996"/>
        <v>8949</v>
      </c>
      <c r="CC392" s="42">
        <f t="shared" si="5996"/>
        <v>8949</v>
      </c>
      <c r="CD392" s="42">
        <f>ROUND(CC392*(1+取值表!$D$30)*取值表!$H$30,0)</f>
        <v>8472</v>
      </c>
      <c r="CE392" s="42">
        <f t="shared" ref="CE392:CG392" si="5997">CD392</f>
        <v>8472</v>
      </c>
      <c r="CF392" s="42">
        <f t="shared" si="5997"/>
        <v>8472</v>
      </c>
      <c r="CG392" s="42">
        <f t="shared" si="5997"/>
        <v>8472</v>
      </c>
      <c r="CH392" s="42">
        <f>ROUND(CG392*(1+取值表!$D$30)*取值表!$H$30,0)</f>
        <v>8020</v>
      </c>
      <c r="CI392" s="42">
        <f t="shared" ref="CI392:CK392" si="5998">CH392</f>
        <v>8020</v>
      </c>
      <c r="CJ392" s="42">
        <f t="shared" si="5998"/>
        <v>8020</v>
      </c>
      <c r="CK392" s="42">
        <f t="shared" si="5998"/>
        <v>8020</v>
      </c>
      <c r="CL392" s="42">
        <f>ROUND(CK392*(1+取值表!$D$30)*取值表!$H$30,0)</f>
        <v>7592</v>
      </c>
      <c r="CM392" s="42">
        <f t="shared" ref="CM392:CO392" si="5999">CL392</f>
        <v>7592</v>
      </c>
      <c r="CN392" s="42">
        <f t="shared" si="5999"/>
        <v>7592</v>
      </c>
      <c r="CO392" s="42">
        <f t="shared" si="5999"/>
        <v>7592</v>
      </c>
      <c r="CP392" s="42">
        <f>ROUND(CO392*(1+取值表!$D$30)*取值表!$H$30,0)</f>
        <v>7187</v>
      </c>
      <c r="CQ392" s="42">
        <f t="shared" ref="CQ392" si="6000">CP392</f>
        <v>7187</v>
      </c>
      <c r="CR392" s="42">
        <f t="shared" ref="CR392" si="6001">CQ392</f>
        <v>7187</v>
      </c>
      <c r="CS392" s="42">
        <f t="shared" ref="CS392" si="6002">CR392</f>
        <v>7187</v>
      </c>
      <c r="CT392" s="42">
        <f>ROUND(CS392*(1+取值表!$D$30)*取值表!$H$30,0)</f>
        <v>6804</v>
      </c>
      <c r="CU392" s="42">
        <f t="shared" ref="CU392" si="6003">CT392</f>
        <v>6804</v>
      </c>
      <c r="CV392" s="42">
        <f t="shared" ref="CV392" si="6004">CU392</f>
        <v>6804</v>
      </c>
      <c r="CW392" s="42">
        <f t="shared" ref="CW392" si="6005">CV392</f>
        <v>6804</v>
      </c>
      <c r="CX392" s="42">
        <f>ROUND(CW392*(1+取值表!$D$30)*取值表!$H$30,0)</f>
        <v>6441</v>
      </c>
      <c r="CY392" s="42">
        <f t="shared" ref="CY392" si="6006">CX392</f>
        <v>6441</v>
      </c>
      <c r="CZ392" s="42">
        <f t="shared" ref="CZ392" si="6007">CY392</f>
        <v>6441</v>
      </c>
      <c r="DA392" s="42">
        <f t="shared" ref="DA392" si="6008">CZ392</f>
        <v>6441</v>
      </c>
      <c r="DB392" s="42">
        <f>ROUND(DA392*(1+取值表!$D$30)*取值表!$H$30,0)</f>
        <v>6098</v>
      </c>
      <c r="DC392" s="42">
        <f t="shared" ref="DC392" si="6009">DB392</f>
        <v>6098</v>
      </c>
      <c r="DD392" s="42">
        <f t="shared" ref="DD392" si="6010">DC392</f>
        <v>6098</v>
      </c>
      <c r="DE392" s="42">
        <f t="shared" ref="DE392" si="6011">DD392</f>
        <v>6098</v>
      </c>
      <c r="DF392" s="45">
        <f t="shared" si="5947"/>
        <v>1271096</v>
      </c>
    </row>
    <row r="393" spans="1:126" s="52" customFormat="1" ht="12">
      <c r="A393" s="505"/>
      <c r="B393" s="456"/>
      <c r="C393" s="457"/>
      <c r="D393" s="458"/>
      <c r="E393" s="459"/>
      <c r="F393" s="453"/>
      <c r="G393" s="453"/>
      <c r="H393" s="454"/>
      <c r="I393" s="219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5">
        <f t="shared" si="5947"/>
        <v>0</v>
      </c>
    </row>
    <row r="394" spans="1:126" s="52" customFormat="1" ht="13.5" customHeight="1">
      <c r="A394" s="504">
        <v>202</v>
      </c>
      <c r="B394" s="456" t="s">
        <v>338</v>
      </c>
      <c r="C394" s="457" t="s">
        <v>319</v>
      </c>
      <c r="D394" s="458" t="s">
        <v>464</v>
      </c>
      <c r="E394" s="459"/>
      <c r="F394" s="453"/>
      <c r="G394" s="453"/>
      <c r="H394" s="454">
        <v>96000</v>
      </c>
      <c r="I394" s="219">
        <v>5000</v>
      </c>
      <c r="J394" s="42">
        <f>ROUND(H394/4*(1+取值表!$D$30)*取值表!$H$30,0)</f>
        <v>22720</v>
      </c>
      <c r="K394" s="42">
        <f>J394</f>
        <v>22720</v>
      </c>
      <c r="L394" s="42">
        <f>K394</f>
        <v>22720</v>
      </c>
      <c r="M394" s="42">
        <f>L394</f>
        <v>22720</v>
      </c>
      <c r="N394" s="42">
        <f>ROUND(M394*(1+取值表!$D$30)*取值表!$H$30,0)</f>
        <v>21508</v>
      </c>
      <c r="O394" s="42">
        <f t="shared" ref="O394:Q394" si="6012">N394</f>
        <v>21508</v>
      </c>
      <c r="P394" s="42">
        <f t="shared" si="6012"/>
        <v>21508</v>
      </c>
      <c r="Q394" s="42">
        <f t="shared" si="6012"/>
        <v>21508</v>
      </c>
      <c r="R394" s="42">
        <f>ROUND(Q394*(1+取值表!$D$30)*取值表!$H$30,0)</f>
        <v>20361</v>
      </c>
      <c r="S394" s="42">
        <f t="shared" ref="S394:U394" si="6013">R394</f>
        <v>20361</v>
      </c>
      <c r="T394" s="42">
        <f t="shared" si="6013"/>
        <v>20361</v>
      </c>
      <c r="U394" s="42">
        <f t="shared" si="6013"/>
        <v>20361</v>
      </c>
      <c r="V394" s="42">
        <f>ROUND(U394*(1+取值表!$D$30)*取值表!$H$30,0)</f>
        <v>19275</v>
      </c>
      <c r="W394" s="42">
        <f t="shared" ref="W394:Y394" si="6014">V394</f>
        <v>19275</v>
      </c>
      <c r="X394" s="42">
        <f t="shared" si="6014"/>
        <v>19275</v>
      </c>
      <c r="Y394" s="42">
        <f t="shared" si="6014"/>
        <v>19275</v>
      </c>
      <c r="Z394" s="42">
        <f>ROUND(Y394*(1+取值表!$D$30)*取值表!$H$30,0)</f>
        <v>18247</v>
      </c>
      <c r="AA394" s="42">
        <f t="shared" ref="AA394:AC394" si="6015">Z394</f>
        <v>18247</v>
      </c>
      <c r="AB394" s="42">
        <f t="shared" si="6015"/>
        <v>18247</v>
      </c>
      <c r="AC394" s="42">
        <f t="shared" si="6015"/>
        <v>18247</v>
      </c>
      <c r="AD394" s="42">
        <f>ROUND(AC394*(1+取值表!$D$30)*取值表!$H$30,0)</f>
        <v>17274</v>
      </c>
      <c r="AE394" s="42">
        <f t="shared" ref="AE394:AG394" si="6016">AD394</f>
        <v>17274</v>
      </c>
      <c r="AF394" s="42">
        <f t="shared" si="6016"/>
        <v>17274</v>
      </c>
      <c r="AG394" s="42">
        <f t="shared" si="6016"/>
        <v>17274</v>
      </c>
      <c r="AH394" s="42">
        <f>ROUND(AG394*(1+取值表!$D$30)*取值表!$H$30,0)</f>
        <v>16353</v>
      </c>
      <c r="AI394" s="42">
        <f t="shared" ref="AI394:AK394" si="6017">AH394</f>
        <v>16353</v>
      </c>
      <c r="AJ394" s="42">
        <f t="shared" si="6017"/>
        <v>16353</v>
      </c>
      <c r="AK394" s="42">
        <f t="shared" si="6017"/>
        <v>16353</v>
      </c>
      <c r="AL394" s="42">
        <f>ROUND(AK394*(1+取值表!$D$30)*取值表!$H$30,0)</f>
        <v>15481</v>
      </c>
      <c r="AM394" s="42">
        <f t="shared" ref="AM394:AO394" si="6018">AL394</f>
        <v>15481</v>
      </c>
      <c r="AN394" s="42">
        <f t="shared" si="6018"/>
        <v>15481</v>
      </c>
      <c r="AO394" s="42">
        <f t="shared" si="6018"/>
        <v>15481</v>
      </c>
      <c r="AP394" s="42">
        <f>ROUND(AO394*(1+取值表!$D$30)*取值表!$H$30,0)</f>
        <v>14655</v>
      </c>
      <c r="AQ394" s="42">
        <f t="shared" ref="AQ394:AS394" si="6019">AP394</f>
        <v>14655</v>
      </c>
      <c r="AR394" s="42">
        <f t="shared" si="6019"/>
        <v>14655</v>
      </c>
      <c r="AS394" s="42">
        <f t="shared" si="6019"/>
        <v>14655</v>
      </c>
      <c r="AT394" s="42">
        <f>ROUND(AS394*(1+取值表!$D$30)*取值表!$H$30,0)</f>
        <v>13873</v>
      </c>
      <c r="AU394" s="42">
        <f t="shared" ref="AU394:AW394" si="6020">AT394</f>
        <v>13873</v>
      </c>
      <c r="AV394" s="42">
        <f t="shared" si="6020"/>
        <v>13873</v>
      </c>
      <c r="AW394" s="42">
        <f t="shared" si="6020"/>
        <v>13873</v>
      </c>
      <c r="AX394" s="42">
        <f>ROUND(AW394*(1+取值表!$D$30)*取值表!$H$30,0)</f>
        <v>13133</v>
      </c>
      <c r="AY394" s="42">
        <f t="shared" ref="AY394:BA394" si="6021">AX394</f>
        <v>13133</v>
      </c>
      <c r="AZ394" s="42">
        <f t="shared" si="6021"/>
        <v>13133</v>
      </c>
      <c r="BA394" s="42">
        <f t="shared" si="6021"/>
        <v>13133</v>
      </c>
      <c r="BB394" s="42">
        <f>ROUND(BA394*(1+取值表!$D$30)*取值表!$H$30,0)</f>
        <v>12433</v>
      </c>
      <c r="BC394" s="42">
        <f t="shared" ref="BC394:BE394" si="6022">BB394</f>
        <v>12433</v>
      </c>
      <c r="BD394" s="42">
        <f t="shared" si="6022"/>
        <v>12433</v>
      </c>
      <c r="BE394" s="42">
        <f t="shared" si="6022"/>
        <v>12433</v>
      </c>
      <c r="BF394" s="42">
        <f>ROUND(BE394*(1+取值表!$D$30)*取值表!$H$30,0)</f>
        <v>11770</v>
      </c>
      <c r="BG394" s="42">
        <f t="shared" ref="BG394:BI394" si="6023">BF394</f>
        <v>11770</v>
      </c>
      <c r="BH394" s="42">
        <f t="shared" si="6023"/>
        <v>11770</v>
      </c>
      <c r="BI394" s="42">
        <f t="shared" si="6023"/>
        <v>11770</v>
      </c>
      <c r="BJ394" s="42">
        <f>ROUND(BI394*(1+取值表!$D$30)*取值表!$H$30,0)</f>
        <v>11142</v>
      </c>
      <c r="BK394" s="42">
        <f t="shared" ref="BK394:BM394" si="6024">BJ394</f>
        <v>11142</v>
      </c>
      <c r="BL394" s="42">
        <f t="shared" si="6024"/>
        <v>11142</v>
      </c>
      <c r="BM394" s="42">
        <f t="shared" si="6024"/>
        <v>11142</v>
      </c>
      <c r="BN394" s="42">
        <f>ROUND(BM394*(1+取值表!$D$30)*取值表!$H$30,0)</f>
        <v>10548</v>
      </c>
      <c r="BO394" s="42">
        <f t="shared" ref="BO394:BQ394" si="6025">BN394</f>
        <v>10548</v>
      </c>
      <c r="BP394" s="42">
        <f t="shared" si="6025"/>
        <v>10548</v>
      </c>
      <c r="BQ394" s="42">
        <f t="shared" si="6025"/>
        <v>10548</v>
      </c>
      <c r="BR394" s="42">
        <f>ROUND(BQ394*(1+取值表!$D$30)*取值表!$H$30,0)</f>
        <v>9985</v>
      </c>
      <c r="BS394" s="42">
        <f t="shared" ref="BS394:BU394" si="6026">BR394</f>
        <v>9985</v>
      </c>
      <c r="BT394" s="42">
        <f t="shared" si="6026"/>
        <v>9985</v>
      </c>
      <c r="BU394" s="42">
        <f t="shared" si="6026"/>
        <v>9985</v>
      </c>
      <c r="BV394" s="42">
        <f>ROUND(BU394*(1+取值表!$D$30)*取值表!$H$30,0)</f>
        <v>9453</v>
      </c>
      <c r="BW394" s="42">
        <f t="shared" ref="BW394:BY394" si="6027">BV394</f>
        <v>9453</v>
      </c>
      <c r="BX394" s="42">
        <f t="shared" si="6027"/>
        <v>9453</v>
      </c>
      <c r="BY394" s="42">
        <f t="shared" si="6027"/>
        <v>9453</v>
      </c>
      <c r="BZ394" s="42">
        <f>ROUND(BY394*(1+取值表!$D$30)*取值表!$H$30,0)</f>
        <v>8949</v>
      </c>
      <c r="CA394" s="42">
        <f t="shared" ref="CA394:CC394" si="6028">BZ394</f>
        <v>8949</v>
      </c>
      <c r="CB394" s="42">
        <f t="shared" si="6028"/>
        <v>8949</v>
      </c>
      <c r="CC394" s="42">
        <f t="shared" si="6028"/>
        <v>8949</v>
      </c>
      <c r="CD394" s="42">
        <f>ROUND(CC394*(1+取值表!$D$30)*取值表!$H$30,0)</f>
        <v>8472</v>
      </c>
      <c r="CE394" s="42">
        <f t="shared" ref="CE394:CG394" si="6029">CD394</f>
        <v>8472</v>
      </c>
      <c r="CF394" s="42">
        <f t="shared" si="6029"/>
        <v>8472</v>
      </c>
      <c r="CG394" s="42">
        <f t="shared" si="6029"/>
        <v>8472</v>
      </c>
      <c r="CH394" s="42">
        <f>ROUND(CG394*(1+取值表!$D$30)*取值表!$H$30,0)</f>
        <v>8020</v>
      </c>
      <c r="CI394" s="42">
        <f t="shared" ref="CI394:CK394" si="6030">CH394</f>
        <v>8020</v>
      </c>
      <c r="CJ394" s="42">
        <f t="shared" si="6030"/>
        <v>8020</v>
      </c>
      <c r="CK394" s="42">
        <f t="shared" si="6030"/>
        <v>8020</v>
      </c>
      <c r="CL394" s="42">
        <f>ROUND(CK394*(1+取值表!$D$30)*取值表!$H$30,0)</f>
        <v>7592</v>
      </c>
      <c r="CM394" s="42">
        <f t="shared" ref="CM394:CO394" si="6031">CL394</f>
        <v>7592</v>
      </c>
      <c r="CN394" s="42">
        <f t="shared" si="6031"/>
        <v>7592</v>
      </c>
      <c r="CO394" s="42">
        <f t="shared" si="6031"/>
        <v>7592</v>
      </c>
      <c r="CP394" s="42">
        <f>ROUND(CO394*(1+取值表!$D$30)*取值表!$H$30,0)</f>
        <v>7187</v>
      </c>
      <c r="CQ394" s="42">
        <f t="shared" ref="CQ394" si="6032">CP394</f>
        <v>7187</v>
      </c>
      <c r="CR394" s="42">
        <f t="shared" ref="CR394" si="6033">CQ394</f>
        <v>7187</v>
      </c>
      <c r="CS394" s="42">
        <f t="shared" ref="CS394" si="6034">CR394</f>
        <v>7187</v>
      </c>
      <c r="CT394" s="42">
        <f>ROUND(CS394*(1+取值表!$D$30)*取值表!$H$30,0)</f>
        <v>6804</v>
      </c>
      <c r="CU394" s="42">
        <f t="shared" ref="CU394" si="6035">CT394</f>
        <v>6804</v>
      </c>
      <c r="CV394" s="42">
        <f t="shared" ref="CV394" si="6036">CU394</f>
        <v>6804</v>
      </c>
      <c r="CW394" s="42">
        <f t="shared" ref="CW394" si="6037">CV394</f>
        <v>6804</v>
      </c>
      <c r="CX394" s="42">
        <f>ROUND(CW394*(1+取值表!$D$30)*取值表!$H$30,0)</f>
        <v>6441</v>
      </c>
      <c r="CY394" s="42">
        <f t="shared" ref="CY394" si="6038">CX394</f>
        <v>6441</v>
      </c>
      <c r="CZ394" s="42">
        <f t="shared" ref="CZ394" si="6039">CY394</f>
        <v>6441</v>
      </c>
      <c r="DA394" s="42">
        <f t="shared" ref="DA394" si="6040">CZ394</f>
        <v>6441</v>
      </c>
      <c r="DB394" s="42">
        <f>ROUND(DA394*(1+取值表!$D$30)*取值表!$H$30,0)</f>
        <v>6098</v>
      </c>
      <c r="DC394" s="42">
        <f t="shared" ref="DC394" si="6041">DB394</f>
        <v>6098</v>
      </c>
      <c r="DD394" s="42">
        <f t="shared" ref="DD394" si="6042">DC394</f>
        <v>6098</v>
      </c>
      <c r="DE394" s="42">
        <f t="shared" ref="DE394" si="6043">DD394</f>
        <v>6098</v>
      </c>
      <c r="DF394" s="45">
        <f t="shared" si="5947"/>
        <v>1271096</v>
      </c>
    </row>
    <row r="395" spans="1:126" s="52" customFormat="1" ht="12">
      <c r="A395" s="505"/>
      <c r="B395" s="456"/>
      <c r="C395" s="457"/>
      <c r="D395" s="458"/>
      <c r="E395" s="459"/>
      <c r="F395" s="453"/>
      <c r="G395" s="453"/>
      <c r="H395" s="454"/>
      <c r="I395" s="219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  <c r="DB395" s="42"/>
      <c r="DC395" s="42"/>
      <c r="DD395" s="42"/>
      <c r="DE395" s="42"/>
      <c r="DF395" s="45">
        <f t="shared" si="5947"/>
        <v>0</v>
      </c>
    </row>
    <row r="396" spans="1:126" s="52" customFormat="1" ht="20.25" customHeight="1">
      <c r="A396" s="271">
        <v>203</v>
      </c>
      <c r="B396" s="297" t="s">
        <v>1292</v>
      </c>
      <c r="C396" s="298"/>
      <c r="D396" s="299"/>
      <c r="E396" s="46"/>
      <c r="F396" s="219">
        <f>基础资料!H27-40921.51</f>
        <v>2219.9199999999983</v>
      </c>
      <c r="G396" s="219">
        <v>11.67</v>
      </c>
      <c r="H396" s="232">
        <f>G396*F396*365</f>
        <v>9455860.2359999921</v>
      </c>
      <c r="I396" s="219"/>
      <c r="J396" s="272">
        <f>ROUND(G396*F396*365*取值表!H2/4,0)</f>
        <v>2224018</v>
      </c>
      <c r="K396" s="272">
        <f>J396</f>
        <v>2224018</v>
      </c>
      <c r="L396" s="272">
        <f>K396</f>
        <v>2224018</v>
      </c>
      <c r="M396" s="272">
        <f>L396</f>
        <v>2224018</v>
      </c>
      <c r="N396" s="42">
        <f>ROUND(M396*(1+取值表!$O$24)*取值表!$H$2,0)</f>
        <v>2249283</v>
      </c>
      <c r="O396" s="272">
        <f>N396</f>
        <v>2249283</v>
      </c>
      <c r="P396" s="272">
        <f>O396</f>
        <v>2249283</v>
      </c>
      <c r="Q396" s="272">
        <f>P396</f>
        <v>2249283</v>
      </c>
      <c r="R396" s="42">
        <f>ROUND(Q396*(1+取值表!$O$24)*取值表!$H$2,0)</f>
        <v>2274835</v>
      </c>
      <c r="S396" s="272">
        <f t="shared" ref="S396:U396" si="6044">R396</f>
        <v>2274835</v>
      </c>
      <c r="T396" s="272">
        <f t="shared" si="6044"/>
        <v>2274835</v>
      </c>
      <c r="U396" s="272">
        <f t="shared" si="6044"/>
        <v>2274835</v>
      </c>
      <c r="V396" s="42">
        <f>ROUND(U396*(1+取值表!$O$24)*取值表!$H$2,0)</f>
        <v>2300677</v>
      </c>
      <c r="W396" s="272">
        <f t="shared" ref="W396:Y396" si="6045">V396</f>
        <v>2300677</v>
      </c>
      <c r="X396" s="272">
        <f t="shared" si="6045"/>
        <v>2300677</v>
      </c>
      <c r="Y396" s="272">
        <f t="shared" si="6045"/>
        <v>2300677</v>
      </c>
      <c r="Z396" s="42">
        <f>ROUND(Y396*(1+取值表!$O$24)*取值表!$H$2,0)</f>
        <v>2326813</v>
      </c>
      <c r="AA396" s="272">
        <f t="shared" ref="AA396:AC396" si="6046">Z396</f>
        <v>2326813</v>
      </c>
      <c r="AB396" s="272">
        <f t="shared" si="6046"/>
        <v>2326813</v>
      </c>
      <c r="AC396" s="272">
        <f t="shared" si="6046"/>
        <v>2326813</v>
      </c>
      <c r="AD396" s="42">
        <f>ROUND(AC396*(1+取值表!$O$24)*取值表!$H$2,0)</f>
        <v>2353246</v>
      </c>
      <c r="AE396" s="272">
        <f t="shared" ref="AE396:AG396" si="6047">AD396</f>
        <v>2353246</v>
      </c>
      <c r="AF396" s="272">
        <f t="shared" si="6047"/>
        <v>2353246</v>
      </c>
      <c r="AG396" s="272">
        <f t="shared" si="6047"/>
        <v>2353246</v>
      </c>
      <c r="AH396" s="42">
        <f>ROUND(AG396*(1+取值表!$O$24)*取值表!$H$2,0)</f>
        <v>2379979</v>
      </c>
      <c r="AI396" s="272">
        <f t="shared" ref="AI396:AK396" si="6048">AH396</f>
        <v>2379979</v>
      </c>
      <c r="AJ396" s="272">
        <f t="shared" si="6048"/>
        <v>2379979</v>
      </c>
      <c r="AK396" s="272">
        <f t="shared" si="6048"/>
        <v>2379979</v>
      </c>
      <c r="AL396" s="42">
        <f>ROUND(AK396*(1+取值表!$O$24)*取值表!$H$2,0)</f>
        <v>2407016</v>
      </c>
      <c r="AM396" s="272">
        <f t="shared" ref="AM396:AO396" si="6049">AL396</f>
        <v>2407016</v>
      </c>
      <c r="AN396" s="272">
        <f t="shared" si="6049"/>
        <v>2407016</v>
      </c>
      <c r="AO396" s="272">
        <f t="shared" si="6049"/>
        <v>2407016</v>
      </c>
      <c r="AP396" s="42">
        <f>ROUND(AO396*(1+取值表!$O$24)*取值表!$H$2,0)</f>
        <v>2434360</v>
      </c>
      <c r="AQ396" s="272">
        <f t="shared" ref="AQ396:AS396" si="6050">AP396</f>
        <v>2434360</v>
      </c>
      <c r="AR396" s="272">
        <f t="shared" si="6050"/>
        <v>2434360</v>
      </c>
      <c r="AS396" s="272">
        <f t="shared" si="6050"/>
        <v>2434360</v>
      </c>
      <c r="AT396" s="42">
        <f>ROUND(AS396*(1+取值表!$O$24)*取值表!$H$2,0)</f>
        <v>2462014</v>
      </c>
      <c r="AU396" s="272">
        <f t="shared" ref="AU396:AW396" si="6051">AT396</f>
        <v>2462014</v>
      </c>
      <c r="AV396" s="272">
        <f t="shared" si="6051"/>
        <v>2462014</v>
      </c>
      <c r="AW396" s="272">
        <f t="shared" si="6051"/>
        <v>2462014</v>
      </c>
      <c r="AX396" s="42">
        <f>ROUND(AW396*(1+取值表!$O$24)*取值表!$H$2,0)</f>
        <v>2489982</v>
      </c>
      <c r="AY396" s="272">
        <f t="shared" ref="AY396:BA396" si="6052">AX396</f>
        <v>2489982</v>
      </c>
      <c r="AZ396" s="272">
        <f t="shared" si="6052"/>
        <v>2489982</v>
      </c>
      <c r="BA396" s="272">
        <f t="shared" si="6052"/>
        <v>2489982</v>
      </c>
      <c r="BB396" s="42">
        <f>ROUND(BA396*(1+取值表!$O$24)*取值表!$H$2,0)</f>
        <v>2518268</v>
      </c>
      <c r="BC396" s="272">
        <f t="shared" ref="BC396:BE396" si="6053">BB396</f>
        <v>2518268</v>
      </c>
      <c r="BD396" s="272">
        <f t="shared" si="6053"/>
        <v>2518268</v>
      </c>
      <c r="BE396" s="272">
        <f t="shared" si="6053"/>
        <v>2518268</v>
      </c>
      <c r="BF396" s="42">
        <f>ROUND(BE396*(1+取值表!$O$24)*取值表!$H$2,0)</f>
        <v>2546876</v>
      </c>
      <c r="BG396" s="272">
        <f t="shared" ref="BG396:BI396" si="6054">BF396</f>
        <v>2546876</v>
      </c>
      <c r="BH396" s="272">
        <f t="shared" si="6054"/>
        <v>2546876</v>
      </c>
      <c r="BI396" s="272">
        <f t="shared" si="6054"/>
        <v>2546876</v>
      </c>
      <c r="BJ396" s="42">
        <f>ROUND(BI396*(1+取值表!$O$24)*取值表!$H$2,0)</f>
        <v>2575809</v>
      </c>
      <c r="BK396" s="272">
        <f t="shared" ref="BK396:BM396" si="6055">BJ396</f>
        <v>2575809</v>
      </c>
      <c r="BL396" s="272">
        <f t="shared" si="6055"/>
        <v>2575809</v>
      </c>
      <c r="BM396" s="272">
        <f t="shared" si="6055"/>
        <v>2575809</v>
      </c>
      <c r="BN396" s="42">
        <f>ROUND(BM396*(1+取值表!$O$24)*取值表!$H$2,0)</f>
        <v>2605070</v>
      </c>
      <c r="BO396" s="272">
        <f t="shared" ref="BO396:BQ396" si="6056">BN396</f>
        <v>2605070</v>
      </c>
      <c r="BP396" s="272">
        <f t="shared" si="6056"/>
        <v>2605070</v>
      </c>
      <c r="BQ396" s="272">
        <f t="shared" si="6056"/>
        <v>2605070</v>
      </c>
      <c r="BR396" s="42">
        <f>ROUND(BQ396*(1+取值表!$O$24)*取值表!$H$2,0)</f>
        <v>2634664</v>
      </c>
      <c r="BS396" s="272">
        <f t="shared" ref="BS396:BU396" si="6057">BR396</f>
        <v>2634664</v>
      </c>
      <c r="BT396" s="272">
        <f t="shared" si="6057"/>
        <v>2634664</v>
      </c>
      <c r="BU396" s="272">
        <f t="shared" si="6057"/>
        <v>2634664</v>
      </c>
      <c r="BV396" s="42">
        <f>ROUND(BU396*(1+取值表!$O$24)*取值表!$H$2,0)</f>
        <v>2664594</v>
      </c>
      <c r="BW396" s="272">
        <f t="shared" ref="BW396:BY396" si="6058">BV396</f>
        <v>2664594</v>
      </c>
      <c r="BX396" s="272">
        <f t="shared" si="6058"/>
        <v>2664594</v>
      </c>
      <c r="BY396" s="272">
        <f t="shared" si="6058"/>
        <v>2664594</v>
      </c>
      <c r="BZ396" s="42">
        <f>ROUND(BY396*(1+取值表!$O$24)*取值表!$H$2,0)</f>
        <v>2694864</v>
      </c>
      <c r="CA396" s="272">
        <f t="shared" ref="CA396:CC396" si="6059">BZ396</f>
        <v>2694864</v>
      </c>
      <c r="CB396" s="272">
        <f t="shared" si="6059"/>
        <v>2694864</v>
      </c>
      <c r="CC396" s="272">
        <f t="shared" si="6059"/>
        <v>2694864</v>
      </c>
      <c r="CD396" s="42">
        <f>ROUND(CC396*(1+取值表!$O$24)*取值表!$H$2,0)</f>
        <v>2725478</v>
      </c>
      <c r="CE396" s="272">
        <f t="shared" ref="CE396:CG396" si="6060">CD396</f>
        <v>2725478</v>
      </c>
      <c r="CF396" s="272">
        <f t="shared" si="6060"/>
        <v>2725478</v>
      </c>
      <c r="CG396" s="272">
        <f t="shared" si="6060"/>
        <v>2725478</v>
      </c>
      <c r="CH396" s="42">
        <f>ROUND(CG396*(1+取值表!$O$24)*取值表!$H$2,0)</f>
        <v>2756439</v>
      </c>
      <c r="CI396" s="272">
        <f t="shared" ref="CI396:CK396" si="6061">CH396</f>
        <v>2756439</v>
      </c>
      <c r="CJ396" s="272">
        <f t="shared" si="6061"/>
        <v>2756439</v>
      </c>
      <c r="CK396" s="272">
        <f t="shared" si="6061"/>
        <v>2756439</v>
      </c>
      <c r="CL396" s="42">
        <f>ROUND(CK396*(1+取值表!$O$24)*取值表!$H$2,0)</f>
        <v>2787752</v>
      </c>
      <c r="CM396" s="272">
        <f t="shared" ref="CM396:CO396" si="6062">CL396</f>
        <v>2787752</v>
      </c>
      <c r="CN396" s="272">
        <f t="shared" si="6062"/>
        <v>2787752</v>
      </c>
      <c r="CO396" s="272">
        <f t="shared" si="6062"/>
        <v>2787752</v>
      </c>
      <c r="CP396" s="42">
        <f>ROUND(CO396*(1+取值表!$O$24)*取值表!$H$2,0)</f>
        <v>2819421</v>
      </c>
      <c r="CQ396" s="272">
        <f t="shared" ref="CQ396" si="6063">CP396</f>
        <v>2819421</v>
      </c>
      <c r="CR396" s="272">
        <f t="shared" ref="CR396" si="6064">CQ396</f>
        <v>2819421</v>
      </c>
      <c r="CS396" s="272">
        <f t="shared" ref="CS396" si="6065">CR396</f>
        <v>2819421</v>
      </c>
      <c r="CT396" s="42">
        <f>ROUND(CS396*(1+取值表!$O$24)*取值表!$H$2,0)</f>
        <v>2851450</v>
      </c>
      <c r="CU396" s="272">
        <f t="shared" ref="CU396" si="6066">CT396</f>
        <v>2851450</v>
      </c>
      <c r="CV396" s="272">
        <f t="shared" ref="CV396" si="6067">CU396</f>
        <v>2851450</v>
      </c>
      <c r="CW396" s="272">
        <f t="shared" ref="CW396" si="6068">CV396</f>
        <v>2851450</v>
      </c>
      <c r="CX396" s="42">
        <f>ROUND(CW396*(1+取值表!$O$24)*取值表!$H$2,0)</f>
        <v>2883842</v>
      </c>
      <c r="CY396" s="272">
        <f t="shared" ref="CY396" si="6069">CX396</f>
        <v>2883842</v>
      </c>
      <c r="CZ396" s="272">
        <f t="shared" ref="CZ396" si="6070">CY396</f>
        <v>2883842</v>
      </c>
      <c r="DA396" s="272">
        <f>CZ396</f>
        <v>2883842</v>
      </c>
      <c r="DB396" s="42">
        <f>ROUND(DA396*(1+取值表!$O$24)*取值表!$H$2,0)</f>
        <v>2916602</v>
      </c>
      <c r="DC396" s="272">
        <f t="shared" ref="DC396" si="6071">DB396</f>
        <v>2916602</v>
      </c>
      <c r="DD396" s="272">
        <f t="shared" ref="DD396" si="6072">DC396</f>
        <v>2916602</v>
      </c>
      <c r="DE396" s="272">
        <f>DD396</f>
        <v>2916602</v>
      </c>
      <c r="DF396" s="45">
        <f t="shared" si="5947"/>
        <v>255533408</v>
      </c>
    </row>
    <row r="397" spans="1:126" ht="21" customHeight="1">
      <c r="A397" s="519" t="s">
        <v>609</v>
      </c>
      <c r="B397" s="520"/>
      <c r="C397" s="520"/>
      <c r="D397" s="521"/>
      <c r="E397" s="54"/>
      <c r="F397" s="41">
        <f>SUM(F3:F396)</f>
        <v>43141.430005479444</v>
      </c>
      <c r="G397" s="55">
        <f>H397/365/F398</f>
        <v>11.668327742347056</v>
      </c>
      <c r="H397" s="56">
        <f>SUM(H3:H396)</f>
        <v>176560432.50103572</v>
      </c>
      <c r="I397" s="56">
        <f t="shared" ref="I397:P397" si="6073">SUM(I3:I396)</f>
        <v>37747701.919999965</v>
      </c>
      <c r="J397" s="56">
        <f t="shared" si="6073"/>
        <v>43697519</v>
      </c>
      <c r="K397" s="56">
        <f t="shared" si="6073"/>
        <v>43848960</v>
      </c>
      <c r="L397" s="56">
        <f t="shared" si="6073"/>
        <v>44048542</v>
      </c>
      <c r="M397" s="56">
        <f t="shared" si="6073"/>
        <v>44232011</v>
      </c>
      <c r="N397" s="56">
        <f t="shared" si="6073"/>
        <v>44697382</v>
      </c>
      <c r="O397" s="56">
        <f t="shared" si="6073"/>
        <v>44870012</v>
      </c>
      <c r="P397" s="56">
        <f t="shared" si="6073"/>
        <v>45059481</v>
      </c>
      <c r="Q397" s="56">
        <f t="shared" ref="Q397:CB397" si="6074">SUM(Q3:Q396)</f>
        <v>45156863</v>
      </c>
      <c r="R397" s="56">
        <f t="shared" si="6074"/>
        <v>45872247</v>
      </c>
      <c r="S397" s="56">
        <f t="shared" si="6074"/>
        <v>45872769</v>
      </c>
      <c r="T397" s="56">
        <f t="shared" si="6074"/>
        <v>45932317</v>
      </c>
      <c r="U397" s="56">
        <f t="shared" si="6074"/>
        <v>45932317</v>
      </c>
      <c r="V397" s="56">
        <f t="shared" si="6074"/>
        <v>46860977</v>
      </c>
      <c r="W397" s="56">
        <f t="shared" si="6074"/>
        <v>46864109</v>
      </c>
      <c r="X397" s="56">
        <f t="shared" si="6074"/>
        <v>46864649</v>
      </c>
      <c r="Y397" s="56">
        <f t="shared" si="6074"/>
        <v>46864649</v>
      </c>
      <c r="Z397" s="56">
        <f t="shared" si="6074"/>
        <v>47885634</v>
      </c>
      <c r="AA397" s="56">
        <f t="shared" si="6074"/>
        <v>47885634</v>
      </c>
      <c r="AB397" s="56">
        <f t="shared" si="6074"/>
        <v>47935117</v>
      </c>
      <c r="AC397" s="56">
        <f t="shared" si="6074"/>
        <v>47935673</v>
      </c>
      <c r="AD397" s="56">
        <f t="shared" si="6074"/>
        <v>49056154</v>
      </c>
      <c r="AE397" s="56">
        <f t="shared" si="6074"/>
        <v>49056154</v>
      </c>
      <c r="AF397" s="56">
        <f t="shared" si="6074"/>
        <v>49056154</v>
      </c>
      <c r="AG397" s="56">
        <f t="shared" si="6074"/>
        <v>49059324</v>
      </c>
      <c r="AH397" s="56">
        <f t="shared" si="6074"/>
        <v>50286286</v>
      </c>
      <c r="AI397" s="56">
        <f t="shared" si="6074"/>
        <v>50286286</v>
      </c>
      <c r="AJ397" s="56">
        <f t="shared" si="6074"/>
        <v>50286286</v>
      </c>
      <c r="AK397" s="56">
        <f t="shared" si="6074"/>
        <v>50286286</v>
      </c>
      <c r="AL397" s="56">
        <f t="shared" si="6074"/>
        <v>51629431</v>
      </c>
      <c r="AM397" s="56">
        <f t="shared" si="6074"/>
        <v>51630019</v>
      </c>
      <c r="AN397" s="56">
        <f t="shared" si="6074"/>
        <v>51630019</v>
      </c>
      <c r="AO397" s="56">
        <f t="shared" si="6074"/>
        <v>51630019</v>
      </c>
      <c r="AP397" s="56">
        <f t="shared" si="6074"/>
        <v>53074929</v>
      </c>
      <c r="AQ397" s="56">
        <f t="shared" si="6074"/>
        <v>53078138</v>
      </c>
      <c r="AR397" s="56">
        <f t="shared" si="6074"/>
        <v>53078743</v>
      </c>
      <c r="AS397" s="56">
        <f t="shared" si="6074"/>
        <v>53078743</v>
      </c>
      <c r="AT397" s="56">
        <f t="shared" si="6074"/>
        <v>54660274</v>
      </c>
      <c r="AU397" s="56">
        <f t="shared" si="6074"/>
        <v>54660274</v>
      </c>
      <c r="AV397" s="56">
        <f t="shared" si="6074"/>
        <v>54663503</v>
      </c>
      <c r="AW397" s="56">
        <f t="shared" si="6074"/>
        <v>54664124</v>
      </c>
      <c r="AX397" s="56">
        <f t="shared" si="6074"/>
        <v>56323765</v>
      </c>
      <c r="AY397" s="56">
        <f t="shared" si="6074"/>
        <v>56323765</v>
      </c>
      <c r="AZ397" s="56">
        <f t="shared" si="6074"/>
        <v>56323765</v>
      </c>
      <c r="BA397" s="56">
        <f t="shared" si="6074"/>
        <v>56327013</v>
      </c>
      <c r="BB397" s="56">
        <f t="shared" si="6074"/>
        <v>58152122</v>
      </c>
      <c r="BC397" s="56">
        <f t="shared" si="6074"/>
        <v>58152122</v>
      </c>
      <c r="BD397" s="56">
        <f t="shared" si="6074"/>
        <v>58152122</v>
      </c>
      <c r="BE397" s="56">
        <f t="shared" si="6074"/>
        <v>58152122</v>
      </c>
      <c r="BF397" s="56">
        <f t="shared" si="6074"/>
        <v>60158902</v>
      </c>
      <c r="BG397" s="56">
        <f t="shared" si="6074"/>
        <v>60159557</v>
      </c>
      <c r="BH397" s="56">
        <f t="shared" si="6074"/>
        <v>60159557</v>
      </c>
      <c r="BI397" s="56">
        <f t="shared" si="6074"/>
        <v>60159557</v>
      </c>
      <c r="BJ397" s="56">
        <f t="shared" si="6074"/>
        <v>62357697</v>
      </c>
      <c r="BK397" s="56">
        <f t="shared" si="6074"/>
        <v>62360986</v>
      </c>
      <c r="BL397" s="56">
        <f t="shared" si="6074"/>
        <v>62361657</v>
      </c>
      <c r="BM397" s="56">
        <f t="shared" si="6074"/>
        <v>62361657</v>
      </c>
      <c r="BN397" s="56">
        <f t="shared" si="6074"/>
        <v>64771481</v>
      </c>
      <c r="BO397" s="56">
        <f t="shared" si="6074"/>
        <v>64771481</v>
      </c>
      <c r="BP397" s="56">
        <f t="shared" si="6074"/>
        <v>64774789</v>
      </c>
      <c r="BQ397" s="56">
        <f t="shared" si="6074"/>
        <v>64775476</v>
      </c>
      <c r="BR397" s="56">
        <f t="shared" si="6074"/>
        <v>67415639</v>
      </c>
      <c r="BS397" s="56">
        <f t="shared" si="6074"/>
        <v>67415639</v>
      </c>
      <c r="BT397" s="56">
        <f t="shared" si="6074"/>
        <v>67415639</v>
      </c>
      <c r="BU397" s="56">
        <f t="shared" si="6074"/>
        <v>67418968</v>
      </c>
      <c r="BV397" s="56">
        <f t="shared" si="6074"/>
        <v>70310640</v>
      </c>
      <c r="BW397" s="56">
        <f t="shared" si="6074"/>
        <v>70310640</v>
      </c>
      <c r="BX397" s="56">
        <f t="shared" si="6074"/>
        <v>70310640</v>
      </c>
      <c r="BY397" s="56">
        <f t="shared" si="6074"/>
        <v>70310640</v>
      </c>
      <c r="BZ397" s="56">
        <f t="shared" si="6074"/>
        <v>73478100</v>
      </c>
      <c r="CA397" s="56">
        <f t="shared" si="6074"/>
        <v>73478819</v>
      </c>
      <c r="CB397" s="56">
        <f t="shared" si="6074"/>
        <v>73478819</v>
      </c>
      <c r="CC397" s="56">
        <f t="shared" ref="CC397:CH397" si="6075">SUM(CC3:CC396)</f>
        <v>73478819</v>
      </c>
      <c r="CD397" s="56">
        <f t="shared" si="6075"/>
        <v>76940559</v>
      </c>
      <c r="CE397" s="56">
        <f t="shared" si="6075"/>
        <v>76943928</v>
      </c>
      <c r="CF397" s="56">
        <f t="shared" si="6075"/>
        <v>76944663</v>
      </c>
      <c r="CG397" s="56">
        <f t="shared" si="6075"/>
        <v>76944663</v>
      </c>
      <c r="CH397" s="56">
        <f t="shared" si="6075"/>
        <v>80730772</v>
      </c>
      <c r="CI397" s="56">
        <f>SUM(CI3:CI396)</f>
        <v>80730772</v>
      </c>
      <c r="CJ397" s="56">
        <f t="shared" ref="CJ397:DD397" si="6076">SUM(CJ3:CJ396)</f>
        <v>80734162</v>
      </c>
      <c r="CK397" s="56">
        <f t="shared" si="6076"/>
        <v>80734914</v>
      </c>
      <c r="CL397" s="56">
        <f t="shared" si="6076"/>
        <v>84874664</v>
      </c>
      <c r="CM397" s="56">
        <f t="shared" si="6076"/>
        <v>84874664</v>
      </c>
      <c r="CN397" s="56">
        <f t="shared" si="6076"/>
        <v>84874664</v>
      </c>
      <c r="CO397" s="56">
        <f t="shared" si="6076"/>
        <v>84878075</v>
      </c>
      <c r="CP397" s="56">
        <f t="shared" si="6076"/>
        <v>89403490</v>
      </c>
      <c r="CQ397" s="56">
        <f t="shared" si="6076"/>
        <v>89403490</v>
      </c>
      <c r="CR397" s="56">
        <f t="shared" si="6076"/>
        <v>89403490</v>
      </c>
      <c r="CS397" s="56">
        <f t="shared" si="6076"/>
        <v>89406922</v>
      </c>
      <c r="CT397" s="56">
        <f t="shared" si="6076"/>
        <v>94353011</v>
      </c>
      <c r="CU397" s="56">
        <f t="shared" si="6076"/>
        <v>94353011</v>
      </c>
      <c r="CV397" s="56">
        <f t="shared" si="6076"/>
        <v>94353011</v>
      </c>
      <c r="CW397" s="56">
        <f t="shared" si="6076"/>
        <v>94356464</v>
      </c>
      <c r="CX397" s="56">
        <f t="shared" si="6076"/>
        <v>99761477</v>
      </c>
      <c r="CY397" s="56">
        <f t="shared" si="6076"/>
        <v>99761477</v>
      </c>
      <c r="CZ397" s="56">
        <f t="shared" si="6076"/>
        <v>99761477</v>
      </c>
      <c r="DA397" s="367">
        <f>SUM(DA3:DA396)</f>
        <v>99764951</v>
      </c>
      <c r="DB397" s="367">
        <f>SUM(DB3:DB396)</f>
        <v>105670751</v>
      </c>
      <c r="DC397" s="367">
        <f t="shared" si="6076"/>
        <v>105670751</v>
      </c>
      <c r="DD397" s="367">
        <f t="shared" si="6076"/>
        <v>105670751</v>
      </c>
      <c r="DE397" s="367">
        <f>SUM(DE3:DE396)</f>
        <v>105674246</v>
      </c>
      <c r="DF397" s="56">
        <f>SUM(DF3:DF396)</f>
        <v>6532045873</v>
      </c>
      <c r="DG397" s="40"/>
    </row>
    <row r="398" spans="1:126" ht="21" customHeight="1">
      <c r="A398" s="59"/>
      <c r="B398" s="60"/>
      <c r="C398" s="61"/>
      <c r="D398" s="62"/>
      <c r="E398" s="63"/>
      <c r="F398" s="64">
        <f>F397-1685</f>
        <v>41456.430005479444</v>
      </c>
      <c r="G398" s="65"/>
      <c r="H398" s="66"/>
      <c r="I398" s="64"/>
      <c r="DG398" s="40"/>
    </row>
    <row r="399" spans="1:126" s="74" customFormat="1" ht="14.25">
      <c r="A399" s="68"/>
      <c r="B399" s="69"/>
      <c r="C399" s="69"/>
      <c r="D399" s="70"/>
      <c r="E399" s="392">
        <v>1</v>
      </c>
      <c r="F399" s="392"/>
      <c r="G399" s="392"/>
      <c r="H399" s="392"/>
      <c r="I399" s="392">
        <v>2</v>
      </c>
      <c r="J399" s="392"/>
      <c r="K399" s="392"/>
      <c r="L399" s="392"/>
      <c r="M399" s="392">
        <v>3</v>
      </c>
      <c r="N399" s="392"/>
      <c r="O399" s="392"/>
      <c r="P399" s="392"/>
      <c r="Q399" s="392">
        <v>4</v>
      </c>
      <c r="R399" s="392"/>
      <c r="S399" s="392"/>
      <c r="T399" s="392"/>
      <c r="U399" s="392">
        <v>5</v>
      </c>
      <c r="V399" s="392"/>
      <c r="W399" s="392"/>
      <c r="X399" s="392"/>
      <c r="Y399" s="392">
        <v>6</v>
      </c>
      <c r="Z399" s="392"/>
      <c r="AA399" s="392"/>
      <c r="AB399" s="392"/>
      <c r="AC399" s="392">
        <v>7</v>
      </c>
      <c r="AD399" s="392"/>
      <c r="AE399" s="392"/>
      <c r="AF399" s="392"/>
      <c r="AG399" s="392">
        <v>8</v>
      </c>
      <c r="AH399" s="392"/>
      <c r="AI399" s="392"/>
      <c r="AJ399" s="392"/>
      <c r="AK399" s="392">
        <v>9</v>
      </c>
      <c r="AL399" s="392"/>
      <c r="AM399" s="392"/>
      <c r="AN399" s="392"/>
      <c r="AO399" s="392">
        <v>10</v>
      </c>
      <c r="AP399" s="392"/>
      <c r="AQ399" s="392"/>
      <c r="AR399" s="392"/>
      <c r="AS399" s="392">
        <v>11</v>
      </c>
      <c r="AT399" s="392"/>
      <c r="AU399" s="392"/>
      <c r="AV399" s="392"/>
      <c r="AW399" s="392">
        <v>12</v>
      </c>
      <c r="AX399" s="392"/>
      <c r="AY399" s="392"/>
      <c r="AZ399" s="392"/>
      <c r="BA399" s="392">
        <v>13</v>
      </c>
      <c r="BB399" s="392"/>
      <c r="BC399" s="392"/>
      <c r="BD399" s="392"/>
      <c r="BE399" s="392">
        <v>14</v>
      </c>
      <c r="BF399" s="392"/>
      <c r="BG399" s="392"/>
      <c r="BH399" s="392"/>
      <c r="BI399" s="392">
        <v>15</v>
      </c>
      <c r="BJ399" s="392"/>
      <c r="BK399" s="392"/>
      <c r="BL399" s="392"/>
      <c r="BM399" s="392">
        <v>16</v>
      </c>
      <c r="BN399" s="392"/>
      <c r="BO399" s="392"/>
      <c r="BP399" s="392"/>
      <c r="BQ399" s="392">
        <v>17</v>
      </c>
      <c r="BR399" s="392"/>
      <c r="BS399" s="392"/>
      <c r="BT399" s="392"/>
      <c r="BU399" s="392">
        <v>18</v>
      </c>
      <c r="BV399" s="392"/>
      <c r="BW399" s="392"/>
      <c r="BX399" s="392"/>
      <c r="BY399" s="392">
        <v>19</v>
      </c>
      <c r="BZ399" s="392"/>
      <c r="CA399" s="392"/>
      <c r="CB399" s="392"/>
      <c r="CC399" s="392">
        <v>20</v>
      </c>
      <c r="CD399" s="392"/>
      <c r="CE399" s="392"/>
      <c r="CF399" s="392"/>
      <c r="CG399" s="392">
        <v>21</v>
      </c>
      <c r="CH399" s="392"/>
      <c r="CI399" s="392"/>
      <c r="CJ399" s="392"/>
      <c r="CK399" s="497">
        <v>22</v>
      </c>
      <c r="CL399" s="498"/>
      <c r="CM399" s="498"/>
      <c r="CN399" s="499"/>
      <c r="CO399" s="497">
        <v>23</v>
      </c>
      <c r="CP399" s="498"/>
      <c r="CQ399" s="498"/>
      <c r="CR399" s="499"/>
      <c r="CS399" s="497">
        <v>24</v>
      </c>
      <c r="CT399" s="498"/>
      <c r="CU399" s="498"/>
      <c r="CV399" s="499"/>
      <c r="CW399" s="497">
        <v>25</v>
      </c>
      <c r="CX399" s="498"/>
      <c r="CY399" s="498"/>
      <c r="CZ399" s="499"/>
      <c r="DA399" s="71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3"/>
    </row>
    <row r="400" spans="1:126" s="81" customFormat="1" ht="18.75" customHeight="1">
      <c r="A400" s="75"/>
      <c r="B400" s="76" t="s">
        <v>960</v>
      </c>
      <c r="C400" s="76" t="s">
        <v>961</v>
      </c>
      <c r="D400" s="77" t="s">
        <v>962</v>
      </c>
      <c r="E400" s="78" t="str">
        <f>J1</f>
        <v>2018年2季度</v>
      </c>
      <c r="F400" s="78" t="str">
        <f t="shared" ref="F400:BQ400" si="6077">K1</f>
        <v>2018年3季度</v>
      </c>
      <c r="G400" s="78" t="str">
        <f t="shared" si="6077"/>
        <v>2018年4季度</v>
      </c>
      <c r="H400" s="78" t="str">
        <f t="shared" si="6077"/>
        <v>2019年1季度</v>
      </c>
      <c r="I400" s="78" t="str">
        <f t="shared" si="6077"/>
        <v>2019年2季度</v>
      </c>
      <c r="J400" s="78" t="str">
        <f t="shared" si="6077"/>
        <v>2019年3季度</v>
      </c>
      <c r="K400" s="78" t="str">
        <f t="shared" si="6077"/>
        <v>2019年4季度</v>
      </c>
      <c r="L400" s="78" t="str">
        <f t="shared" si="6077"/>
        <v>2020年1季度</v>
      </c>
      <c r="M400" s="78" t="str">
        <f t="shared" si="6077"/>
        <v>2020年2季度</v>
      </c>
      <c r="N400" s="78" t="str">
        <f t="shared" si="6077"/>
        <v>2020年3季度</v>
      </c>
      <c r="O400" s="78" t="str">
        <f t="shared" si="6077"/>
        <v>2020年4季度</v>
      </c>
      <c r="P400" s="78" t="str">
        <f t="shared" si="6077"/>
        <v>2021年1季度</v>
      </c>
      <c r="Q400" s="78" t="str">
        <f t="shared" si="6077"/>
        <v>2021年2季度</v>
      </c>
      <c r="R400" s="78" t="str">
        <f t="shared" si="6077"/>
        <v>2021年3季度</v>
      </c>
      <c r="S400" s="78" t="str">
        <f t="shared" si="6077"/>
        <v>2021年4季度</v>
      </c>
      <c r="T400" s="78" t="str">
        <f t="shared" si="6077"/>
        <v>2022年1季度</v>
      </c>
      <c r="U400" s="78" t="str">
        <f t="shared" si="6077"/>
        <v>2022年2季度</v>
      </c>
      <c r="V400" s="78" t="str">
        <f t="shared" si="6077"/>
        <v>2022年3季度</v>
      </c>
      <c r="W400" s="78" t="str">
        <f t="shared" si="6077"/>
        <v>2022年4季度</v>
      </c>
      <c r="X400" s="78" t="str">
        <f t="shared" si="6077"/>
        <v>2023年1季度</v>
      </c>
      <c r="Y400" s="78" t="str">
        <f t="shared" si="6077"/>
        <v>2023年2季度</v>
      </c>
      <c r="Z400" s="78" t="str">
        <f t="shared" si="6077"/>
        <v>2023年3季度</v>
      </c>
      <c r="AA400" s="78" t="str">
        <f t="shared" si="6077"/>
        <v>2023年4季度</v>
      </c>
      <c r="AB400" s="78" t="str">
        <f t="shared" si="6077"/>
        <v>2024年1季度</v>
      </c>
      <c r="AC400" s="78" t="str">
        <f t="shared" si="6077"/>
        <v>2024年2季度</v>
      </c>
      <c r="AD400" s="78" t="str">
        <f t="shared" si="6077"/>
        <v>2024年3季度</v>
      </c>
      <c r="AE400" s="78" t="str">
        <f t="shared" si="6077"/>
        <v>2024年4季度</v>
      </c>
      <c r="AF400" s="78" t="str">
        <f t="shared" si="6077"/>
        <v>2025年1季度</v>
      </c>
      <c r="AG400" s="78" t="str">
        <f t="shared" si="6077"/>
        <v>2025年2季度</v>
      </c>
      <c r="AH400" s="78" t="str">
        <f t="shared" si="6077"/>
        <v>2025年3季度</v>
      </c>
      <c r="AI400" s="78" t="str">
        <f t="shared" si="6077"/>
        <v>2025年4季度</v>
      </c>
      <c r="AJ400" s="78" t="str">
        <f t="shared" si="6077"/>
        <v>2026年1季度</v>
      </c>
      <c r="AK400" s="78" t="str">
        <f t="shared" si="6077"/>
        <v>2026年2季度</v>
      </c>
      <c r="AL400" s="78" t="str">
        <f t="shared" si="6077"/>
        <v>2026年3季度</v>
      </c>
      <c r="AM400" s="78" t="str">
        <f t="shared" si="6077"/>
        <v>2026年4季度</v>
      </c>
      <c r="AN400" s="78" t="str">
        <f t="shared" si="6077"/>
        <v>2027年1季度</v>
      </c>
      <c r="AO400" s="78" t="str">
        <f t="shared" si="6077"/>
        <v>2027年2季度</v>
      </c>
      <c r="AP400" s="78" t="str">
        <f t="shared" si="6077"/>
        <v>2027年3季度</v>
      </c>
      <c r="AQ400" s="78" t="str">
        <f t="shared" si="6077"/>
        <v>2027年4季度</v>
      </c>
      <c r="AR400" s="78" t="str">
        <f t="shared" si="6077"/>
        <v>2028年1季度</v>
      </c>
      <c r="AS400" s="78" t="str">
        <f t="shared" si="6077"/>
        <v>2028年2季度</v>
      </c>
      <c r="AT400" s="78" t="str">
        <f t="shared" si="6077"/>
        <v>2028年3季度</v>
      </c>
      <c r="AU400" s="78" t="str">
        <f t="shared" si="6077"/>
        <v>2028年4季度</v>
      </c>
      <c r="AV400" s="78" t="str">
        <f t="shared" si="6077"/>
        <v>2029年1季度</v>
      </c>
      <c r="AW400" s="78" t="str">
        <f t="shared" si="6077"/>
        <v>2029年2季度</v>
      </c>
      <c r="AX400" s="78" t="str">
        <f t="shared" si="6077"/>
        <v>2029年3季度</v>
      </c>
      <c r="AY400" s="78" t="str">
        <f t="shared" si="6077"/>
        <v>2029年4季度</v>
      </c>
      <c r="AZ400" s="78" t="str">
        <f t="shared" si="6077"/>
        <v>2030年1季度</v>
      </c>
      <c r="BA400" s="78" t="str">
        <f t="shared" si="6077"/>
        <v>2030年2季度</v>
      </c>
      <c r="BB400" s="78" t="str">
        <f t="shared" si="6077"/>
        <v>2030年3季度</v>
      </c>
      <c r="BC400" s="78" t="str">
        <f t="shared" si="6077"/>
        <v>2030年4季度</v>
      </c>
      <c r="BD400" s="78" t="str">
        <f t="shared" si="6077"/>
        <v>2031年1季度</v>
      </c>
      <c r="BE400" s="78" t="str">
        <f t="shared" si="6077"/>
        <v>2031年2季度</v>
      </c>
      <c r="BF400" s="78" t="str">
        <f t="shared" si="6077"/>
        <v>2031年3季度</v>
      </c>
      <c r="BG400" s="78" t="str">
        <f t="shared" si="6077"/>
        <v>2031年4季度</v>
      </c>
      <c r="BH400" s="78" t="str">
        <f t="shared" si="6077"/>
        <v>2032年1季度</v>
      </c>
      <c r="BI400" s="78" t="str">
        <f t="shared" si="6077"/>
        <v>2032年2季度</v>
      </c>
      <c r="BJ400" s="78" t="str">
        <f t="shared" si="6077"/>
        <v>2032年3季度</v>
      </c>
      <c r="BK400" s="78" t="str">
        <f t="shared" si="6077"/>
        <v>2032年4季度</v>
      </c>
      <c r="BL400" s="78" t="str">
        <f t="shared" si="6077"/>
        <v>2033年1季度</v>
      </c>
      <c r="BM400" s="78" t="str">
        <f t="shared" si="6077"/>
        <v>2033年2季度</v>
      </c>
      <c r="BN400" s="78" t="str">
        <f t="shared" si="6077"/>
        <v>2033年3季度</v>
      </c>
      <c r="BO400" s="78" t="str">
        <f t="shared" si="6077"/>
        <v>2033年4季度</v>
      </c>
      <c r="BP400" s="78" t="str">
        <f t="shared" si="6077"/>
        <v>2034年1季度</v>
      </c>
      <c r="BQ400" s="78" t="str">
        <f t="shared" si="6077"/>
        <v>2034年2季度</v>
      </c>
      <c r="BR400" s="78" t="str">
        <f t="shared" ref="BR400:CJ400" si="6078">BW1</f>
        <v>2034年3季度</v>
      </c>
      <c r="BS400" s="78" t="str">
        <f t="shared" si="6078"/>
        <v>2034年4季度</v>
      </c>
      <c r="BT400" s="78" t="str">
        <f t="shared" si="6078"/>
        <v>2035年1季度</v>
      </c>
      <c r="BU400" s="78" t="str">
        <f t="shared" si="6078"/>
        <v>2035年2季度</v>
      </c>
      <c r="BV400" s="78" t="str">
        <f t="shared" si="6078"/>
        <v>2035年3季度</v>
      </c>
      <c r="BW400" s="78" t="str">
        <f t="shared" si="6078"/>
        <v>2035年4季度</v>
      </c>
      <c r="BX400" s="78" t="str">
        <f t="shared" si="6078"/>
        <v>2036年1季度</v>
      </c>
      <c r="BY400" s="78" t="str">
        <f t="shared" si="6078"/>
        <v>2036年2季度</v>
      </c>
      <c r="BZ400" s="78" t="str">
        <f t="shared" si="6078"/>
        <v>2036年3季度</v>
      </c>
      <c r="CA400" s="78" t="str">
        <f t="shared" si="6078"/>
        <v>2036年4季度</v>
      </c>
      <c r="CB400" s="78" t="str">
        <f t="shared" si="6078"/>
        <v>2037年1季度</v>
      </c>
      <c r="CC400" s="78" t="str">
        <f t="shared" si="6078"/>
        <v>2037年2季度</v>
      </c>
      <c r="CD400" s="78" t="str">
        <f t="shared" si="6078"/>
        <v>2037年3季度</v>
      </c>
      <c r="CE400" s="78" t="str">
        <f t="shared" si="6078"/>
        <v>2037年4季度</v>
      </c>
      <c r="CF400" s="78" t="str">
        <f t="shared" si="6078"/>
        <v>2038年1季度</v>
      </c>
      <c r="CG400" s="78" t="str">
        <f t="shared" si="6078"/>
        <v>2038年2季度</v>
      </c>
      <c r="CH400" s="78" t="str">
        <f t="shared" si="6078"/>
        <v>2038年3季度</v>
      </c>
      <c r="CI400" s="78" t="str">
        <f t="shared" si="6078"/>
        <v>2038年4季度</v>
      </c>
      <c r="CJ400" s="78" t="str">
        <f t="shared" si="6078"/>
        <v>2039年1季度</v>
      </c>
      <c r="CK400" s="340" t="str">
        <f t="shared" ref="CK400" si="6079">CP1</f>
        <v>2039年2季度</v>
      </c>
      <c r="CL400" s="340" t="str">
        <f t="shared" ref="CL400" si="6080">CQ1</f>
        <v>2039年3季度</v>
      </c>
      <c r="CM400" s="340" t="str">
        <f t="shared" ref="CM400" si="6081">CR1</f>
        <v>2039年4季度</v>
      </c>
      <c r="CN400" s="340" t="str">
        <f t="shared" ref="CN400" si="6082">CS1</f>
        <v>2040年1季度</v>
      </c>
      <c r="CO400" s="340" t="str">
        <f t="shared" ref="CO400" si="6083">CT1</f>
        <v>2040年2季度</v>
      </c>
      <c r="CP400" s="340" t="str">
        <f t="shared" ref="CP400" si="6084">CU1</f>
        <v>2040年3季度</v>
      </c>
      <c r="CQ400" s="340" t="str">
        <f t="shared" ref="CQ400" si="6085">CV1</f>
        <v>2040年4季度</v>
      </c>
      <c r="CR400" s="340" t="str">
        <f t="shared" ref="CR400" si="6086">CW1</f>
        <v>2041年1季度</v>
      </c>
      <c r="CS400" s="340" t="str">
        <f t="shared" ref="CS400" si="6087">CX1</f>
        <v>2041年2季度</v>
      </c>
      <c r="CT400" s="340" t="str">
        <f t="shared" ref="CT400" si="6088">CY1</f>
        <v>2041年3季度</v>
      </c>
      <c r="CU400" s="340" t="str">
        <f t="shared" ref="CU400" si="6089">CZ1</f>
        <v>2041年4季度</v>
      </c>
      <c r="CV400" s="340" t="str">
        <f t="shared" ref="CV400" si="6090">DA1</f>
        <v>2042年1季度</v>
      </c>
      <c r="CW400" s="340" t="str">
        <f t="shared" ref="CW400" si="6091">DB1</f>
        <v>2042年2季度</v>
      </c>
      <c r="CX400" s="340" t="str">
        <f t="shared" ref="CX400" si="6092">DC1</f>
        <v>2042年3季度</v>
      </c>
      <c r="CY400" s="340" t="str">
        <f t="shared" ref="CY400" si="6093">DD1</f>
        <v>2042年4季度</v>
      </c>
      <c r="CZ400" s="340" t="str">
        <f t="shared" ref="CZ400" si="6094">DE1</f>
        <v>2042年1季度</v>
      </c>
      <c r="DA400" s="346" t="s">
        <v>609</v>
      </c>
      <c r="DB400" s="79"/>
      <c r="DC400" s="79"/>
      <c r="DD400" s="79"/>
      <c r="DE400" s="79"/>
      <c r="DF400" s="79"/>
      <c r="DG400" s="79"/>
      <c r="DH400" s="79"/>
      <c r="DI400" s="79"/>
      <c r="DJ400" s="79"/>
      <c r="DK400" s="79"/>
      <c r="DL400" s="79"/>
      <c r="DM400" s="79"/>
      <c r="DN400" s="79"/>
      <c r="DO400" s="79"/>
      <c r="DP400" s="79"/>
      <c r="DQ400" s="79"/>
      <c r="DR400" s="79"/>
      <c r="DS400" s="79"/>
      <c r="DT400" s="79"/>
      <c r="DU400" s="79"/>
      <c r="DV400" s="80"/>
    </row>
    <row r="401" spans="1:126" s="88" customFormat="1" ht="14.25">
      <c r="A401" s="82"/>
      <c r="B401" s="17" t="s">
        <v>964</v>
      </c>
      <c r="C401" s="17"/>
      <c r="D401" s="83"/>
      <c r="E401" s="84">
        <f>E402+E403+E404</f>
        <v>43836310</v>
      </c>
      <c r="F401" s="84">
        <f t="shared" ref="F401:BQ401" si="6095">F402+F403+F404</f>
        <v>43987751</v>
      </c>
      <c r="G401" s="84">
        <f t="shared" si="6095"/>
        <v>44187333</v>
      </c>
      <c r="H401" s="84">
        <f t="shared" si="6095"/>
        <v>44370802</v>
      </c>
      <c r="I401" s="84">
        <f t="shared" si="6095"/>
        <v>44839289</v>
      </c>
      <c r="J401" s="84">
        <f t="shared" si="6095"/>
        <v>45011919</v>
      </c>
      <c r="K401" s="84">
        <f t="shared" si="6095"/>
        <v>45201388</v>
      </c>
      <c r="L401" s="84">
        <f t="shared" si="6095"/>
        <v>45298770</v>
      </c>
      <c r="M401" s="84">
        <f t="shared" si="6095"/>
        <v>46017167</v>
      </c>
      <c r="N401" s="84">
        <f t="shared" si="6095"/>
        <v>46017689</v>
      </c>
      <c r="O401" s="84">
        <f t="shared" si="6095"/>
        <v>46077237</v>
      </c>
      <c r="P401" s="84">
        <f t="shared" si="6095"/>
        <v>46077237</v>
      </c>
      <c r="Q401" s="84">
        <f t="shared" si="6095"/>
        <v>47008924</v>
      </c>
      <c r="R401" s="84">
        <f t="shared" si="6095"/>
        <v>47012056</v>
      </c>
      <c r="S401" s="84">
        <f t="shared" si="6095"/>
        <v>47012596</v>
      </c>
      <c r="T401" s="84">
        <f t="shared" si="6095"/>
        <v>47012596</v>
      </c>
      <c r="U401" s="84">
        <f t="shared" si="6095"/>
        <v>48036879</v>
      </c>
      <c r="V401" s="84">
        <f t="shared" si="6095"/>
        <v>48036879</v>
      </c>
      <c r="W401" s="84">
        <f t="shared" si="6095"/>
        <v>48086362</v>
      </c>
      <c r="X401" s="84">
        <f t="shared" si="6095"/>
        <v>48086918</v>
      </c>
      <c r="Y401" s="84">
        <f t="shared" si="6095"/>
        <v>49211010</v>
      </c>
      <c r="Z401" s="84">
        <f t="shared" si="6095"/>
        <v>49211010</v>
      </c>
      <c r="AA401" s="84">
        <f t="shared" si="6095"/>
        <v>49211010</v>
      </c>
      <c r="AB401" s="84">
        <f t="shared" si="6095"/>
        <v>49214180</v>
      </c>
      <c r="AC401" s="84">
        <f t="shared" si="6095"/>
        <v>50445015</v>
      </c>
      <c r="AD401" s="84">
        <f t="shared" si="6095"/>
        <v>50445015</v>
      </c>
      <c r="AE401" s="84">
        <f t="shared" si="6095"/>
        <v>50445015</v>
      </c>
      <c r="AF401" s="84">
        <f t="shared" si="6095"/>
        <v>50445015</v>
      </c>
      <c r="AG401" s="84">
        <f t="shared" si="6095"/>
        <v>51792392</v>
      </c>
      <c r="AH401" s="84">
        <f t="shared" si="6095"/>
        <v>51792980</v>
      </c>
      <c r="AI401" s="84">
        <f t="shared" si="6095"/>
        <v>51792980</v>
      </c>
      <c r="AJ401" s="84">
        <f t="shared" si="6095"/>
        <v>51792980</v>
      </c>
      <c r="AK401" s="84">
        <f t="shared" si="6095"/>
        <v>53242451</v>
      </c>
      <c r="AL401" s="84">
        <f t="shared" si="6095"/>
        <v>53245660</v>
      </c>
      <c r="AM401" s="84">
        <f t="shared" si="6095"/>
        <v>53246265</v>
      </c>
      <c r="AN401" s="84">
        <f t="shared" si="6095"/>
        <v>53246265</v>
      </c>
      <c r="AO401" s="84">
        <f t="shared" si="6095"/>
        <v>54832786</v>
      </c>
      <c r="AP401" s="84">
        <f t="shared" si="6095"/>
        <v>54832786</v>
      </c>
      <c r="AQ401" s="84">
        <f t="shared" si="6095"/>
        <v>54836015</v>
      </c>
      <c r="AR401" s="84">
        <f t="shared" si="6095"/>
        <v>54836636</v>
      </c>
      <c r="AS401" s="84">
        <f t="shared" si="6095"/>
        <v>56501514</v>
      </c>
      <c r="AT401" s="84">
        <f t="shared" si="6095"/>
        <v>56501514</v>
      </c>
      <c r="AU401" s="84">
        <f t="shared" si="6095"/>
        <v>56501514</v>
      </c>
      <c r="AV401" s="84">
        <f t="shared" si="6095"/>
        <v>56504762</v>
      </c>
      <c r="AW401" s="84">
        <f t="shared" si="6095"/>
        <v>58335628</v>
      </c>
      <c r="AX401" s="84">
        <f t="shared" si="6095"/>
        <v>58335628</v>
      </c>
      <c r="AY401" s="84">
        <f t="shared" si="6095"/>
        <v>58335628</v>
      </c>
      <c r="AZ401" s="84">
        <f t="shared" si="6095"/>
        <v>58335628</v>
      </c>
      <c r="BA401" s="84">
        <f t="shared" si="6095"/>
        <v>60348731</v>
      </c>
      <c r="BB401" s="84">
        <f t="shared" si="6095"/>
        <v>60349386</v>
      </c>
      <c r="BC401" s="84">
        <f t="shared" si="6095"/>
        <v>60349386</v>
      </c>
      <c r="BD401" s="84">
        <f t="shared" si="6095"/>
        <v>60349386</v>
      </c>
      <c r="BE401" s="84">
        <f t="shared" si="6095"/>
        <v>62554460</v>
      </c>
      <c r="BF401" s="84">
        <f t="shared" si="6095"/>
        <v>62557749</v>
      </c>
      <c r="BG401" s="84">
        <f t="shared" si="6095"/>
        <v>62558420</v>
      </c>
      <c r="BH401" s="84">
        <f t="shared" si="6095"/>
        <v>62558420</v>
      </c>
      <c r="BI401" s="84">
        <f t="shared" si="6095"/>
        <v>64975844</v>
      </c>
      <c r="BJ401" s="84">
        <f t="shared" si="6095"/>
        <v>64975844</v>
      </c>
      <c r="BK401" s="84">
        <f t="shared" si="6095"/>
        <v>64979152</v>
      </c>
      <c r="BL401" s="84">
        <f t="shared" si="6095"/>
        <v>64979839</v>
      </c>
      <c r="BM401" s="84">
        <f t="shared" si="6095"/>
        <v>67628328</v>
      </c>
      <c r="BN401" s="84">
        <f t="shared" si="6095"/>
        <v>67628328</v>
      </c>
      <c r="BO401" s="84">
        <f t="shared" si="6095"/>
        <v>67628328</v>
      </c>
      <c r="BP401" s="84">
        <f t="shared" si="6095"/>
        <v>67631657</v>
      </c>
      <c r="BQ401" s="84">
        <f t="shared" si="6095"/>
        <v>70532446</v>
      </c>
      <c r="BR401" s="84">
        <f t="shared" ref="BR401:CJ401" si="6096">BR402+BR403+BR404</f>
        <v>70532446</v>
      </c>
      <c r="BS401" s="84">
        <f t="shared" si="6096"/>
        <v>70532446</v>
      </c>
      <c r="BT401" s="84">
        <f t="shared" si="6096"/>
        <v>70532446</v>
      </c>
      <c r="BU401" s="84">
        <f t="shared" si="6096"/>
        <v>73709885</v>
      </c>
      <c r="BV401" s="84">
        <f t="shared" si="6096"/>
        <v>73710604</v>
      </c>
      <c r="BW401" s="84">
        <f t="shared" si="6096"/>
        <v>73710604</v>
      </c>
      <c r="BX401" s="84">
        <f t="shared" si="6096"/>
        <v>73710604</v>
      </c>
      <c r="BY401" s="84">
        <f t="shared" si="6096"/>
        <v>77183258</v>
      </c>
      <c r="BZ401" s="84">
        <f t="shared" si="6096"/>
        <v>77186627</v>
      </c>
      <c r="CA401" s="84">
        <f t="shared" si="6096"/>
        <v>77187362</v>
      </c>
      <c r="CB401" s="84">
        <f t="shared" si="6096"/>
        <v>77187362</v>
      </c>
      <c r="CC401" s="84">
        <f t="shared" si="6096"/>
        <v>80985407</v>
      </c>
      <c r="CD401" s="84">
        <f t="shared" si="6096"/>
        <v>80985407</v>
      </c>
      <c r="CE401" s="84">
        <f t="shared" si="6096"/>
        <v>80988797</v>
      </c>
      <c r="CF401" s="84">
        <f t="shared" si="6096"/>
        <v>80989549</v>
      </c>
      <c r="CG401" s="84">
        <f t="shared" si="6096"/>
        <v>85142349</v>
      </c>
      <c r="CH401" s="84">
        <f t="shared" si="6096"/>
        <v>85142349</v>
      </c>
      <c r="CI401" s="84">
        <f t="shared" si="6096"/>
        <v>85142349</v>
      </c>
      <c r="CJ401" s="84">
        <f t="shared" si="6096"/>
        <v>85145760</v>
      </c>
      <c r="CK401" s="84">
        <f t="shared" ref="CK401:CY401" si="6097">CK402+CK403+CK404</f>
        <v>89671175</v>
      </c>
      <c r="CL401" s="84">
        <f t="shared" si="6097"/>
        <v>89671175</v>
      </c>
      <c r="CM401" s="84">
        <f t="shared" si="6097"/>
        <v>89671175</v>
      </c>
      <c r="CN401" s="84">
        <f t="shared" si="6097"/>
        <v>89674607</v>
      </c>
      <c r="CO401" s="84">
        <f t="shared" si="6097"/>
        <v>94620696</v>
      </c>
      <c r="CP401" s="84">
        <f t="shared" si="6097"/>
        <v>94620696</v>
      </c>
      <c r="CQ401" s="84">
        <f t="shared" si="6097"/>
        <v>94620696</v>
      </c>
      <c r="CR401" s="84">
        <f t="shared" si="6097"/>
        <v>94624149</v>
      </c>
      <c r="CS401" s="84">
        <f t="shared" si="6097"/>
        <v>100029162</v>
      </c>
      <c r="CT401" s="84">
        <f t="shared" si="6097"/>
        <v>100029162</v>
      </c>
      <c r="CU401" s="84">
        <f t="shared" si="6097"/>
        <v>100029162</v>
      </c>
      <c r="CV401" s="84">
        <f t="shared" si="6097"/>
        <v>100032636</v>
      </c>
      <c r="CW401" s="84">
        <f t="shared" si="6097"/>
        <v>105938436</v>
      </c>
      <c r="CX401" s="84">
        <f>CX402+CX403+CX404</f>
        <v>105938436</v>
      </c>
      <c r="CY401" s="84">
        <f t="shared" si="6097"/>
        <v>105938436</v>
      </c>
      <c r="CZ401" s="84">
        <f>CZ402+CZ403+CZ404</f>
        <v>105941931</v>
      </c>
      <c r="DA401" s="85">
        <f>SUM(E401:CZ401)</f>
        <v>6552028429</v>
      </c>
      <c r="DB401" s="86"/>
      <c r="DC401" s="86"/>
      <c r="DD401" s="86"/>
      <c r="DE401" s="86"/>
      <c r="DF401" s="86"/>
      <c r="DG401" s="86"/>
      <c r="DH401" s="86"/>
      <c r="DI401" s="86"/>
      <c r="DJ401" s="86"/>
      <c r="DK401" s="86"/>
      <c r="DL401" s="86"/>
      <c r="DM401" s="86"/>
      <c r="DN401" s="86"/>
      <c r="DO401" s="86"/>
      <c r="DP401" s="86"/>
      <c r="DQ401" s="86"/>
      <c r="DR401" s="86"/>
      <c r="DS401" s="86"/>
      <c r="DT401" s="86"/>
      <c r="DU401" s="86"/>
      <c r="DV401" s="87"/>
    </row>
    <row r="402" spans="1:126" s="74" customFormat="1" ht="14.25">
      <c r="A402" s="68"/>
      <c r="B402" s="18" t="s">
        <v>792</v>
      </c>
      <c r="C402" s="18"/>
      <c r="D402" s="89"/>
      <c r="E402" s="84">
        <f>J397</f>
        <v>43697519</v>
      </c>
      <c r="F402" s="84">
        <f t="shared" ref="F402:BQ402" si="6098">K397</f>
        <v>43848960</v>
      </c>
      <c r="G402" s="84">
        <f t="shared" si="6098"/>
        <v>44048542</v>
      </c>
      <c r="H402" s="84">
        <f t="shared" si="6098"/>
        <v>44232011</v>
      </c>
      <c r="I402" s="84">
        <f t="shared" si="6098"/>
        <v>44697382</v>
      </c>
      <c r="J402" s="84">
        <f t="shared" si="6098"/>
        <v>44870012</v>
      </c>
      <c r="K402" s="84">
        <f t="shared" si="6098"/>
        <v>45059481</v>
      </c>
      <c r="L402" s="84">
        <f t="shared" si="6098"/>
        <v>45156863</v>
      </c>
      <c r="M402" s="84">
        <f t="shared" si="6098"/>
        <v>45872247</v>
      </c>
      <c r="N402" s="84">
        <f t="shared" si="6098"/>
        <v>45872769</v>
      </c>
      <c r="O402" s="84">
        <f t="shared" si="6098"/>
        <v>45932317</v>
      </c>
      <c r="P402" s="84">
        <f t="shared" si="6098"/>
        <v>45932317</v>
      </c>
      <c r="Q402" s="84">
        <f t="shared" si="6098"/>
        <v>46860977</v>
      </c>
      <c r="R402" s="84">
        <f t="shared" si="6098"/>
        <v>46864109</v>
      </c>
      <c r="S402" s="84">
        <f t="shared" si="6098"/>
        <v>46864649</v>
      </c>
      <c r="T402" s="84">
        <f t="shared" si="6098"/>
        <v>46864649</v>
      </c>
      <c r="U402" s="84">
        <f t="shared" si="6098"/>
        <v>47885634</v>
      </c>
      <c r="V402" s="84">
        <f t="shared" si="6098"/>
        <v>47885634</v>
      </c>
      <c r="W402" s="84">
        <f t="shared" si="6098"/>
        <v>47935117</v>
      </c>
      <c r="X402" s="84">
        <f t="shared" si="6098"/>
        <v>47935673</v>
      </c>
      <c r="Y402" s="84">
        <f t="shared" si="6098"/>
        <v>49056154</v>
      </c>
      <c r="Z402" s="84">
        <f t="shared" si="6098"/>
        <v>49056154</v>
      </c>
      <c r="AA402" s="84">
        <f t="shared" si="6098"/>
        <v>49056154</v>
      </c>
      <c r="AB402" s="84">
        <f t="shared" si="6098"/>
        <v>49059324</v>
      </c>
      <c r="AC402" s="84">
        <f t="shared" si="6098"/>
        <v>50286286</v>
      </c>
      <c r="AD402" s="84">
        <f t="shared" si="6098"/>
        <v>50286286</v>
      </c>
      <c r="AE402" s="84">
        <f t="shared" si="6098"/>
        <v>50286286</v>
      </c>
      <c r="AF402" s="84">
        <f t="shared" si="6098"/>
        <v>50286286</v>
      </c>
      <c r="AG402" s="84">
        <f t="shared" si="6098"/>
        <v>51629431</v>
      </c>
      <c r="AH402" s="84">
        <f t="shared" si="6098"/>
        <v>51630019</v>
      </c>
      <c r="AI402" s="84">
        <f t="shared" si="6098"/>
        <v>51630019</v>
      </c>
      <c r="AJ402" s="84">
        <f t="shared" si="6098"/>
        <v>51630019</v>
      </c>
      <c r="AK402" s="84">
        <f t="shared" si="6098"/>
        <v>53074929</v>
      </c>
      <c r="AL402" s="84">
        <f t="shared" si="6098"/>
        <v>53078138</v>
      </c>
      <c r="AM402" s="84">
        <f t="shared" si="6098"/>
        <v>53078743</v>
      </c>
      <c r="AN402" s="84">
        <f t="shared" si="6098"/>
        <v>53078743</v>
      </c>
      <c r="AO402" s="84">
        <f t="shared" si="6098"/>
        <v>54660274</v>
      </c>
      <c r="AP402" s="84">
        <f t="shared" si="6098"/>
        <v>54660274</v>
      </c>
      <c r="AQ402" s="84">
        <f t="shared" si="6098"/>
        <v>54663503</v>
      </c>
      <c r="AR402" s="84">
        <f t="shared" si="6098"/>
        <v>54664124</v>
      </c>
      <c r="AS402" s="84">
        <f t="shared" si="6098"/>
        <v>56323765</v>
      </c>
      <c r="AT402" s="84">
        <f t="shared" si="6098"/>
        <v>56323765</v>
      </c>
      <c r="AU402" s="84">
        <f t="shared" si="6098"/>
        <v>56323765</v>
      </c>
      <c r="AV402" s="84">
        <f t="shared" si="6098"/>
        <v>56327013</v>
      </c>
      <c r="AW402" s="84">
        <f t="shared" si="6098"/>
        <v>58152122</v>
      </c>
      <c r="AX402" s="84">
        <f t="shared" si="6098"/>
        <v>58152122</v>
      </c>
      <c r="AY402" s="84">
        <f t="shared" si="6098"/>
        <v>58152122</v>
      </c>
      <c r="AZ402" s="84">
        <f t="shared" si="6098"/>
        <v>58152122</v>
      </c>
      <c r="BA402" s="84">
        <f t="shared" si="6098"/>
        <v>60158902</v>
      </c>
      <c r="BB402" s="84">
        <f t="shared" si="6098"/>
        <v>60159557</v>
      </c>
      <c r="BC402" s="84">
        <f t="shared" si="6098"/>
        <v>60159557</v>
      </c>
      <c r="BD402" s="84">
        <f t="shared" si="6098"/>
        <v>60159557</v>
      </c>
      <c r="BE402" s="84">
        <f t="shared" si="6098"/>
        <v>62357697</v>
      </c>
      <c r="BF402" s="84">
        <f t="shared" si="6098"/>
        <v>62360986</v>
      </c>
      <c r="BG402" s="84">
        <f t="shared" si="6098"/>
        <v>62361657</v>
      </c>
      <c r="BH402" s="84">
        <f t="shared" si="6098"/>
        <v>62361657</v>
      </c>
      <c r="BI402" s="84">
        <f t="shared" si="6098"/>
        <v>64771481</v>
      </c>
      <c r="BJ402" s="84">
        <f t="shared" si="6098"/>
        <v>64771481</v>
      </c>
      <c r="BK402" s="84">
        <f t="shared" si="6098"/>
        <v>64774789</v>
      </c>
      <c r="BL402" s="84">
        <f t="shared" si="6098"/>
        <v>64775476</v>
      </c>
      <c r="BM402" s="84">
        <f t="shared" si="6098"/>
        <v>67415639</v>
      </c>
      <c r="BN402" s="84">
        <f t="shared" si="6098"/>
        <v>67415639</v>
      </c>
      <c r="BO402" s="84">
        <f t="shared" si="6098"/>
        <v>67415639</v>
      </c>
      <c r="BP402" s="84">
        <f t="shared" si="6098"/>
        <v>67418968</v>
      </c>
      <c r="BQ402" s="84">
        <f t="shared" si="6098"/>
        <v>70310640</v>
      </c>
      <c r="BR402" s="84">
        <f t="shared" ref="BR402:CJ402" si="6099">BW397</f>
        <v>70310640</v>
      </c>
      <c r="BS402" s="84">
        <f t="shared" si="6099"/>
        <v>70310640</v>
      </c>
      <c r="BT402" s="84">
        <f t="shared" si="6099"/>
        <v>70310640</v>
      </c>
      <c r="BU402" s="84">
        <f t="shared" si="6099"/>
        <v>73478100</v>
      </c>
      <c r="BV402" s="84">
        <f t="shared" si="6099"/>
        <v>73478819</v>
      </c>
      <c r="BW402" s="84">
        <f t="shared" si="6099"/>
        <v>73478819</v>
      </c>
      <c r="BX402" s="84">
        <f t="shared" si="6099"/>
        <v>73478819</v>
      </c>
      <c r="BY402" s="84">
        <f t="shared" si="6099"/>
        <v>76940559</v>
      </c>
      <c r="BZ402" s="84">
        <f t="shared" si="6099"/>
        <v>76943928</v>
      </c>
      <c r="CA402" s="84">
        <f t="shared" si="6099"/>
        <v>76944663</v>
      </c>
      <c r="CB402" s="84">
        <f t="shared" si="6099"/>
        <v>76944663</v>
      </c>
      <c r="CC402" s="84">
        <f t="shared" si="6099"/>
        <v>80730772</v>
      </c>
      <c r="CD402" s="84">
        <f t="shared" si="6099"/>
        <v>80730772</v>
      </c>
      <c r="CE402" s="84">
        <f t="shared" si="6099"/>
        <v>80734162</v>
      </c>
      <c r="CF402" s="84">
        <f t="shared" si="6099"/>
        <v>80734914</v>
      </c>
      <c r="CG402" s="84">
        <f t="shared" si="6099"/>
        <v>84874664</v>
      </c>
      <c r="CH402" s="84">
        <f t="shared" si="6099"/>
        <v>84874664</v>
      </c>
      <c r="CI402" s="84">
        <f t="shared" si="6099"/>
        <v>84874664</v>
      </c>
      <c r="CJ402" s="84">
        <f t="shared" si="6099"/>
        <v>84878075</v>
      </c>
      <c r="CK402" s="84">
        <f t="shared" ref="CK402" si="6100">CP397</f>
        <v>89403490</v>
      </c>
      <c r="CL402" s="84">
        <f t="shared" ref="CL402" si="6101">CQ397</f>
        <v>89403490</v>
      </c>
      <c r="CM402" s="84">
        <f t="shared" ref="CM402" si="6102">CR397</f>
        <v>89403490</v>
      </c>
      <c r="CN402" s="84">
        <f t="shared" ref="CN402" si="6103">CS397</f>
        <v>89406922</v>
      </c>
      <c r="CO402" s="84">
        <f t="shared" ref="CO402" si="6104">CT397</f>
        <v>94353011</v>
      </c>
      <c r="CP402" s="84">
        <f t="shared" ref="CP402" si="6105">CU397</f>
        <v>94353011</v>
      </c>
      <c r="CQ402" s="84">
        <f t="shared" ref="CQ402" si="6106">CV397</f>
        <v>94353011</v>
      </c>
      <c r="CR402" s="84">
        <f t="shared" ref="CR402" si="6107">CW397</f>
        <v>94356464</v>
      </c>
      <c r="CS402" s="84">
        <f t="shared" ref="CS402" si="6108">CX397</f>
        <v>99761477</v>
      </c>
      <c r="CT402" s="84">
        <f t="shared" ref="CT402" si="6109">CY397</f>
        <v>99761477</v>
      </c>
      <c r="CU402" s="84">
        <f t="shared" ref="CU402" si="6110">CZ397</f>
        <v>99761477</v>
      </c>
      <c r="CV402" s="84">
        <f t="shared" ref="CV402" si="6111">DA397</f>
        <v>99764951</v>
      </c>
      <c r="CW402" s="84">
        <f>DB397</f>
        <v>105670751</v>
      </c>
      <c r="CX402" s="84">
        <f>DC397</f>
        <v>105670751</v>
      </c>
      <c r="CY402" s="84">
        <f t="shared" ref="CY402" si="6112">DD397</f>
        <v>105670751</v>
      </c>
      <c r="CZ402" s="84">
        <f t="shared" ref="CZ402" si="6113">DE397</f>
        <v>105674246</v>
      </c>
      <c r="DA402" s="85">
        <f t="shared" ref="DA402:DA408" si="6114">SUM(E402:CZ402)</f>
        <v>6532045873</v>
      </c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3"/>
    </row>
    <row r="403" spans="1:126" s="74" customFormat="1" ht="14.25">
      <c r="A403" s="68"/>
      <c r="B403" s="18" t="s">
        <v>793</v>
      </c>
      <c r="C403" s="18"/>
      <c r="D403" s="89"/>
      <c r="E403" s="90">
        <f>ROUND(前3年整理!C33/4,0)</f>
        <v>327</v>
      </c>
      <c r="F403" s="90">
        <f t="shared" ref="F403:H404" si="6115">E403</f>
        <v>327</v>
      </c>
      <c r="G403" s="90">
        <f t="shared" si="6115"/>
        <v>327</v>
      </c>
      <c r="H403" s="90">
        <f t="shared" si="6115"/>
        <v>327</v>
      </c>
      <c r="I403" s="90">
        <f t="shared" ref="I403:BT403" si="6116">H403</f>
        <v>327</v>
      </c>
      <c r="J403" s="90">
        <f t="shared" si="6116"/>
        <v>327</v>
      </c>
      <c r="K403" s="90">
        <f t="shared" si="6116"/>
        <v>327</v>
      </c>
      <c r="L403" s="90">
        <f t="shared" si="6116"/>
        <v>327</v>
      </c>
      <c r="M403" s="90">
        <f t="shared" si="6116"/>
        <v>327</v>
      </c>
      <c r="N403" s="90">
        <f t="shared" si="6116"/>
        <v>327</v>
      </c>
      <c r="O403" s="90">
        <f t="shared" si="6116"/>
        <v>327</v>
      </c>
      <c r="P403" s="90">
        <f t="shared" si="6116"/>
        <v>327</v>
      </c>
      <c r="Q403" s="90">
        <f t="shared" si="6116"/>
        <v>327</v>
      </c>
      <c r="R403" s="90">
        <f t="shared" si="6116"/>
        <v>327</v>
      </c>
      <c r="S403" s="90">
        <f t="shared" si="6116"/>
        <v>327</v>
      </c>
      <c r="T403" s="90">
        <f t="shared" si="6116"/>
        <v>327</v>
      </c>
      <c r="U403" s="90">
        <f t="shared" si="6116"/>
        <v>327</v>
      </c>
      <c r="V403" s="90">
        <f t="shared" si="6116"/>
        <v>327</v>
      </c>
      <c r="W403" s="90">
        <f t="shared" si="6116"/>
        <v>327</v>
      </c>
      <c r="X403" s="90">
        <f t="shared" si="6116"/>
        <v>327</v>
      </c>
      <c r="Y403" s="90">
        <f t="shared" si="6116"/>
        <v>327</v>
      </c>
      <c r="Z403" s="90">
        <f t="shared" si="6116"/>
        <v>327</v>
      </c>
      <c r="AA403" s="90">
        <f t="shared" si="6116"/>
        <v>327</v>
      </c>
      <c r="AB403" s="90">
        <f t="shared" si="6116"/>
        <v>327</v>
      </c>
      <c r="AC403" s="90">
        <f t="shared" si="6116"/>
        <v>327</v>
      </c>
      <c r="AD403" s="90">
        <f t="shared" si="6116"/>
        <v>327</v>
      </c>
      <c r="AE403" s="90">
        <f t="shared" si="6116"/>
        <v>327</v>
      </c>
      <c r="AF403" s="90">
        <f t="shared" si="6116"/>
        <v>327</v>
      </c>
      <c r="AG403" s="90">
        <f t="shared" si="6116"/>
        <v>327</v>
      </c>
      <c r="AH403" s="90">
        <f t="shared" si="6116"/>
        <v>327</v>
      </c>
      <c r="AI403" s="90">
        <f t="shared" si="6116"/>
        <v>327</v>
      </c>
      <c r="AJ403" s="90">
        <f t="shared" si="6116"/>
        <v>327</v>
      </c>
      <c r="AK403" s="90">
        <f t="shared" si="6116"/>
        <v>327</v>
      </c>
      <c r="AL403" s="90">
        <f t="shared" si="6116"/>
        <v>327</v>
      </c>
      <c r="AM403" s="90">
        <f t="shared" si="6116"/>
        <v>327</v>
      </c>
      <c r="AN403" s="90">
        <f t="shared" si="6116"/>
        <v>327</v>
      </c>
      <c r="AO403" s="90">
        <f t="shared" si="6116"/>
        <v>327</v>
      </c>
      <c r="AP403" s="90">
        <f t="shared" si="6116"/>
        <v>327</v>
      </c>
      <c r="AQ403" s="90">
        <f t="shared" si="6116"/>
        <v>327</v>
      </c>
      <c r="AR403" s="90">
        <f t="shared" si="6116"/>
        <v>327</v>
      </c>
      <c r="AS403" s="90">
        <f t="shared" si="6116"/>
        <v>327</v>
      </c>
      <c r="AT403" s="90">
        <f t="shared" si="6116"/>
        <v>327</v>
      </c>
      <c r="AU403" s="90">
        <f t="shared" si="6116"/>
        <v>327</v>
      </c>
      <c r="AV403" s="90">
        <f t="shared" si="6116"/>
        <v>327</v>
      </c>
      <c r="AW403" s="90">
        <f t="shared" si="6116"/>
        <v>327</v>
      </c>
      <c r="AX403" s="90">
        <f t="shared" si="6116"/>
        <v>327</v>
      </c>
      <c r="AY403" s="90">
        <f t="shared" si="6116"/>
        <v>327</v>
      </c>
      <c r="AZ403" s="90">
        <f t="shared" si="6116"/>
        <v>327</v>
      </c>
      <c r="BA403" s="90">
        <f t="shared" si="6116"/>
        <v>327</v>
      </c>
      <c r="BB403" s="90">
        <f t="shared" si="6116"/>
        <v>327</v>
      </c>
      <c r="BC403" s="90">
        <f t="shared" si="6116"/>
        <v>327</v>
      </c>
      <c r="BD403" s="90">
        <f t="shared" si="6116"/>
        <v>327</v>
      </c>
      <c r="BE403" s="90">
        <f t="shared" si="6116"/>
        <v>327</v>
      </c>
      <c r="BF403" s="90">
        <f t="shared" si="6116"/>
        <v>327</v>
      </c>
      <c r="BG403" s="90">
        <f t="shared" si="6116"/>
        <v>327</v>
      </c>
      <c r="BH403" s="90">
        <f t="shared" si="6116"/>
        <v>327</v>
      </c>
      <c r="BI403" s="90">
        <f t="shared" si="6116"/>
        <v>327</v>
      </c>
      <c r="BJ403" s="90">
        <f t="shared" si="6116"/>
        <v>327</v>
      </c>
      <c r="BK403" s="90">
        <f t="shared" si="6116"/>
        <v>327</v>
      </c>
      <c r="BL403" s="90">
        <f t="shared" si="6116"/>
        <v>327</v>
      </c>
      <c r="BM403" s="90">
        <f t="shared" si="6116"/>
        <v>327</v>
      </c>
      <c r="BN403" s="90">
        <f t="shared" si="6116"/>
        <v>327</v>
      </c>
      <c r="BO403" s="90">
        <f t="shared" si="6116"/>
        <v>327</v>
      </c>
      <c r="BP403" s="90">
        <f t="shared" si="6116"/>
        <v>327</v>
      </c>
      <c r="BQ403" s="90">
        <f t="shared" si="6116"/>
        <v>327</v>
      </c>
      <c r="BR403" s="90">
        <f t="shared" si="6116"/>
        <v>327</v>
      </c>
      <c r="BS403" s="90">
        <f t="shared" si="6116"/>
        <v>327</v>
      </c>
      <c r="BT403" s="90">
        <f t="shared" si="6116"/>
        <v>327</v>
      </c>
      <c r="BU403" s="90">
        <f t="shared" ref="BU403:CJ403" si="6117">BT403</f>
        <v>327</v>
      </c>
      <c r="BV403" s="90">
        <f t="shared" si="6117"/>
        <v>327</v>
      </c>
      <c r="BW403" s="90">
        <f t="shared" si="6117"/>
        <v>327</v>
      </c>
      <c r="BX403" s="90">
        <f t="shared" si="6117"/>
        <v>327</v>
      </c>
      <c r="BY403" s="90">
        <f t="shared" si="6117"/>
        <v>327</v>
      </c>
      <c r="BZ403" s="90">
        <f t="shared" si="6117"/>
        <v>327</v>
      </c>
      <c r="CA403" s="90">
        <f t="shared" si="6117"/>
        <v>327</v>
      </c>
      <c r="CB403" s="90">
        <f t="shared" si="6117"/>
        <v>327</v>
      </c>
      <c r="CC403" s="90">
        <f t="shared" si="6117"/>
        <v>327</v>
      </c>
      <c r="CD403" s="90">
        <f t="shared" si="6117"/>
        <v>327</v>
      </c>
      <c r="CE403" s="90">
        <f t="shared" si="6117"/>
        <v>327</v>
      </c>
      <c r="CF403" s="90">
        <f t="shared" si="6117"/>
        <v>327</v>
      </c>
      <c r="CG403" s="90">
        <f t="shared" si="6117"/>
        <v>327</v>
      </c>
      <c r="CH403" s="90">
        <f t="shared" si="6117"/>
        <v>327</v>
      </c>
      <c r="CI403" s="90">
        <f t="shared" si="6117"/>
        <v>327</v>
      </c>
      <c r="CJ403" s="90">
        <f t="shared" si="6117"/>
        <v>327</v>
      </c>
      <c r="CK403" s="90">
        <f t="shared" ref="CK403:CK404" si="6118">CJ403</f>
        <v>327</v>
      </c>
      <c r="CL403" s="90">
        <f t="shared" ref="CL403:CL404" si="6119">CK403</f>
        <v>327</v>
      </c>
      <c r="CM403" s="90">
        <f t="shared" ref="CM403:CM404" si="6120">CL403</f>
        <v>327</v>
      </c>
      <c r="CN403" s="90">
        <f t="shared" ref="CN403:CN404" si="6121">CM403</f>
        <v>327</v>
      </c>
      <c r="CO403" s="90">
        <f t="shared" ref="CO403:CO404" si="6122">CN403</f>
        <v>327</v>
      </c>
      <c r="CP403" s="90">
        <f t="shared" ref="CP403:CP404" si="6123">CO403</f>
        <v>327</v>
      </c>
      <c r="CQ403" s="90">
        <f t="shared" ref="CQ403:CQ404" si="6124">CP403</f>
        <v>327</v>
      </c>
      <c r="CR403" s="90">
        <f t="shared" ref="CR403:CR404" si="6125">CQ403</f>
        <v>327</v>
      </c>
      <c r="CS403" s="90">
        <f t="shared" ref="CS403:CS404" si="6126">CR403</f>
        <v>327</v>
      </c>
      <c r="CT403" s="90">
        <f t="shared" ref="CT403:CT404" si="6127">CS403</f>
        <v>327</v>
      </c>
      <c r="CU403" s="90">
        <f t="shared" ref="CU403:CU404" si="6128">CT403</f>
        <v>327</v>
      </c>
      <c r="CV403" s="90">
        <f t="shared" ref="CV403:CV404" si="6129">CU403</f>
        <v>327</v>
      </c>
      <c r="CW403" s="90">
        <f t="shared" ref="CW403:CW404" si="6130">CV403</f>
        <v>327</v>
      </c>
      <c r="CX403" s="90">
        <f t="shared" ref="CX403:CX404" si="6131">CW403</f>
        <v>327</v>
      </c>
      <c r="CY403" s="90">
        <f t="shared" ref="CY403:CY404" si="6132">CX403</f>
        <v>327</v>
      </c>
      <c r="CZ403" s="90">
        <f>CY403</f>
        <v>327</v>
      </c>
      <c r="DA403" s="85">
        <f t="shared" si="6114"/>
        <v>32700</v>
      </c>
      <c r="DB403" s="72"/>
      <c r="DC403" s="72"/>
      <c r="DD403" s="72"/>
      <c r="DE403" s="72"/>
      <c r="DF403" s="72"/>
      <c r="DG403" s="72"/>
      <c r="DH403" s="72"/>
      <c r="DI403" s="72"/>
      <c r="DJ403" s="72"/>
      <c r="DK403" s="72"/>
      <c r="DL403" s="72"/>
      <c r="DM403" s="72"/>
      <c r="DN403" s="72"/>
      <c r="DO403" s="72"/>
      <c r="DP403" s="72"/>
      <c r="DQ403" s="72"/>
      <c r="DR403" s="72"/>
      <c r="DS403" s="72"/>
      <c r="DT403" s="72"/>
      <c r="DU403" s="72"/>
      <c r="DV403" s="73"/>
    </row>
    <row r="404" spans="1:126" s="74" customFormat="1" ht="14.25">
      <c r="A404" s="68"/>
      <c r="B404" s="18" t="s">
        <v>1237</v>
      </c>
      <c r="C404" s="18"/>
      <c r="D404" s="83"/>
      <c r="E404" s="84">
        <f>ROUND((E402+F402+G402+H402)*取值表!$J$8/4*1.5%,0)</f>
        <v>138464</v>
      </c>
      <c r="F404" s="84">
        <f t="shared" si="6115"/>
        <v>138464</v>
      </c>
      <c r="G404" s="84">
        <f t="shared" si="6115"/>
        <v>138464</v>
      </c>
      <c r="H404" s="84">
        <f t="shared" si="6115"/>
        <v>138464</v>
      </c>
      <c r="I404" s="84">
        <f>ROUND((I402+J402+K402+L402)*取值表!$J$8/4*1.5%,0)</f>
        <v>141580</v>
      </c>
      <c r="J404" s="84">
        <f t="shared" ref="J404:L404" si="6133">I404</f>
        <v>141580</v>
      </c>
      <c r="K404" s="84">
        <f t="shared" si="6133"/>
        <v>141580</v>
      </c>
      <c r="L404" s="84">
        <f t="shared" si="6133"/>
        <v>141580</v>
      </c>
      <c r="M404" s="84">
        <f>ROUND((M402+N402+O402+P402)*取值表!$J$8/4*1.5%,0)</f>
        <v>144593</v>
      </c>
      <c r="N404" s="84">
        <f t="shared" ref="N404:P404" si="6134">M404</f>
        <v>144593</v>
      </c>
      <c r="O404" s="84">
        <f t="shared" si="6134"/>
        <v>144593</v>
      </c>
      <c r="P404" s="84">
        <f t="shared" si="6134"/>
        <v>144593</v>
      </c>
      <c r="Q404" s="84">
        <f>ROUND((Q402+R402+S402+T402)*取值表!$J$8/4*1.5%,0)</f>
        <v>147620</v>
      </c>
      <c r="R404" s="84">
        <f t="shared" ref="R404:T404" si="6135">Q404</f>
        <v>147620</v>
      </c>
      <c r="S404" s="84">
        <f t="shared" si="6135"/>
        <v>147620</v>
      </c>
      <c r="T404" s="84">
        <f t="shared" si="6135"/>
        <v>147620</v>
      </c>
      <c r="U404" s="84">
        <f>ROUND((U402+V402+W402+X402)*取值表!$J$8/4*1.5%,0)</f>
        <v>150918</v>
      </c>
      <c r="V404" s="84">
        <f t="shared" ref="V404:X404" si="6136">U404</f>
        <v>150918</v>
      </c>
      <c r="W404" s="84">
        <f t="shared" si="6136"/>
        <v>150918</v>
      </c>
      <c r="X404" s="84">
        <f t="shared" si="6136"/>
        <v>150918</v>
      </c>
      <c r="Y404" s="84">
        <f>ROUND((Y402+Z402+AA402+AB402)*取值表!$J$8/4*1.5%,0)</f>
        <v>154529</v>
      </c>
      <c r="Z404" s="84">
        <f t="shared" ref="Z404:AB404" si="6137">Y404</f>
        <v>154529</v>
      </c>
      <c r="AA404" s="84">
        <f t="shared" si="6137"/>
        <v>154529</v>
      </c>
      <c r="AB404" s="84">
        <f t="shared" si="6137"/>
        <v>154529</v>
      </c>
      <c r="AC404" s="84">
        <f>ROUND((AC402+AD402+AE402+AF402)*取值表!$J$8/4*1.5%,0)</f>
        <v>158402</v>
      </c>
      <c r="AD404" s="84">
        <f t="shared" ref="AD404:AF404" si="6138">AC404</f>
        <v>158402</v>
      </c>
      <c r="AE404" s="84">
        <f t="shared" si="6138"/>
        <v>158402</v>
      </c>
      <c r="AF404" s="84">
        <f t="shared" si="6138"/>
        <v>158402</v>
      </c>
      <c r="AG404" s="84">
        <f>ROUND((AG402+AH402+AI402+AJ402)*取值表!$J$8/4*1.5%,0)</f>
        <v>162634</v>
      </c>
      <c r="AH404" s="84">
        <f t="shared" ref="AH404:AJ404" si="6139">AG404</f>
        <v>162634</v>
      </c>
      <c r="AI404" s="84">
        <f t="shared" si="6139"/>
        <v>162634</v>
      </c>
      <c r="AJ404" s="84">
        <f t="shared" si="6139"/>
        <v>162634</v>
      </c>
      <c r="AK404" s="84">
        <f>ROUND((AK402+AL402+AM402+AN402)*取值表!$J$8/4*1.5%,0)</f>
        <v>167195</v>
      </c>
      <c r="AL404" s="84">
        <f t="shared" ref="AL404:AN404" si="6140">AK404</f>
        <v>167195</v>
      </c>
      <c r="AM404" s="84">
        <f t="shared" si="6140"/>
        <v>167195</v>
      </c>
      <c r="AN404" s="84">
        <f t="shared" si="6140"/>
        <v>167195</v>
      </c>
      <c r="AO404" s="84">
        <f>ROUND((AO402+AP402+AQ402+AR402)*取值表!$J$8/4*1.5%,0)</f>
        <v>172185</v>
      </c>
      <c r="AP404" s="84">
        <f t="shared" ref="AP404:AR404" si="6141">AO404</f>
        <v>172185</v>
      </c>
      <c r="AQ404" s="84">
        <f t="shared" si="6141"/>
        <v>172185</v>
      </c>
      <c r="AR404" s="84">
        <f t="shared" si="6141"/>
        <v>172185</v>
      </c>
      <c r="AS404" s="84">
        <f>ROUND((AS402+AT402+AU402+AV402)*取值表!$J$8/4*1.5%,0)</f>
        <v>177422</v>
      </c>
      <c r="AT404" s="84">
        <f t="shared" ref="AT404:AV404" si="6142">AS404</f>
        <v>177422</v>
      </c>
      <c r="AU404" s="84">
        <f t="shared" si="6142"/>
        <v>177422</v>
      </c>
      <c r="AV404" s="84">
        <f t="shared" si="6142"/>
        <v>177422</v>
      </c>
      <c r="AW404" s="84">
        <f>ROUND((AW402+AX402+AY402+AZ402)*取值表!$J$8/4*1.5%,0)</f>
        <v>183179</v>
      </c>
      <c r="AX404" s="84">
        <f t="shared" ref="AX404:AZ404" si="6143">AW404</f>
        <v>183179</v>
      </c>
      <c r="AY404" s="84">
        <f t="shared" si="6143"/>
        <v>183179</v>
      </c>
      <c r="AZ404" s="84">
        <f t="shared" si="6143"/>
        <v>183179</v>
      </c>
      <c r="BA404" s="84">
        <f>ROUND((BA402+BB402+BC402+BD402)*取值表!$J$8/4*1.5%,0)</f>
        <v>189502</v>
      </c>
      <c r="BB404" s="84">
        <f t="shared" ref="BB404:BD404" si="6144">BA404</f>
        <v>189502</v>
      </c>
      <c r="BC404" s="84">
        <f t="shared" si="6144"/>
        <v>189502</v>
      </c>
      <c r="BD404" s="84">
        <f t="shared" si="6144"/>
        <v>189502</v>
      </c>
      <c r="BE404" s="84">
        <f>ROUND((BE402+BF402+BG402+BH402)*取值表!$J$8/4*1.5%,0)</f>
        <v>196436</v>
      </c>
      <c r="BF404" s="84">
        <f t="shared" ref="BF404:BH404" si="6145">BE404</f>
        <v>196436</v>
      </c>
      <c r="BG404" s="84">
        <f t="shared" si="6145"/>
        <v>196436</v>
      </c>
      <c r="BH404" s="84">
        <f t="shared" si="6145"/>
        <v>196436</v>
      </c>
      <c r="BI404" s="84">
        <f>ROUND((BI402+BJ402+BK402+BL402)*取值表!$J$8/4*1.5%,0)</f>
        <v>204036</v>
      </c>
      <c r="BJ404" s="84">
        <f t="shared" ref="BJ404:BL404" si="6146">BI404</f>
        <v>204036</v>
      </c>
      <c r="BK404" s="84">
        <f t="shared" si="6146"/>
        <v>204036</v>
      </c>
      <c r="BL404" s="84">
        <f t="shared" si="6146"/>
        <v>204036</v>
      </c>
      <c r="BM404" s="84">
        <f>ROUND((BM402+BN402+BO402+BP402)*取值表!$J$8/4*1.5%,0)</f>
        <v>212362</v>
      </c>
      <c r="BN404" s="84">
        <f t="shared" ref="BN404:BP404" si="6147">BM404</f>
        <v>212362</v>
      </c>
      <c r="BO404" s="84">
        <f t="shared" si="6147"/>
        <v>212362</v>
      </c>
      <c r="BP404" s="84">
        <f t="shared" si="6147"/>
        <v>212362</v>
      </c>
      <c r="BQ404" s="84">
        <f>ROUND((BQ402+BR402+BS402+BT402)*取值表!$J$8/4*1.5%,0)</f>
        <v>221479</v>
      </c>
      <c r="BR404" s="84">
        <f t="shared" ref="BR404:BT404" si="6148">BQ404</f>
        <v>221479</v>
      </c>
      <c r="BS404" s="84">
        <f t="shared" si="6148"/>
        <v>221479</v>
      </c>
      <c r="BT404" s="84">
        <f t="shared" si="6148"/>
        <v>221479</v>
      </c>
      <c r="BU404" s="84">
        <f>ROUND((BU402+BV402+BW402+BX402)*取值表!$J$8/4*1.5%,0)</f>
        <v>231458</v>
      </c>
      <c r="BV404" s="84">
        <f t="shared" ref="BV404:BX404" si="6149">BU404</f>
        <v>231458</v>
      </c>
      <c r="BW404" s="84">
        <f t="shared" si="6149"/>
        <v>231458</v>
      </c>
      <c r="BX404" s="84">
        <f t="shared" si="6149"/>
        <v>231458</v>
      </c>
      <c r="BY404" s="84">
        <f>ROUND((BY402+BZ402+CA402+CB402)*取值表!$J$8/4*1.5%,0)</f>
        <v>242372</v>
      </c>
      <c r="BZ404" s="84">
        <f t="shared" ref="BZ404:CB404" si="6150">BY404</f>
        <v>242372</v>
      </c>
      <c r="CA404" s="84">
        <f t="shared" si="6150"/>
        <v>242372</v>
      </c>
      <c r="CB404" s="84">
        <f t="shared" si="6150"/>
        <v>242372</v>
      </c>
      <c r="CC404" s="84">
        <f>ROUND((CC402+CD402+CE402+CF402)*取值表!$J$8/4*1.5%,0)</f>
        <v>254308</v>
      </c>
      <c r="CD404" s="84">
        <f t="shared" ref="CD404:CF404" si="6151">CC404</f>
        <v>254308</v>
      </c>
      <c r="CE404" s="84">
        <f t="shared" si="6151"/>
        <v>254308</v>
      </c>
      <c r="CF404" s="84">
        <f t="shared" si="6151"/>
        <v>254308</v>
      </c>
      <c r="CG404" s="84">
        <f>ROUND((CG402+CH402+CI402+CJ402)*取值表!$J$8/4*1.5%,0)</f>
        <v>267358</v>
      </c>
      <c r="CH404" s="84">
        <f t="shared" ref="CH404:CI404" si="6152">CG404</f>
        <v>267358</v>
      </c>
      <c r="CI404" s="84">
        <f t="shared" si="6152"/>
        <v>267358</v>
      </c>
      <c r="CJ404" s="84">
        <f>CI404</f>
        <v>267358</v>
      </c>
      <c r="CK404" s="84">
        <f t="shared" si="6118"/>
        <v>267358</v>
      </c>
      <c r="CL404" s="84">
        <f t="shared" si="6119"/>
        <v>267358</v>
      </c>
      <c r="CM404" s="84">
        <f t="shared" si="6120"/>
        <v>267358</v>
      </c>
      <c r="CN404" s="84">
        <f t="shared" si="6121"/>
        <v>267358</v>
      </c>
      <c r="CO404" s="84">
        <f t="shared" si="6122"/>
        <v>267358</v>
      </c>
      <c r="CP404" s="84">
        <f t="shared" si="6123"/>
        <v>267358</v>
      </c>
      <c r="CQ404" s="84">
        <f t="shared" si="6124"/>
        <v>267358</v>
      </c>
      <c r="CR404" s="84">
        <f t="shared" si="6125"/>
        <v>267358</v>
      </c>
      <c r="CS404" s="84">
        <f t="shared" si="6126"/>
        <v>267358</v>
      </c>
      <c r="CT404" s="84">
        <f t="shared" si="6127"/>
        <v>267358</v>
      </c>
      <c r="CU404" s="84">
        <f t="shared" si="6128"/>
        <v>267358</v>
      </c>
      <c r="CV404" s="84">
        <f t="shared" si="6129"/>
        <v>267358</v>
      </c>
      <c r="CW404" s="84">
        <f t="shared" si="6130"/>
        <v>267358</v>
      </c>
      <c r="CX404" s="84">
        <f t="shared" si="6131"/>
        <v>267358</v>
      </c>
      <c r="CY404" s="84">
        <f t="shared" si="6132"/>
        <v>267358</v>
      </c>
      <c r="CZ404" s="84">
        <f t="shared" ref="CZ404" si="6153">CY404</f>
        <v>267358</v>
      </c>
      <c r="DA404" s="85">
        <f t="shared" si="6114"/>
        <v>19949856</v>
      </c>
      <c r="DB404" s="72"/>
      <c r="DC404" s="72"/>
      <c r="DD404" s="72"/>
      <c r="DE404" s="72"/>
      <c r="DF404" s="72"/>
      <c r="DG404" s="72"/>
      <c r="DH404" s="72"/>
      <c r="DI404" s="72"/>
      <c r="DJ404" s="72"/>
      <c r="DK404" s="72"/>
      <c r="DL404" s="72"/>
      <c r="DM404" s="72"/>
      <c r="DN404" s="72"/>
      <c r="DO404" s="72"/>
      <c r="DP404" s="72"/>
      <c r="DQ404" s="72"/>
      <c r="DR404" s="72"/>
      <c r="DS404" s="72"/>
      <c r="DT404" s="72"/>
      <c r="DU404" s="72"/>
      <c r="DV404" s="73"/>
    </row>
    <row r="405" spans="1:126" s="88" customFormat="1" ht="22.5">
      <c r="A405" s="82"/>
      <c r="B405" s="91" t="s">
        <v>965</v>
      </c>
      <c r="C405" s="84"/>
      <c r="D405" s="83"/>
      <c r="E405" s="84">
        <f>E406+E407+E408</f>
        <v>9351746</v>
      </c>
      <c r="F405" s="84">
        <f>F406+F407+F408</f>
        <v>9384053</v>
      </c>
      <c r="G405" s="84">
        <f>G406+G407+G408</f>
        <v>9426631</v>
      </c>
      <c r="H405" s="84">
        <f>H406+H407+H408</f>
        <v>9465771</v>
      </c>
      <c r="I405" s="84">
        <f>I406+I407+I408</f>
        <v>9565716</v>
      </c>
      <c r="J405" s="84">
        <f t="shared" ref="J405:O405" si="6154">J406+J407+J408</f>
        <v>9602543</v>
      </c>
      <c r="K405" s="84">
        <f t="shared" si="6154"/>
        <v>9642964</v>
      </c>
      <c r="L405" s="84">
        <f t="shared" si="6154"/>
        <v>9663737</v>
      </c>
      <c r="M405" s="84">
        <f t="shared" si="6154"/>
        <v>9816996</v>
      </c>
      <c r="N405" s="84">
        <f t="shared" si="6154"/>
        <v>9817108</v>
      </c>
      <c r="O405" s="84">
        <f t="shared" si="6154"/>
        <v>9829810</v>
      </c>
      <c r="P405" s="84">
        <f t="shared" ref="P405:BQ405" si="6155">P406+P407+P408</f>
        <v>9829810</v>
      </c>
      <c r="Q405" s="84">
        <f t="shared" si="6155"/>
        <v>10028571</v>
      </c>
      <c r="R405" s="84">
        <f t="shared" si="6155"/>
        <v>10029239</v>
      </c>
      <c r="S405" s="84">
        <f t="shared" si="6155"/>
        <v>10029354</v>
      </c>
      <c r="T405" s="84">
        <f t="shared" si="6155"/>
        <v>10029354</v>
      </c>
      <c r="U405" s="84">
        <f t="shared" si="6155"/>
        <v>10247867</v>
      </c>
      <c r="V405" s="84">
        <f t="shared" si="6155"/>
        <v>10247867</v>
      </c>
      <c r="W405" s="84">
        <f t="shared" si="6155"/>
        <v>10258423</v>
      </c>
      <c r="X405" s="84">
        <f t="shared" si="6155"/>
        <v>10258543</v>
      </c>
      <c r="Y405" s="84">
        <f t="shared" si="6155"/>
        <v>10498348</v>
      </c>
      <c r="Z405" s="84">
        <f t="shared" si="6155"/>
        <v>10498348</v>
      </c>
      <c r="AA405" s="84">
        <f t="shared" si="6155"/>
        <v>10498348</v>
      </c>
      <c r="AB405" s="84">
        <f t="shared" si="6155"/>
        <v>10499025</v>
      </c>
      <c r="AC405" s="84">
        <f t="shared" si="6155"/>
        <v>10761604</v>
      </c>
      <c r="AD405" s="84">
        <f t="shared" si="6155"/>
        <v>10761604</v>
      </c>
      <c r="AE405" s="84">
        <f t="shared" si="6155"/>
        <v>10761604</v>
      </c>
      <c r="AF405" s="84">
        <f t="shared" si="6155"/>
        <v>10761604</v>
      </c>
      <c r="AG405" s="84">
        <f t="shared" si="6155"/>
        <v>11049044</v>
      </c>
      <c r="AH405" s="84">
        <f t="shared" si="6155"/>
        <v>11049169</v>
      </c>
      <c r="AI405" s="84">
        <f t="shared" si="6155"/>
        <v>11049169</v>
      </c>
      <c r="AJ405" s="84">
        <f t="shared" si="6155"/>
        <v>11049169</v>
      </c>
      <c r="AK405" s="84">
        <f t="shared" si="6155"/>
        <v>11358389</v>
      </c>
      <c r="AL405" s="84">
        <f t="shared" si="6155"/>
        <v>11359074</v>
      </c>
      <c r="AM405" s="84">
        <f t="shared" si="6155"/>
        <v>11359204</v>
      </c>
      <c r="AN405" s="84">
        <f t="shared" si="6155"/>
        <v>11359204</v>
      </c>
      <c r="AO405" s="84">
        <f t="shared" si="6155"/>
        <v>11697660</v>
      </c>
      <c r="AP405" s="84">
        <f t="shared" si="6155"/>
        <v>11697660</v>
      </c>
      <c r="AQ405" s="84">
        <f t="shared" si="6155"/>
        <v>11698350</v>
      </c>
      <c r="AR405" s="84">
        <f t="shared" si="6155"/>
        <v>11698482</v>
      </c>
      <c r="AS405" s="84">
        <f t="shared" si="6155"/>
        <v>12053657</v>
      </c>
      <c r="AT405" s="84">
        <f t="shared" si="6155"/>
        <v>12053657</v>
      </c>
      <c r="AU405" s="84">
        <f t="shared" si="6155"/>
        <v>12053657</v>
      </c>
      <c r="AV405" s="84">
        <f t="shared" si="6155"/>
        <v>12054348</v>
      </c>
      <c r="AW405" s="84">
        <f t="shared" si="6155"/>
        <v>12444933</v>
      </c>
      <c r="AX405" s="84">
        <f t="shared" si="6155"/>
        <v>12444933</v>
      </c>
      <c r="AY405" s="84">
        <f t="shared" si="6155"/>
        <v>12444933</v>
      </c>
      <c r="AZ405" s="84">
        <f t="shared" si="6155"/>
        <v>12444933</v>
      </c>
      <c r="BA405" s="84">
        <f t="shared" si="6155"/>
        <v>12874396</v>
      </c>
      <c r="BB405" s="84">
        <f t="shared" si="6155"/>
        <v>12874535</v>
      </c>
      <c r="BC405" s="84">
        <f t="shared" si="6155"/>
        <v>12874535</v>
      </c>
      <c r="BD405" s="84">
        <f t="shared" si="6155"/>
        <v>12874535</v>
      </c>
      <c r="BE405" s="84">
        <f t="shared" si="6155"/>
        <v>13344951</v>
      </c>
      <c r="BF405" s="84">
        <f t="shared" si="6155"/>
        <v>13345653</v>
      </c>
      <c r="BG405" s="84">
        <f t="shared" si="6155"/>
        <v>13345796</v>
      </c>
      <c r="BH405" s="84">
        <f t="shared" si="6155"/>
        <v>13345796</v>
      </c>
      <c r="BI405" s="84">
        <f t="shared" si="6155"/>
        <v>13861513</v>
      </c>
      <c r="BJ405" s="84">
        <f t="shared" si="6155"/>
        <v>13861513</v>
      </c>
      <c r="BK405" s="84">
        <f t="shared" si="6155"/>
        <v>13862219</v>
      </c>
      <c r="BL405" s="84">
        <f t="shared" si="6155"/>
        <v>13862366</v>
      </c>
      <c r="BM405" s="84">
        <f t="shared" si="6155"/>
        <v>14427376</v>
      </c>
      <c r="BN405" s="84">
        <f t="shared" si="6155"/>
        <v>14427376</v>
      </c>
      <c r="BO405" s="84">
        <f t="shared" si="6155"/>
        <v>14427376</v>
      </c>
      <c r="BP405" s="84">
        <f t="shared" si="6155"/>
        <v>14428087</v>
      </c>
      <c r="BQ405" s="84">
        <f t="shared" si="6155"/>
        <v>15046922</v>
      </c>
      <c r="BR405" s="84">
        <f t="shared" ref="BR405:CJ405" si="6156">BR406+BR407+BR408</f>
        <v>15046922</v>
      </c>
      <c r="BS405" s="84">
        <f t="shared" si="6156"/>
        <v>15046922</v>
      </c>
      <c r="BT405" s="84">
        <f t="shared" si="6156"/>
        <v>15046922</v>
      </c>
      <c r="BU405" s="84">
        <f t="shared" si="6156"/>
        <v>15724775</v>
      </c>
      <c r="BV405" s="84">
        <f t="shared" si="6156"/>
        <v>15724928</v>
      </c>
      <c r="BW405" s="84">
        <f t="shared" si="6156"/>
        <v>15724928</v>
      </c>
      <c r="BX405" s="84">
        <f t="shared" si="6156"/>
        <v>15724928</v>
      </c>
      <c r="BY405" s="84">
        <f t="shared" si="6156"/>
        <v>16465761</v>
      </c>
      <c r="BZ405" s="84">
        <f t="shared" si="6156"/>
        <v>16466480</v>
      </c>
      <c r="CA405" s="84">
        <f t="shared" si="6156"/>
        <v>16466636</v>
      </c>
      <c r="CB405" s="84">
        <f t="shared" si="6156"/>
        <v>16466636</v>
      </c>
      <c r="CC405" s="84">
        <f t="shared" si="6156"/>
        <v>17276887</v>
      </c>
      <c r="CD405" s="84">
        <f t="shared" si="6156"/>
        <v>17276887</v>
      </c>
      <c r="CE405" s="84">
        <f t="shared" si="6156"/>
        <v>17277611</v>
      </c>
      <c r="CF405" s="84">
        <f t="shared" si="6156"/>
        <v>17277771</v>
      </c>
      <c r="CG405" s="84">
        <f t="shared" si="6156"/>
        <v>18163701</v>
      </c>
      <c r="CH405" s="84">
        <f t="shared" si="6156"/>
        <v>18163701</v>
      </c>
      <c r="CI405" s="84">
        <f t="shared" si="6156"/>
        <v>18163701</v>
      </c>
      <c r="CJ405" s="84">
        <f t="shared" si="6156"/>
        <v>18164428</v>
      </c>
      <c r="CK405" s="84">
        <f t="shared" ref="CK405:CZ405" si="6157">CK406+CK407+CK408</f>
        <v>19129851</v>
      </c>
      <c r="CL405" s="84">
        <f t="shared" si="6157"/>
        <v>19129851</v>
      </c>
      <c r="CM405" s="84">
        <f t="shared" si="6157"/>
        <v>19129851</v>
      </c>
      <c r="CN405" s="84">
        <f t="shared" si="6157"/>
        <v>19130583</v>
      </c>
      <c r="CO405" s="84">
        <f t="shared" si="6157"/>
        <v>20185749</v>
      </c>
      <c r="CP405" s="84">
        <f t="shared" si="6157"/>
        <v>20185749</v>
      </c>
      <c r="CQ405" s="84">
        <f t="shared" si="6157"/>
        <v>20185749</v>
      </c>
      <c r="CR405" s="84">
        <f t="shared" si="6157"/>
        <v>20186485</v>
      </c>
      <c r="CS405" s="84">
        <f t="shared" si="6157"/>
        <v>21339554</v>
      </c>
      <c r="CT405" s="84">
        <f t="shared" si="6157"/>
        <v>21339554</v>
      </c>
      <c r="CU405" s="84">
        <f t="shared" si="6157"/>
        <v>21339554</v>
      </c>
      <c r="CV405" s="84">
        <f t="shared" si="6157"/>
        <v>21340295</v>
      </c>
      <c r="CW405" s="84">
        <f t="shared" si="6157"/>
        <v>22600199</v>
      </c>
      <c r="CX405" s="84">
        <f t="shared" si="6157"/>
        <v>22600199</v>
      </c>
      <c r="CY405" s="84">
        <f t="shared" si="6157"/>
        <v>22600199</v>
      </c>
      <c r="CZ405" s="84">
        <f t="shared" si="6157"/>
        <v>22600945</v>
      </c>
      <c r="DA405" s="85">
        <f t="shared" si="6114"/>
        <v>1397766050</v>
      </c>
      <c r="DB405" s="86"/>
      <c r="DC405" s="86"/>
      <c r="DD405" s="86"/>
      <c r="DE405" s="86"/>
      <c r="DF405" s="86"/>
      <c r="DG405" s="86"/>
      <c r="DH405" s="86"/>
      <c r="DI405" s="86"/>
      <c r="DJ405" s="86"/>
      <c r="DK405" s="86"/>
      <c r="DL405" s="86"/>
      <c r="DM405" s="86"/>
      <c r="DN405" s="86"/>
      <c r="DO405" s="86"/>
      <c r="DP405" s="86"/>
      <c r="DQ405" s="86"/>
      <c r="DR405" s="86"/>
      <c r="DS405" s="86"/>
      <c r="DT405" s="86"/>
      <c r="DU405" s="86"/>
      <c r="DV405" s="87"/>
    </row>
    <row r="406" spans="1:126" s="88" customFormat="1" ht="14.25">
      <c r="A406" s="82"/>
      <c r="B406" s="18" t="s">
        <v>795</v>
      </c>
      <c r="C406" s="18"/>
      <c r="D406" s="92">
        <v>0.12</v>
      </c>
      <c r="E406" s="93">
        <f>ROUND(E401*$D$406,0)</f>
        <v>5260357</v>
      </c>
      <c r="F406" s="93">
        <f t="shared" ref="F406:BQ406" si="6158">ROUND(F401*$D$406,0)</f>
        <v>5278530</v>
      </c>
      <c r="G406" s="93">
        <f t="shared" si="6158"/>
        <v>5302480</v>
      </c>
      <c r="H406" s="93">
        <f t="shared" si="6158"/>
        <v>5324496</v>
      </c>
      <c r="I406" s="93">
        <f t="shared" si="6158"/>
        <v>5380715</v>
      </c>
      <c r="J406" s="93">
        <f t="shared" si="6158"/>
        <v>5401430</v>
      </c>
      <c r="K406" s="93">
        <f t="shared" si="6158"/>
        <v>5424167</v>
      </c>
      <c r="L406" s="93">
        <f t="shared" si="6158"/>
        <v>5435852</v>
      </c>
      <c r="M406" s="93">
        <f t="shared" si="6158"/>
        <v>5522060</v>
      </c>
      <c r="N406" s="93">
        <f t="shared" si="6158"/>
        <v>5522123</v>
      </c>
      <c r="O406" s="93">
        <f t="shared" si="6158"/>
        <v>5529268</v>
      </c>
      <c r="P406" s="93">
        <f t="shared" si="6158"/>
        <v>5529268</v>
      </c>
      <c r="Q406" s="93">
        <f t="shared" si="6158"/>
        <v>5641071</v>
      </c>
      <c r="R406" s="93">
        <f t="shared" si="6158"/>
        <v>5641447</v>
      </c>
      <c r="S406" s="93">
        <f t="shared" si="6158"/>
        <v>5641512</v>
      </c>
      <c r="T406" s="93">
        <f t="shared" si="6158"/>
        <v>5641512</v>
      </c>
      <c r="U406" s="93">
        <f t="shared" si="6158"/>
        <v>5764425</v>
      </c>
      <c r="V406" s="93">
        <f t="shared" si="6158"/>
        <v>5764425</v>
      </c>
      <c r="W406" s="93">
        <f t="shared" si="6158"/>
        <v>5770363</v>
      </c>
      <c r="X406" s="93">
        <f t="shared" si="6158"/>
        <v>5770430</v>
      </c>
      <c r="Y406" s="93">
        <f t="shared" si="6158"/>
        <v>5905321</v>
      </c>
      <c r="Z406" s="93">
        <f t="shared" si="6158"/>
        <v>5905321</v>
      </c>
      <c r="AA406" s="93">
        <f t="shared" si="6158"/>
        <v>5905321</v>
      </c>
      <c r="AB406" s="93">
        <f t="shared" si="6158"/>
        <v>5905702</v>
      </c>
      <c r="AC406" s="93">
        <f t="shared" si="6158"/>
        <v>6053402</v>
      </c>
      <c r="AD406" s="93">
        <f t="shared" si="6158"/>
        <v>6053402</v>
      </c>
      <c r="AE406" s="93">
        <f t="shared" si="6158"/>
        <v>6053402</v>
      </c>
      <c r="AF406" s="93">
        <f t="shared" si="6158"/>
        <v>6053402</v>
      </c>
      <c r="AG406" s="93">
        <f t="shared" si="6158"/>
        <v>6215087</v>
      </c>
      <c r="AH406" s="93">
        <f t="shared" si="6158"/>
        <v>6215158</v>
      </c>
      <c r="AI406" s="93">
        <f t="shared" si="6158"/>
        <v>6215158</v>
      </c>
      <c r="AJ406" s="93">
        <f t="shared" si="6158"/>
        <v>6215158</v>
      </c>
      <c r="AK406" s="93">
        <f t="shared" si="6158"/>
        <v>6389094</v>
      </c>
      <c r="AL406" s="93">
        <f t="shared" si="6158"/>
        <v>6389479</v>
      </c>
      <c r="AM406" s="93">
        <f t="shared" si="6158"/>
        <v>6389552</v>
      </c>
      <c r="AN406" s="93">
        <f t="shared" si="6158"/>
        <v>6389552</v>
      </c>
      <c r="AO406" s="93">
        <f t="shared" si="6158"/>
        <v>6579934</v>
      </c>
      <c r="AP406" s="93">
        <f t="shared" si="6158"/>
        <v>6579934</v>
      </c>
      <c r="AQ406" s="93">
        <f t="shared" si="6158"/>
        <v>6580322</v>
      </c>
      <c r="AR406" s="93">
        <f t="shared" si="6158"/>
        <v>6580396</v>
      </c>
      <c r="AS406" s="93">
        <f t="shared" si="6158"/>
        <v>6780182</v>
      </c>
      <c r="AT406" s="93">
        <f t="shared" si="6158"/>
        <v>6780182</v>
      </c>
      <c r="AU406" s="93">
        <f t="shared" si="6158"/>
        <v>6780182</v>
      </c>
      <c r="AV406" s="93">
        <f t="shared" si="6158"/>
        <v>6780571</v>
      </c>
      <c r="AW406" s="93">
        <f t="shared" si="6158"/>
        <v>7000275</v>
      </c>
      <c r="AX406" s="93">
        <f t="shared" si="6158"/>
        <v>7000275</v>
      </c>
      <c r="AY406" s="93">
        <f t="shared" si="6158"/>
        <v>7000275</v>
      </c>
      <c r="AZ406" s="93">
        <f t="shared" si="6158"/>
        <v>7000275</v>
      </c>
      <c r="BA406" s="93">
        <f t="shared" si="6158"/>
        <v>7241848</v>
      </c>
      <c r="BB406" s="93">
        <f t="shared" si="6158"/>
        <v>7241926</v>
      </c>
      <c r="BC406" s="93">
        <f t="shared" si="6158"/>
        <v>7241926</v>
      </c>
      <c r="BD406" s="93">
        <f t="shared" si="6158"/>
        <v>7241926</v>
      </c>
      <c r="BE406" s="93">
        <f t="shared" si="6158"/>
        <v>7506535</v>
      </c>
      <c r="BF406" s="93">
        <f t="shared" si="6158"/>
        <v>7506930</v>
      </c>
      <c r="BG406" s="93">
        <f t="shared" si="6158"/>
        <v>7507010</v>
      </c>
      <c r="BH406" s="93">
        <f t="shared" si="6158"/>
        <v>7507010</v>
      </c>
      <c r="BI406" s="93">
        <f t="shared" si="6158"/>
        <v>7797101</v>
      </c>
      <c r="BJ406" s="93">
        <f t="shared" si="6158"/>
        <v>7797101</v>
      </c>
      <c r="BK406" s="93">
        <f t="shared" si="6158"/>
        <v>7797498</v>
      </c>
      <c r="BL406" s="93">
        <f t="shared" si="6158"/>
        <v>7797581</v>
      </c>
      <c r="BM406" s="93">
        <f t="shared" si="6158"/>
        <v>8115399</v>
      </c>
      <c r="BN406" s="93">
        <f t="shared" si="6158"/>
        <v>8115399</v>
      </c>
      <c r="BO406" s="93">
        <f t="shared" si="6158"/>
        <v>8115399</v>
      </c>
      <c r="BP406" s="93">
        <f t="shared" si="6158"/>
        <v>8115799</v>
      </c>
      <c r="BQ406" s="93">
        <f t="shared" si="6158"/>
        <v>8463894</v>
      </c>
      <c r="BR406" s="93">
        <f t="shared" ref="BR406:CH406" si="6159">ROUND(BR401*$D$406,0)</f>
        <v>8463894</v>
      </c>
      <c r="BS406" s="93">
        <f t="shared" si="6159"/>
        <v>8463894</v>
      </c>
      <c r="BT406" s="93">
        <f t="shared" si="6159"/>
        <v>8463894</v>
      </c>
      <c r="BU406" s="93">
        <f t="shared" si="6159"/>
        <v>8845186</v>
      </c>
      <c r="BV406" s="93">
        <f t="shared" si="6159"/>
        <v>8845272</v>
      </c>
      <c r="BW406" s="93">
        <f t="shared" si="6159"/>
        <v>8845272</v>
      </c>
      <c r="BX406" s="93">
        <f t="shared" si="6159"/>
        <v>8845272</v>
      </c>
      <c r="BY406" s="93">
        <f t="shared" si="6159"/>
        <v>9261991</v>
      </c>
      <c r="BZ406" s="93">
        <f t="shared" si="6159"/>
        <v>9262395</v>
      </c>
      <c r="CA406" s="93">
        <f t="shared" si="6159"/>
        <v>9262483</v>
      </c>
      <c r="CB406" s="93">
        <f t="shared" si="6159"/>
        <v>9262483</v>
      </c>
      <c r="CC406" s="93">
        <f t="shared" si="6159"/>
        <v>9718249</v>
      </c>
      <c r="CD406" s="93">
        <f t="shared" si="6159"/>
        <v>9718249</v>
      </c>
      <c r="CE406" s="93">
        <f t="shared" si="6159"/>
        <v>9718656</v>
      </c>
      <c r="CF406" s="93">
        <f t="shared" si="6159"/>
        <v>9718746</v>
      </c>
      <c r="CG406" s="93">
        <f t="shared" si="6159"/>
        <v>10217082</v>
      </c>
      <c r="CH406" s="93">
        <f t="shared" si="6159"/>
        <v>10217082</v>
      </c>
      <c r="CI406" s="93">
        <f>ROUND(CI401*$D$406,0)</f>
        <v>10217082</v>
      </c>
      <c r="CJ406" s="93">
        <f>ROUND(CJ401*$D$406,0)</f>
        <v>10217491</v>
      </c>
      <c r="CK406" s="93">
        <f t="shared" ref="CK406:CZ406" si="6160">ROUND(CK401*$D$406,0)</f>
        <v>10760541</v>
      </c>
      <c r="CL406" s="93">
        <f t="shared" si="6160"/>
        <v>10760541</v>
      </c>
      <c r="CM406" s="93">
        <f t="shared" si="6160"/>
        <v>10760541</v>
      </c>
      <c r="CN406" s="93">
        <f t="shared" si="6160"/>
        <v>10760953</v>
      </c>
      <c r="CO406" s="93">
        <f t="shared" si="6160"/>
        <v>11354484</v>
      </c>
      <c r="CP406" s="93">
        <f t="shared" si="6160"/>
        <v>11354484</v>
      </c>
      <c r="CQ406" s="93">
        <f t="shared" si="6160"/>
        <v>11354484</v>
      </c>
      <c r="CR406" s="93">
        <f t="shared" si="6160"/>
        <v>11354898</v>
      </c>
      <c r="CS406" s="93">
        <f t="shared" si="6160"/>
        <v>12003499</v>
      </c>
      <c r="CT406" s="93">
        <f t="shared" si="6160"/>
        <v>12003499</v>
      </c>
      <c r="CU406" s="93">
        <f t="shared" si="6160"/>
        <v>12003499</v>
      </c>
      <c r="CV406" s="93">
        <f t="shared" si="6160"/>
        <v>12003916</v>
      </c>
      <c r="CW406" s="93">
        <f t="shared" si="6160"/>
        <v>12712612</v>
      </c>
      <c r="CX406" s="93">
        <f t="shared" si="6160"/>
        <v>12712612</v>
      </c>
      <c r="CY406" s="93">
        <f t="shared" si="6160"/>
        <v>12712612</v>
      </c>
      <c r="CZ406" s="93">
        <f t="shared" si="6160"/>
        <v>12713032</v>
      </c>
      <c r="DA406" s="85">
        <f t="shared" si="6114"/>
        <v>786243407</v>
      </c>
      <c r="DB406" s="86"/>
      <c r="DC406" s="86"/>
      <c r="DD406" s="86"/>
      <c r="DE406" s="86"/>
      <c r="DF406" s="86"/>
      <c r="DG406" s="86"/>
      <c r="DH406" s="86"/>
      <c r="DI406" s="86"/>
      <c r="DJ406" s="86"/>
      <c r="DK406" s="86"/>
      <c r="DL406" s="86"/>
      <c r="DM406" s="86"/>
      <c r="DN406" s="86"/>
      <c r="DO406" s="86"/>
      <c r="DP406" s="86"/>
      <c r="DQ406" s="86"/>
      <c r="DR406" s="86"/>
      <c r="DS406" s="86"/>
      <c r="DT406" s="86"/>
      <c r="DU406" s="86"/>
      <c r="DV406" s="87"/>
    </row>
    <row r="407" spans="1:126" s="74" customFormat="1" ht="14.25">
      <c r="A407" s="68"/>
      <c r="B407" s="18" t="s">
        <v>966</v>
      </c>
      <c r="C407" s="18"/>
      <c r="D407" s="83">
        <v>5.6000000000000001E-2</v>
      </c>
      <c r="E407" s="84">
        <f>ROUND(E401*$D$407/(1+5%),0)</f>
        <v>2337937</v>
      </c>
      <c r="F407" s="84">
        <f t="shared" ref="F407:BQ407" si="6161">ROUND(F401*$D$407/(1+5%),0)</f>
        <v>2346013</v>
      </c>
      <c r="G407" s="84">
        <f t="shared" si="6161"/>
        <v>2356658</v>
      </c>
      <c r="H407" s="84">
        <f t="shared" si="6161"/>
        <v>2366443</v>
      </c>
      <c r="I407" s="84">
        <f t="shared" si="6161"/>
        <v>2391429</v>
      </c>
      <c r="J407" s="84">
        <f t="shared" si="6161"/>
        <v>2400636</v>
      </c>
      <c r="K407" s="84">
        <f t="shared" si="6161"/>
        <v>2410741</v>
      </c>
      <c r="L407" s="84">
        <f t="shared" si="6161"/>
        <v>2415934</v>
      </c>
      <c r="M407" s="84">
        <f t="shared" si="6161"/>
        <v>2454249</v>
      </c>
      <c r="N407" s="84">
        <f t="shared" si="6161"/>
        <v>2454277</v>
      </c>
      <c r="O407" s="84">
        <f t="shared" si="6161"/>
        <v>2457453</v>
      </c>
      <c r="P407" s="84">
        <f t="shared" si="6161"/>
        <v>2457453</v>
      </c>
      <c r="Q407" s="84">
        <f t="shared" si="6161"/>
        <v>2507143</v>
      </c>
      <c r="R407" s="84">
        <f t="shared" si="6161"/>
        <v>2507310</v>
      </c>
      <c r="S407" s="84">
        <f t="shared" si="6161"/>
        <v>2507338</v>
      </c>
      <c r="T407" s="84">
        <f t="shared" si="6161"/>
        <v>2507338</v>
      </c>
      <c r="U407" s="84">
        <f t="shared" si="6161"/>
        <v>2561967</v>
      </c>
      <c r="V407" s="84">
        <f t="shared" si="6161"/>
        <v>2561967</v>
      </c>
      <c r="W407" s="84">
        <f t="shared" si="6161"/>
        <v>2564606</v>
      </c>
      <c r="X407" s="84">
        <f t="shared" si="6161"/>
        <v>2564636</v>
      </c>
      <c r="Y407" s="84">
        <f t="shared" si="6161"/>
        <v>2624587</v>
      </c>
      <c r="Z407" s="84">
        <f t="shared" si="6161"/>
        <v>2624587</v>
      </c>
      <c r="AA407" s="84">
        <f t="shared" si="6161"/>
        <v>2624587</v>
      </c>
      <c r="AB407" s="84">
        <f t="shared" si="6161"/>
        <v>2624756</v>
      </c>
      <c r="AC407" s="84">
        <f t="shared" si="6161"/>
        <v>2690401</v>
      </c>
      <c r="AD407" s="84">
        <f t="shared" si="6161"/>
        <v>2690401</v>
      </c>
      <c r="AE407" s="84">
        <f t="shared" si="6161"/>
        <v>2690401</v>
      </c>
      <c r="AF407" s="84">
        <f t="shared" si="6161"/>
        <v>2690401</v>
      </c>
      <c r="AG407" s="84">
        <f t="shared" si="6161"/>
        <v>2762261</v>
      </c>
      <c r="AH407" s="84">
        <f t="shared" si="6161"/>
        <v>2762292</v>
      </c>
      <c r="AI407" s="84">
        <f t="shared" si="6161"/>
        <v>2762292</v>
      </c>
      <c r="AJ407" s="84">
        <f t="shared" si="6161"/>
        <v>2762292</v>
      </c>
      <c r="AK407" s="84">
        <f t="shared" si="6161"/>
        <v>2839597</v>
      </c>
      <c r="AL407" s="84">
        <f t="shared" si="6161"/>
        <v>2839769</v>
      </c>
      <c r="AM407" s="84">
        <f t="shared" si="6161"/>
        <v>2839801</v>
      </c>
      <c r="AN407" s="84">
        <f t="shared" si="6161"/>
        <v>2839801</v>
      </c>
      <c r="AO407" s="84">
        <f t="shared" si="6161"/>
        <v>2924415</v>
      </c>
      <c r="AP407" s="84">
        <f t="shared" si="6161"/>
        <v>2924415</v>
      </c>
      <c r="AQ407" s="84">
        <f t="shared" si="6161"/>
        <v>2924587</v>
      </c>
      <c r="AR407" s="84">
        <f t="shared" si="6161"/>
        <v>2924621</v>
      </c>
      <c r="AS407" s="84">
        <f t="shared" si="6161"/>
        <v>3013414</v>
      </c>
      <c r="AT407" s="84">
        <f t="shared" si="6161"/>
        <v>3013414</v>
      </c>
      <c r="AU407" s="84">
        <f t="shared" si="6161"/>
        <v>3013414</v>
      </c>
      <c r="AV407" s="84">
        <f t="shared" si="6161"/>
        <v>3013587</v>
      </c>
      <c r="AW407" s="84">
        <f t="shared" si="6161"/>
        <v>3111233</v>
      </c>
      <c r="AX407" s="84">
        <f t="shared" si="6161"/>
        <v>3111233</v>
      </c>
      <c r="AY407" s="84">
        <f t="shared" si="6161"/>
        <v>3111233</v>
      </c>
      <c r="AZ407" s="84">
        <f t="shared" si="6161"/>
        <v>3111233</v>
      </c>
      <c r="BA407" s="84">
        <f t="shared" si="6161"/>
        <v>3218599</v>
      </c>
      <c r="BB407" s="84">
        <f t="shared" si="6161"/>
        <v>3218634</v>
      </c>
      <c r="BC407" s="84">
        <f t="shared" si="6161"/>
        <v>3218634</v>
      </c>
      <c r="BD407" s="84">
        <f t="shared" si="6161"/>
        <v>3218634</v>
      </c>
      <c r="BE407" s="84">
        <f t="shared" si="6161"/>
        <v>3336238</v>
      </c>
      <c r="BF407" s="84">
        <f t="shared" si="6161"/>
        <v>3336413</v>
      </c>
      <c r="BG407" s="84">
        <f t="shared" si="6161"/>
        <v>3336449</v>
      </c>
      <c r="BH407" s="84">
        <f t="shared" si="6161"/>
        <v>3336449</v>
      </c>
      <c r="BI407" s="84">
        <f t="shared" si="6161"/>
        <v>3465378</v>
      </c>
      <c r="BJ407" s="84">
        <f t="shared" si="6161"/>
        <v>3465378</v>
      </c>
      <c r="BK407" s="84">
        <f t="shared" si="6161"/>
        <v>3465555</v>
      </c>
      <c r="BL407" s="84">
        <f t="shared" si="6161"/>
        <v>3465591</v>
      </c>
      <c r="BM407" s="84">
        <f t="shared" si="6161"/>
        <v>3606844</v>
      </c>
      <c r="BN407" s="84">
        <f t="shared" si="6161"/>
        <v>3606844</v>
      </c>
      <c r="BO407" s="84">
        <f t="shared" si="6161"/>
        <v>3606844</v>
      </c>
      <c r="BP407" s="84">
        <f t="shared" si="6161"/>
        <v>3607022</v>
      </c>
      <c r="BQ407" s="84">
        <f t="shared" si="6161"/>
        <v>3761730</v>
      </c>
      <c r="BR407" s="84">
        <f t="shared" ref="BR407:CI407" si="6162">ROUND(BR401*$D$407/(1+5%),0)</f>
        <v>3761730</v>
      </c>
      <c r="BS407" s="84">
        <f t="shared" si="6162"/>
        <v>3761730</v>
      </c>
      <c r="BT407" s="84">
        <f t="shared" si="6162"/>
        <v>3761730</v>
      </c>
      <c r="BU407" s="84">
        <f t="shared" si="6162"/>
        <v>3931194</v>
      </c>
      <c r="BV407" s="84">
        <f t="shared" si="6162"/>
        <v>3931232</v>
      </c>
      <c r="BW407" s="84">
        <f t="shared" si="6162"/>
        <v>3931232</v>
      </c>
      <c r="BX407" s="84">
        <f t="shared" si="6162"/>
        <v>3931232</v>
      </c>
      <c r="BY407" s="84">
        <f t="shared" si="6162"/>
        <v>4116440</v>
      </c>
      <c r="BZ407" s="84">
        <f t="shared" si="6162"/>
        <v>4116620</v>
      </c>
      <c r="CA407" s="84">
        <f t="shared" si="6162"/>
        <v>4116659</v>
      </c>
      <c r="CB407" s="84">
        <f t="shared" si="6162"/>
        <v>4116659</v>
      </c>
      <c r="CC407" s="84">
        <f t="shared" si="6162"/>
        <v>4319222</v>
      </c>
      <c r="CD407" s="84">
        <f t="shared" si="6162"/>
        <v>4319222</v>
      </c>
      <c r="CE407" s="84">
        <f t="shared" si="6162"/>
        <v>4319403</v>
      </c>
      <c r="CF407" s="84">
        <f t="shared" si="6162"/>
        <v>4319443</v>
      </c>
      <c r="CG407" s="84">
        <f t="shared" si="6162"/>
        <v>4540925</v>
      </c>
      <c r="CH407" s="84">
        <f t="shared" si="6162"/>
        <v>4540925</v>
      </c>
      <c r="CI407" s="84">
        <f t="shared" si="6162"/>
        <v>4540925</v>
      </c>
      <c r="CJ407" s="84">
        <f>ROUND(CJ401*$D$407/(1+5%),0)</f>
        <v>4541107</v>
      </c>
      <c r="CK407" s="84">
        <f t="shared" ref="CK407:CZ407" si="6163">ROUND(CK401*$D$407/(1+5%),0)</f>
        <v>4782463</v>
      </c>
      <c r="CL407" s="84">
        <f t="shared" si="6163"/>
        <v>4782463</v>
      </c>
      <c r="CM407" s="84">
        <f t="shared" si="6163"/>
        <v>4782463</v>
      </c>
      <c r="CN407" s="84">
        <f t="shared" si="6163"/>
        <v>4782646</v>
      </c>
      <c r="CO407" s="84">
        <f t="shared" si="6163"/>
        <v>5046437</v>
      </c>
      <c r="CP407" s="84">
        <f t="shared" si="6163"/>
        <v>5046437</v>
      </c>
      <c r="CQ407" s="84">
        <f t="shared" si="6163"/>
        <v>5046437</v>
      </c>
      <c r="CR407" s="84">
        <f t="shared" si="6163"/>
        <v>5046621</v>
      </c>
      <c r="CS407" s="84">
        <f t="shared" si="6163"/>
        <v>5334889</v>
      </c>
      <c r="CT407" s="84">
        <f t="shared" si="6163"/>
        <v>5334889</v>
      </c>
      <c r="CU407" s="84">
        <f t="shared" si="6163"/>
        <v>5334889</v>
      </c>
      <c r="CV407" s="84">
        <f t="shared" si="6163"/>
        <v>5335074</v>
      </c>
      <c r="CW407" s="84">
        <f t="shared" si="6163"/>
        <v>5650050</v>
      </c>
      <c r="CX407" s="84">
        <f t="shared" si="6163"/>
        <v>5650050</v>
      </c>
      <c r="CY407" s="84">
        <f t="shared" si="6163"/>
        <v>5650050</v>
      </c>
      <c r="CZ407" s="84">
        <f t="shared" si="6163"/>
        <v>5650236</v>
      </c>
      <c r="DA407" s="85">
        <f t="shared" si="6114"/>
        <v>349441513</v>
      </c>
      <c r="DB407" s="72"/>
      <c r="DC407" s="72"/>
      <c r="DD407" s="72"/>
      <c r="DE407" s="72"/>
      <c r="DF407" s="72"/>
      <c r="DG407" s="72"/>
      <c r="DH407" s="72"/>
      <c r="DI407" s="72"/>
      <c r="DJ407" s="72"/>
      <c r="DK407" s="72"/>
      <c r="DL407" s="72"/>
      <c r="DM407" s="72"/>
      <c r="DN407" s="72"/>
      <c r="DO407" s="72"/>
      <c r="DP407" s="72"/>
      <c r="DQ407" s="72"/>
      <c r="DR407" s="72"/>
      <c r="DS407" s="72"/>
      <c r="DT407" s="72"/>
      <c r="DU407" s="72"/>
      <c r="DV407" s="73"/>
    </row>
    <row r="408" spans="1:126" s="74" customFormat="1" ht="14.25">
      <c r="A408" s="68"/>
      <c r="B408" s="18" t="s">
        <v>796</v>
      </c>
      <c r="C408" s="18"/>
      <c r="D408" s="94">
        <f>仓储现金流!D85</f>
        <v>0.04</v>
      </c>
      <c r="E408" s="84">
        <f>ROUND(E401*$D$408,0)</f>
        <v>1753452</v>
      </c>
      <c r="F408" s="84">
        <f t="shared" ref="F408:BQ408" si="6164">ROUND(F401*$D$408,0)</f>
        <v>1759510</v>
      </c>
      <c r="G408" s="84">
        <f t="shared" si="6164"/>
        <v>1767493</v>
      </c>
      <c r="H408" s="84">
        <f t="shared" si="6164"/>
        <v>1774832</v>
      </c>
      <c r="I408" s="84">
        <f t="shared" si="6164"/>
        <v>1793572</v>
      </c>
      <c r="J408" s="84">
        <f t="shared" si="6164"/>
        <v>1800477</v>
      </c>
      <c r="K408" s="84">
        <f t="shared" si="6164"/>
        <v>1808056</v>
      </c>
      <c r="L408" s="84">
        <f t="shared" si="6164"/>
        <v>1811951</v>
      </c>
      <c r="M408" s="84">
        <f t="shared" si="6164"/>
        <v>1840687</v>
      </c>
      <c r="N408" s="84">
        <f t="shared" si="6164"/>
        <v>1840708</v>
      </c>
      <c r="O408" s="84">
        <f t="shared" si="6164"/>
        <v>1843089</v>
      </c>
      <c r="P408" s="84">
        <f t="shared" si="6164"/>
        <v>1843089</v>
      </c>
      <c r="Q408" s="84">
        <f t="shared" si="6164"/>
        <v>1880357</v>
      </c>
      <c r="R408" s="84">
        <f t="shared" si="6164"/>
        <v>1880482</v>
      </c>
      <c r="S408" s="84">
        <f t="shared" si="6164"/>
        <v>1880504</v>
      </c>
      <c r="T408" s="84">
        <f t="shared" si="6164"/>
        <v>1880504</v>
      </c>
      <c r="U408" s="84">
        <f t="shared" si="6164"/>
        <v>1921475</v>
      </c>
      <c r="V408" s="84">
        <f t="shared" si="6164"/>
        <v>1921475</v>
      </c>
      <c r="W408" s="84">
        <f t="shared" si="6164"/>
        <v>1923454</v>
      </c>
      <c r="X408" s="84">
        <f t="shared" si="6164"/>
        <v>1923477</v>
      </c>
      <c r="Y408" s="84">
        <f t="shared" si="6164"/>
        <v>1968440</v>
      </c>
      <c r="Z408" s="84">
        <f t="shared" si="6164"/>
        <v>1968440</v>
      </c>
      <c r="AA408" s="84">
        <f t="shared" si="6164"/>
        <v>1968440</v>
      </c>
      <c r="AB408" s="84">
        <f t="shared" si="6164"/>
        <v>1968567</v>
      </c>
      <c r="AC408" s="84">
        <f t="shared" si="6164"/>
        <v>2017801</v>
      </c>
      <c r="AD408" s="84">
        <f t="shared" si="6164"/>
        <v>2017801</v>
      </c>
      <c r="AE408" s="84">
        <f t="shared" si="6164"/>
        <v>2017801</v>
      </c>
      <c r="AF408" s="84">
        <f t="shared" si="6164"/>
        <v>2017801</v>
      </c>
      <c r="AG408" s="84">
        <f t="shared" si="6164"/>
        <v>2071696</v>
      </c>
      <c r="AH408" s="84">
        <f t="shared" si="6164"/>
        <v>2071719</v>
      </c>
      <c r="AI408" s="84">
        <f t="shared" si="6164"/>
        <v>2071719</v>
      </c>
      <c r="AJ408" s="84">
        <f t="shared" si="6164"/>
        <v>2071719</v>
      </c>
      <c r="AK408" s="84">
        <f t="shared" si="6164"/>
        <v>2129698</v>
      </c>
      <c r="AL408" s="84">
        <f t="shared" si="6164"/>
        <v>2129826</v>
      </c>
      <c r="AM408" s="84">
        <f t="shared" si="6164"/>
        <v>2129851</v>
      </c>
      <c r="AN408" s="84">
        <f t="shared" si="6164"/>
        <v>2129851</v>
      </c>
      <c r="AO408" s="84">
        <f t="shared" si="6164"/>
        <v>2193311</v>
      </c>
      <c r="AP408" s="84">
        <f t="shared" si="6164"/>
        <v>2193311</v>
      </c>
      <c r="AQ408" s="84">
        <f t="shared" si="6164"/>
        <v>2193441</v>
      </c>
      <c r="AR408" s="84">
        <f t="shared" si="6164"/>
        <v>2193465</v>
      </c>
      <c r="AS408" s="84">
        <f t="shared" si="6164"/>
        <v>2260061</v>
      </c>
      <c r="AT408" s="84">
        <f t="shared" si="6164"/>
        <v>2260061</v>
      </c>
      <c r="AU408" s="84">
        <f t="shared" si="6164"/>
        <v>2260061</v>
      </c>
      <c r="AV408" s="84">
        <f t="shared" si="6164"/>
        <v>2260190</v>
      </c>
      <c r="AW408" s="84">
        <f t="shared" si="6164"/>
        <v>2333425</v>
      </c>
      <c r="AX408" s="84">
        <f t="shared" si="6164"/>
        <v>2333425</v>
      </c>
      <c r="AY408" s="84">
        <f t="shared" si="6164"/>
        <v>2333425</v>
      </c>
      <c r="AZ408" s="84">
        <f t="shared" si="6164"/>
        <v>2333425</v>
      </c>
      <c r="BA408" s="84">
        <f t="shared" si="6164"/>
        <v>2413949</v>
      </c>
      <c r="BB408" s="84">
        <f t="shared" si="6164"/>
        <v>2413975</v>
      </c>
      <c r="BC408" s="84">
        <f t="shared" si="6164"/>
        <v>2413975</v>
      </c>
      <c r="BD408" s="84">
        <f t="shared" si="6164"/>
        <v>2413975</v>
      </c>
      <c r="BE408" s="84">
        <f t="shared" si="6164"/>
        <v>2502178</v>
      </c>
      <c r="BF408" s="84">
        <f t="shared" si="6164"/>
        <v>2502310</v>
      </c>
      <c r="BG408" s="84">
        <f t="shared" si="6164"/>
        <v>2502337</v>
      </c>
      <c r="BH408" s="84">
        <f t="shared" si="6164"/>
        <v>2502337</v>
      </c>
      <c r="BI408" s="84">
        <f t="shared" si="6164"/>
        <v>2599034</v>
      </c>
      <c r="BJ408" s="84">
        <f t="shared" si="6164"/>
        <v>2599034</v>
      </c>
      <c r="BK408" s="84">
        <f t="shared" si="6164"/>
        <v>2599166</v>
      </c>
      <c r="BL408" s="84">
        <f t="shared" si="6164"/>
        <v>2599194</v>
      </c>
      <c r="BM408" s="84">
        <f t="shared" si="6164"/>
        <v>2705133</v>
      </c>
      <c r="BN408" s="84">
        <f t="shared" si="6164"/>
        <v>2705133</v>
      </c>
      <c r="BO408" s="84">
        <f t="shared" si="6164"/>
        <v>2705133</v>
      </c>
      <c r="BP408" s="84">
        <f t="shared" si="6164"/>
        <v>2705266</v>
      </c>
      <c r="BQ408" s="84">
        <f t="shared" si="6164"/>
        <v>2821298</v>
      </c>
      <c r="BR408" s="84">
        <f t="shared" ref="BR408:CI408" si="6165">ROUND(BR401*$D$408,0)</f>
        <v>2821298</v>
      </c>
      <c r="BS408" s="84">
        <f t="shared" si="6165"/>
        <v>2821298</v>
      </c>
      <c r="BT408" s="84">
        <f t="shared" si="6165"/>
        <v>2821298</v>
      </c>
      <c r="BU408" s="84">
        <f t="shared" si="6165"/>
        <v>2948395</v>
      </c>
      <c r="BV408" s="84">
        <f t="shared" si="6165"/>
        <v>2948424</v>
      </c>
      <c r="BW408" s="84">
        <f t="shared" si="6165"/>
        <v>2948424</v>
      </c>
      <c r="BX408" s="84">
        <f t="shared" si="6165"/>
        <v>2948424</v>
      </c>
      <c r="BY408" s="84">
        <f t="shared" si="6165"/>
        <v>3087330</v>
      </c>
      <c r="BZ408" s="84">
        <f t="shared" si="6165"/>
        <v>3087465</v>
      </c>
      <c r="CA408" s="84">
        <f t="shared" si="6165"/>
        <v>3087494</v>
      </c>
      <c r="CB408" s="84">
        <f t="shared" si="6165"/>
        <v>3087494</v>
      </c>
      <c r="CC408" s="84">
        <f t="shared" si="6165"/>
        <v>3239416</v>
      </c>
      <c r="CD408" s="84">
        <f t="shared" si="6165"/>
        <v>3239416</v>
      </c>
      <c r="CE408" s="84">
        <f t="shared" si="6165"/>
        <v>3239552</v>
      </c>
      <c r="CF408" s="84">
        <f t="shared" si="6165"/>
        <v>3239582</v>
      </c>
      <c r="CG408" s="84">
        <f t="shared" si="6165"/>
        <v>3405694</v>
      </c>
      <c r="CH408" s="84">
        <f t="shared" si="6165"/>
        <v>3405694</v>
      </c>
      <c r="CI408" s="84">
        <f t="shared" si="6165"/>
        <v>3405694</v>
      </c>
      <c r="CJ408" s="84">
        <f>ROUND(CJ401*$D$408,0)</f>
        <v>3405830</v>
      </c>
      <c r="CK408" s="84">
        <f t="shared" ref="CK408:CZ408" si="6166">ROUND(CK401*$D$408,0)</f>
        <v>3586847</v>
      </c>
      <c r="CL408" s="84">
        <f t="shared" si="6166"/>
        <v>3586847</v>
      </c>
      <c r="CM408" s="84">
        <f t="shared" si="6166"/>
        <v>3586847</v>
      </c>
      <c r="CN408" s="84">
        <f t="shared" si="6166"/>
        <v>3586984</v>
      </c>
      <c r="CO408" s="84">
        <f t="shared" si="6166"/>
        <v>3784828</v>
      </c>
      <c r="CP408" s="84">
        <f t="shared" si="6166"/>
        <v>3784828</v>
      </c>
      <c r="CQ408" s="84">
        <f t="shared" si="6166"/>
        <v>3784828</v>
      </c>
      <c r="CR408" s="84">
        <f t="shared" si="6166"/>
        <v>3784966</v>
      </c>
      <c r="CS408" s="84">
        <f t="shared" si="6166"/>
        <v>4001166</v>
      </c>
      <c r="CT408" s="84">
        <f t="shared" si="6166"/>
        <v>4001166</v>
      </c>
      <c r="CU408" s="84">
        <f t="shared" si="6166"/>
        <v>4001166</v>
      </c>
      <c r="CV408" s="84">
        <f t="shared" si="6166"/>
        <v>4001305</v>
      </c>
      <c r="CW408" s="84">
        <f t="shared" si="6166"/>
        <v>4237537</v>
      </c>
      <c r="CX408" s="84">
        <f t="shared" si="6166"/>
        <v>4237537</v>
      </c>
      <c r="CY408" s="84">
        <f t="shared" si="6166"/>
        <v>4237537</v>
      </c>
      <c r="CZ408" s="84">
        <f t="shared" si="6166"/>
        <v>4237677</v>
      </c>
      <c r="DA408" s="85">
        <f t="shared" si="6114"/>
        <v>262081130</v>
      </c>
      <c r="DB408" s="72"/>
      <c r="DC408" s="72"/>
      <c r="DD408" s="72"/>
      <c r="DE408" s="72"/>
      <c r="DF408" s="72"/>
      <c r="DG408" s="72"/>
      <c r="DH408" s="72"/>
      <c r="DI408" s="72"/>
      <c r="DJ408" s="72"/>
      <c r="DK408" s="72"/>
      <c r="DL408" s="72"/>
      <c r="DM408" s="72"/>
      <c r="DN408" s="72"/>
      <c r="DO408" s="72"/>
      <c r="DP408" s="72"/>
      <c r="DQ408" s="72"/>
      <c r="DR408" s="72"/>
      <c r="DS408" s="72"/>
      <c r="DT408" s="72"/>
      <c r="DU408" s="72"/>
      <c r="DV408" s="73"/>
    </row>
    <row r="409" spans="1:126" s="88" customFormat="1" ht="14.25">
      <c r="A409" s="82"/>
      <c r="B409" s="18" t="s">
        <v>967</v>
      </c>
      <c r="C409" s="19"/>
      <c r="D409" s="83"/>
      <c r="E409" s="95">
        <f t="shared" ref="E409:AJ409" si="6167">E401-E405</f>
        <v>34484564</v>
      </c>
      <c r="F409" s="95">
        <f t="shared" si="6167"/>
        <v>34603698</v>
      </c>
      <c r="G409" s="95">
        <f t="shared" si="6167"/>
        <v>34760702</v>
      </c>
      <c r="H409" s="95">
        <f t="shared" si="6167"/>
        <v>34905031</v>
      </c>
      <c r="I409" s="95">
        <f t="shared" si="6167"/>
        <v>35273573</v>
      </c>
      <c r="J409" s="95">
        <f t="shared" si="6167"/>
        <v>35409376</v>
      </c>
      <c r="K409" s="95">
        <f t="shared" si="6167"/>
        <v>35558424</v>
      </c>
      <c r="L409" s="95">
        <f t="shared" si="6167"/>
        <v>35635033</v>
      </c>
      <c r="M409" s="95">
        <f t="shared" si="6167"/>
        <v>36200171</v>
      </c>
      <c r="N409" s="95">
        <f t="shared" si="6167"/>
        <v>36200581</v>
      </c>
      <c r="O409" s="95">
        <f t="shared" si="6167"/>
        <v>36247427</v>
      </c>
      <c r="P409" s="95">
        <f t="shared" si="6167"/>
        <v>36247427</v>
      </c>
      <c r="Q409" s="95">
        <f t="shared" si="6167"/>
        <v>36980353</v>
      </c>
      <c r="R409" s="95">
        <f t="shared" si="6167"/>
        <v>36982817</v>
      </c>
      <c r="S409" s="95">
        <f t="shared" si="6167"/>
        <v>36983242</v>
      </c>
      <c r="T409" s="95">
        <f t="shared" si="6167"/>
        <v>36983242</v>
      </c>
      <c r="U409" s="95">
        <f t="shared" si="6167"/>
        <v>37789012</v>
      </c>
      <c r="V409" s="95">
        <f t="shared" si="6167"/>
        <v>37789012</v>
      </c>
      <c r="W409" s="95">
        <f t="shared" si="6167"/>
        <v>37827939</v>
      </c>
      <c r="X409" s="95">
        <f t="shared" si="6167"/>
        <v>37828375</v>
      </c>
      <c r="Y409" s="95">
        <f t="shared" si="6167"/>
        <v>38712662</v>
      </c>
      <c r="Z409" s="95">
        <f t="shared" si="6167"/>
        <v>38712662</v>
      </c>
      <c r="AA409" s="95">
        <f t="shared" si="6167"/>
        <v>38712662</v>
      </c>
      <c r="AB409" s="95">
        <f t="shared" si="6167"/>
        <v>38715155</v>
      </c>
      <c r="AC409" s="95">
        <f t="shared" si="6167"/>
        <v>39683411</v>
      </c>
      <c r="AD409" s="95">
        <f t="shared" si="6167"/>
        <v>39683411</v>
      </c>
      <c r="AE409" s="95">
        <f t="shared" si="6167"/>
        <v>39683411</v>
      </c>
      <c r="AF409" s="95">
        <f t="shared" si="6167"/>
        <v>39683411</v>
      </c>
      <c r="AG409" s="95">
        <f t="shared" si="6167"/>
        <v>40743348</v>
      </c>
      <c r="AH409" s="95">
        <f t="shared" si="6167"/>
        <v>40743811</v>
      </c>
      <c r="AI409" s="95">
        <f t="shared" si="6167"/>
        <v>40743811</v>
      </c>
      <c r="AJ409" s="95">
        <f t="shared" si="6167"/>
        <v>40743811</v>
      </c>
      <c r="AK409" s="95">
        <f t="shared" ref="AK409:BP409" si="6168">AK401-AK405</f>
        <v>41884062</v>
      </c>
      <c r="AL409" s="95">
        <f t="shared" si="6168"/>
        <v>41886586</v>
      </c>
      <c r="AM409" s="95">
        <f t="shared" si="6168"/>
        <v>41887061</v>
      </c>
      <c r="AN409" s="95">
        <f t="shared" si="6168"/>
        <v>41887061</v>
      </c>
      <c r="AO409" s="95">
        <f t="shared" si="6168"/>
        <v>43135126</v>
      </c>
      <c r="AP409" s="95">
        <f t="shared" si="6168"/>
        <v>43135126</v>
      </c>
      <c r="AQ409" s="95">
        <f t="shared" si="6168"/>
        <v>43137665</v>
      </c>
      <c r="AR409" s="95">
        <f t="shared" si="6168"/>
        <v>43138154</v>
      </c>
      <c r="AS409" s="95">
        <f t="shared" si="6168"/>
        <v>44447857</v>
      </c>
      <c r="AT409" s="95">
        <f t="shared" si="6168"/>
        <v>44447857</v>
      </c>
      <c r="AU409" s="95">
        <f t="shared" si="6168"/>
        <v>44447857</v>
      </c>
      <c r="AV409" s="95">
        <f t="shared" si="6168"/>
        <v>44450414</v>
      </c>
      <c r="AW409" s="95">
        <f t="shared" si="6168"/>
        <v>45890695</v>
      </c>
      <c r="AX409" s="95">
        <f t="shared" si="6168"/>
        <v>45890695</v>
      </c>
      <c r="AY409" s="95">
        <f t="shared" si="6168"/>
        <v>45890695</v>
      </c>
      <c r="AZ409" s="95">
        <f t="shared" si="6168"/>
        <v>45890695</v>
      </c>
      <c r="BA409" s="95">
        <f t="shared" si="6168"/>
        <v>47474335</v>
      </c>
      <c r="BB409" s="95">
        <f t="shared" si="6168"/>
        <v>47474851</v>
      </c>
      <c r="BC409" s="95">
        <f t="shared" si="6168"/>
        <v>47474851</v>
      </c>
      <c r="BD409" s="95">
        <f t="shared" si="6168"/>
        <v>47474851</v>
      </c>
      <c r="BE409" s="95">
        <f t="shared" si="6168"/>
        <v>49209509</v>
      </c>
      <c r="BF409" s="95">
        <f t="shared" si="6168"/>
        <v>49212096</v>
      </c>
      <c r="BG409" s="95">
        <f t="shared" si="6168"/>
        <v>49212624</v>
      </c>
      <c r="BH409" s="95">
        <f t="shared" si="6168"/>
        <v>49212624</v>
      </c>
      <c r="BI409" s="95">
        <f t="shared" si="6168"/>
        <v>51114331</v>
      </c>
      <c r="BJ409" s="95">
        <f t="shared" si="6168"/>
        <v>51114331</v>
      </c>
      <c r="BK409" s="95">
        <f t="shared" si="6168"/>
        <v>51116933</v>
      </c>
      <c r="BL409" s="95">
        <f t="shared" si="6168"/>
        <v>51117473</v>
      </c>
      <c r="BM409" s="95">
        <f t="shared" si="6168"/>
        <v>53200952</v>
      </c>
      <c r="BN409" s="95">
        <f t="shared" si="6168"/>
        <v>53200952</v>
      </c>
      <c r="BO409" s="95">
        <f t="shared" si="6168"/>
        <v>53200952</v>
      </c>
      <c r="BP409" s="95">
        <f t="shared" si="6168"/>
        <v>53203570</v>
      </c>
      <c r="BQ409" s="95">
        <f t="shared" ref="BQ409:CJ409" si="6169">BQ401-BQ405</f>
        <v>55485524</v>
      </c>
      <c r="BR409" s="95">
        <f t="shared" si="6169"/>
        <v>55485524</v>
      </c>
      <c r="BS409" s="95">
        <f t="shared" si="6169"/>
        <v>55485524</v>
      </c>
      <c r="BT409" s="95">
        <f t="shared" si="6169"/>
        <v>55485524</v>
      </c>
      <c r="BU409" s="95">
        <f t="shared" si="6169"/>
        <v>57985110</v>
      </c>
      <c r="BV409" s="95">
        <f t="shared" si="6169"/>
        <v>57985676</v>
      </c>
      <c r="BW409" s="95">
        <f t="shared" si="6169"/>
        <v>57985676</v>
      </c>
      <c r="BX409" s="95">
        <f t="shared" si="6169"/>
        <v>57985676</v>
      </c>
      <c r="BY409" s="95">
        <f t="shared" si="6169"/>
        <v>60717497</v>
      </c>
      <c r="BZ409" s="95">
        <f t="shared" si="6169"/>
        <v>60720147</v>
      </c>
      <c r="CA409" s="95">
        <f t="shared" si="6169"/>
        <v>60720726</v>
      </c>
      <c r="CB409" s="95">
        <f t="shared" si="6169"/>
        <v>60720726</v>
      </c>
      <c r="CC409" s="95">
        <f t="shared" si="6169"/>
        <v>63708520</v>
      </c>
      <c r="CD409" s="95">
        <f t="shared" si="6169"/>
        <v>63708520</v>
      </c>
      <c r="CE409" s="95">
        <f t="shared" si="6169"/>
        <v>63711186</v>
      </c>
      <c r="CF409" s="95">
        <f t="shared" si="6169"/>
        <v>63711778</v>
      </c>
      <c r="CG409" s="95">
        <f t="shared" si="6169"/>
        <v>66978648</v>
      </c>
      <c r="CH409" s="95">
        <f t="shared" si="6169"/>
        <v>66978648</v>
      </c>
      <c r="CI409" s="95">
        <f t="shared" si="6169"/>
        <v>66978648</v>
      </c>
      <c r="CJ409" s="95">
        <f t="shared" si="6169"/>
        <v>66981332</v>
      </c>
      <c r="CK409" s="95">
        <f t="shared" ref="CK409:CY409" si="6170">CK401-CK405</f>
        <v>70541324</v>
      </c>
      <c r="CL409" s="95">
        <f t="shared" si="6170"/>
        <v>70541324</v>
      </c>
      <c r="CM409" s="95">
        <f t="shared" si="6170"/>
        <v>70541324</v>
      </c>
      <c r="CN409" s="95">
        <f t="shared" si="6170"/>
        <v>70544024</v>
      </c>
      <c r="CO409" s="95">
        <f t="shared" si="6170"/>
        <v>74434947</v>
      </c>
      <c r="CP409" s="95">
        <f t="shared" si="6170"/>
        <v>74434947</v>
      </c>
      <c r="CQ409" s="95">
        <f t="shared" si="6170"/>
        <v>74434947</v>
      </c>
      <c r="CR409" s="95">
        <f t="shared" si="6170"/>
        <v>74437664</v>
      </c>
      <c r="CS409" s="95">
        <f t="shared" si="6170"/>
        <v>78689608</v>
      </c>
      <c r="CT409" s="95">
        <f t="shared" si="6170"/>
        <v>78689608</v>
      </c>
      <c r="CU409" s="95">
        <f t="shared" si="6170"/>
        <v>78689608</v>
      </c>
      <c r="CV409" s="95">
        <f t="shared" si="6170"/>
        <v>78692341</v>
      </c>
      <c r="CW409" s="95">
        <f>CW401-CW405</f>
        <v>83338237</v>
      </c>
      <c r="CX409" s="95">
        <f t="shared" si="6170"/>
        <v>83338237</v>
      </c>
      <c r="CY409" s="95">
        <f t="shared" si="6170"/>
        <v>83338237</v>
      </c>
      <c r="CZ409" s="95">
        <f>CZ401-CZ405</f>
        <v>83340986</v>
      </c>
      <c r="DA409" s="85">
        <f>SUM(E409:CZ409)</f>
        <v>5154262379</v>
      </c>
      <c r="DB409" s="86"/>
      <c r="DC409" s="86"/>
      <c r="DD409" s="86"/>
      <c r="DE409" s="86"/>
      <c r="DF409" s="86"/>
      <c r="DG409" s="86"/>
      <c r="DH409" s="86"/>
      <c r="DI409" s="86"/>
      <c r="DJ409" s="86"/>
      <c r="DK409" s="86"/>
      <c r="DL409" s="86"/>
      <c r="DM409" s="86"/>
      <c r="DN409" s="86"/>
      <c r="DO409" s="86"/>
      <c r="DP409" s="86"/>
      <c r="DQ409" s="86"/>
      <c r="DR409" s="86"/>
      <c r="DS409" s="86"/>
      <c r="DT409" s="86"/>
      <c r="DU409" s="86"/>
      <c r="DV409" s="87"/>
    </row>
    <row r="410" spans="1:126" s="88" customFormat="1" ht="14.25">
      <c r="A410" s="82"/>
      <c r="B410" s="18" t="s">
        <v>968</v>
      </c>
      <c r="C410" s="19"/>
      <c r="D410" s="96"/>
      <c r="E410" s="393">
        <f>E409+F409+G409+H409</f>
        <v>138753995</v>
      </c>
      <c r="F410" s="394"/>
      <c r="G410" s="394"/>
      <c r="H410" s="395"/>
      <c r="I410" s="393">
        <f>I409+J409+K409+L409</f>
        <v>141876406</v>
      </c>
      <c r="J410" s="394"/>
      <c r="K410" s="394"/>
      <c r="L410" s="395"/>
      <c r="M410" s="393">
        <f>M409+N409+O409+P409</f>
        <v>144895606</v>
      </c>
      <c r="N410" s="394"/>
      <c r="O410" s="394"/>
      <c r="P410" s="395"/>
      <c r="Q410" s="393">
        <f>Q409+R409+S409+T409</f>
        <v>147929654</v>
      </c>
      <c r="R410" s="394"/>
      <c r="S410" s="394"/>
      <c r="T410" s="395"/>
      <c r="U410" s="393">
        <f>U409+V409+W409+X409</f>
        <v>151234338</v>
      </c>
      <c r="V410" s="394"/>
      <c r="W410" s="394"/>
      <c r="X410" s="395"/>
      <c r="Y410" s="393">
        <f>Y409+Z409+AA409+AB409</f>
        <v>154853141</v>
      </c>
      <c r="Z410" s="394"/>
      <c r="AA410" s="394"/>
      <c r="AB410" s="395"/>
      <c r="AC410" s="393">
        <f>AC409+AD409+AE409+AF409</f>
        <v>158733644</v>
      </c>
      <c r="AD410" s="394"/>
      <c r="AE410" s="394"/>
      <c r="AF410" s="395"/>
      <c r="AG410" s="393">
        <f>AG409+AH409+AI409+AJ409</f>
        <v>162974781</v>
      </c>
      <c r="AH410" s="394"/>
      <c r="AI410" s="394"/>
      <c r="AJ410" s="395"/>
      <c r="AK410" s="393">
        <f>AK409+AL409+AM409+AN409</f>
        <v>167544770</v>
      </c>
      <c r="AL410" s="394"/>
      <c r="AM410" s="394"/>
      <c r="AN410" s="395"/>
      <c r="AO410" s="393">
        <f>AO409+AP409+AQ409+AR409</f>
        <v>172546071</v>
      </c>
      <c r="AP410" s="394"/>
      <c r="AQ410" s="394"/>
      <c r="AR410" s="395"/>
      <c r="AS410" s="393">
        <f>AS409+AT409+AU409+AV409</f>
        <v>177793985</v>
      </c>
      <c r="AT410" s="394"/>
      <c r="AU410" s="394"/>
      <c r="AV410" s="395"/>
      <c r="AW410" s="393">
        <f>AW409+AX409+AY409+AZ409</f>
        <v>183562780</v>
      </c>
      <c r="AX410" s="394"/>
      <c r="AY410" s="394"/>
      <c r="AZ410" s="395"/>
      <c r="BA410" s="393">
        <f>BA409+BB409+BC409+BD409</f>
        <v>189898888</v>
      </c>
      <c r="BB410" s="394"/>
      <c r="BC410" s="394"/>
      <c r="BD410" s="395"/>
      <c r="BE410" s="393">
        <f>BE409+BF409+BG409+BH409</f>
        <v>196846853</v>
      </c>
      <c r="BF410" s="394"/>
      <c r="BG410" s="394"/>
      <c r="BH410" s="395"/>
      <c r="BI410" s="393">
        <f>BI409+BJ409+BK409+BL409</f>
        <v>204463068</v>
      </c>
      <c r="BJ410" s="394"/>
      <c r="BK410" s="394"/>
      <c r="BL410" s="395"/>
      <c r="BM410" s="393">
        <f>BM409+BN409+BO409+BP409</f>
        <v>212806426</v>
      </c>
      <c r="BN410" s="394"/>
      <c r="BO410" s="394"/>
      <c r="BP410" s="395"/>
      <c r="BQ410" s="393">
        <f>BQ409+BR409+BS409+BT409</f>
        <v>221942096</v>
      </c>
      <c r="BR410" s="394"/>
      <c r="BS410" s="394"/>
      <c r="BT410" s="395"/>
      <c r="BU410" s="393">
        <f>BU409+BV409+BW409+BX409</f>
        <v>231942138</v>
      </c>
      <c r="BV410" s="394"/>
      <c r="BW410" s="394"/>
      <c r="BX410" s="395"/>
      <c r="BY410" s="393">
        <f>BY409+BZ409+CA409+CB409</f>
        <v>242879096</v>
      </c>
      <c r="BZ410" s="394"/>
      <c r="CA410" s="394"/>
      <c r="CB410" s="395"/>
      <c r="CC410" s="393">
        <f>CC409+CD409+CE409+CF409</f>
        <v>254840004</v>
      </c>
      <c r="CD410" s="394"/>
      <c r="CE410" s="394"/>
      <c r="CF410" s="395"/>
      <c r="CG410" s="393">
        <f>CG409+CH409+CI409+CJ409</f>
        <v>267917276</v>
      </c>
      <c r="CH410" s="394"/>
      <c r="CI410" s="394"/>
      <c r="CJ410" s="395"/>
      <c r="CK410" s="393">
        <f t="shared" ref="CK410" si="6171">CK409+CL409+CM409+CN409</f>
        <v>282167996</v>
      </c>
      <c r="CL410" s="394"/>
      <c r="CM410" s="394"/>
      <c r="CN410" s="395"/>
      <c r="CO410" s="393">
        <f t="shared" ref="CO410" si="6172">CO409+CP409+CQ409+CR409</f>
        <v>297742505</v>
      </c>
      <c r="CP410" s="394"/>
      <c r="CQ410" s="394"/>
      <c r="CR410" s="395"/>
      <c r="CS410" s="393">
        <f t="shared" ref="CS410" si="6173">CS409+CT409+CU409+CV409</f>
        <v>314761165</v>
      </c>
      <c r="CT410" s="394"/>
      <c r="CU410" s="394"/>
      <c r="CV410" s="395"/>
      <c r="CW410" s="393">
        <f>CW409+CX409+CY409+CZ409</f>
        <v>333355697</v>
      </c>
      <c r="CX410" s="394"/>
      <c r="CY410" s="394"/>
      <c r="CZ410" s="395"/>
      <c r="DA410" s="85">
        <f>SUM(E410:CZ410)</f>
        <v>5154262379</v>
      </c>
      <c r="DB410" s="86"/>
      <c r="DC410" s="86"/>
      <c r="DD410" s="86"/>
      <c r="DE410" s="86"/>
      <c r="DF410" s="86"/>
      <c r="DG410" s="86"/>
      <c r="DH410" s="86"/>
      <c r="DI410" s="86"/>
      <c r="DJ410" s="86"/>
      <c r="DK410" s="86"/>
      <c r="DL410" s="86"/>
      <c r="DM410" s="86"/>
      <c r="DN410" s="86"/>
      <c r="DO410" s="86"/>
      <c r="DP410" s="86"/>
      <c r="DQ410" s="86"/>
      <c r="DR410" s="86"/>
      <c r="DS410" s="86"/>
      <c r="DT410" s="86"/>
      <c r="DU410" s="86"/>
      <c r="DV410" s="87"/>
    </row>
    <row r="411" spans="1:126" s="74" customFormat="1" ht="15">
      <c r="A411" s="68"/>
      <c r="B411" s="20" t="s">
        <v>969</v>
      </c>
      <c r="C411" s="20"/>
      <c r="D411" s="97">
        <f>地下车库现金流!D23</f>
        <v>0.06</v>
      </c>
      <c r="I411" s="389"/>
      <c r="J411" s="390"/>
      <c r="K411" s="390"/>
      <c r="L411" s="391"/>
      <c r="M411" s="389"/>
      <c r="N411" s="390"/>
      <c r="O411" s="390"/>
      <c r="P411" s="391"/>
      <c r="Q411" s="389"/>
      <c r="R411" s="390"/>
      <c r="S411" s="390"/>
      <c r="T411" s="391"/>
      <c r="U411" s="389"/>
      <c r="V411" s="390"/>
      <c r="W411" s="390"/>
      <c r="X411" s="391"/>
      <c r="Y411" s="389"/>
      <c r="Z411" s="390"/>
      <c r="AA411" s="390"/>
      <c r="AB411" s="391"/>
      <c r="AC411" s="389"/>
      <c r="AD411" s="390"/>
      <c r="AE411" s="390"/>
      <c r="AF411" s="391"/>
      <c r="AG411" s="389"/>
      <c r="AH411" s="390"/>
      <c r="AI411" s="390"/>
      <c r="AJ411" s="391"/>
      <c r="AK411" s="389"/>
      <c r="AL411" s="390"/>
      <c r="AM411" s="390"/>
      <c r="AN411" s="391"/>
      <c r="AO411" s="389"/>
      <c r="AP411" s="390"/>
      <c r="AQ411" s="390"/>
      <c r="AR411" s="391"/>
      <c r="AS411" s="389"/>
      <c r="AT411" s="390"/>
      <c r="AU411" s="390"/>
      <c r="AV411" s="391"/>
      <c r="AW411" s="389"/>
      <c r="AX411" s="390"/>
      <c r="AY411" s="390"/>
      <c r="AZ411" s="391"/>
      <c r="BA411" s="389"/>
      <c r="BB411" s="390"/>
      <c r="BC411" s="390"/>
      <c r="BD411" s="391"/>
      <c r="BE411" s="389"/>
      <c r="BF411" s="390"/>
      <c r="BG411" s="390"/>
      <c r="BH411" s="391"/>
      <c r="BI411" s="389"/>
      <c r="BJ411" s="390"/>
      <c r="BK411" s="390"/>
      <c r="BL411" s="391"/>
      <c r="BM411" s="389"/>
      <c r="BN411" s="390"/>
      <c r="BO411" s="390"/>
      <c r="BP411" s="391"/>
      <c r="BQ411" s="389"/>
      <c r="BR411" s="390"/>
      <c r="BS411" s="390"/>
      <c r="BT411" s="391"/>
      <c r="BU411" s="389"/>
      <c r="BV411" s="390"/>
      <c r="BW411" s="390"/>
      <c r="BX411" s="391"/>
      <c r="BY411" s="389"/>
      <c r="BZ411" s="390"/>
      <c r="CA411" s="390"/>
      <c r="CB411" s="391"/>
      <c r="CC411" s="389"/>
      <c r="CD411" s="390"/>
      <c r="CE411" s="390"/>
      <c r="CF411" s="391"/>
      <c r="CG411" s="389"/>
      <c r="CH411" s="390"/>
      <c r="CI411" s="390"/>
      <c r="CJ411" s="391"/>
      <c r="CK411" s="389"/>
      <c r="CL411" s="390"/>
      <c r="CM411" s="390"/>
      <c r="CN411" s="391"/>
      <c r="CO411" s="389"/>
      <c r="CP411" s="390"/>
      <c r="CQ411" s="390"/>
      <c r="CR411" s="391"/>
      <c r="CS411" s="389"/>
      <c r="CT411" s="390"/>
      <c r="CU411" s="390"/>
      <c r="CV411" s="391"/>
      <c r="CW411" s="389"/>
      <c r="CX411" s="390"/>
      <c r="CY411" s="390"/>
      <c r="CZ411" s="391"/>
      <c r="DA411" s="85">
        <f t="shared" ref="DA411:DA412" si="6174">SUM(E411:CZ411)</f>
        <v>0</v>
      </c>
      <c r="DB411" s="72"/>
      <c r="DC411" s="72"/>
      <c r="DD411" s="72"/>
      <c r="DE411" s="72"/>
      <c r="DF411" s="73"/>
    </row>
    <row r="412" spans="1:126" s="74" customFormat="1" ht="14.25" hidden="1">
      <c r="A412" s="68"/>
      <c r="B412" s="20" t="s">
        <v>1135</v>
      </c>
      <c r="C412" s="20"/>
      <c r="D412" s="21"/>
      <c r="E412" s="22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  <c r="AB412" s="20"/>
      <c r="AC412" s="20"/>
      <c r="AD412" s="20"/>
      <c r="AE412" s="22"/>
      <c r="AF412" s="20"/>
      <c r="AG412" s="20"/>
      <c r="AH412" s="20"/>
      <c r="AI412" s="20"/>
      <c r="AJ412" s="20"/>
      <c r="AK412" s="20"/>
      <c r="AL412" s="20"/>
      <c r="AM412" s="20"/>
      <c r="AN412" s="20"/>
      <c r="AO412" s="20"/>
      <c r="AP412" s="20"/>
      <c r="AQ412" s="20"/>
      <c r="AR412" s="20"/>
      <c r="AS412" s="20"/>
      <c r="AT412" s="20"/>
      <c r="AU412" s="20"/>
      <c r="AV412" s="20"/>
      <c r="AW412" s="20"/>
      <c r="AX412" s="22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71"/>
      <c r="CB412" s="71"/>
      <c r="CC412" s="71"/>
      <c r="CD412" s="71"/>
      <c r="CE412" s="71"/>
      <c r="CF412" s="71"/>
      <c r="CG412" s="341"/>
      <c r="CH412" s="341"/>
      <c r="CI412" s="341"/>
      <c r="CJ412" s="341"/>
      <c r="CK412" s="341"/>
      <c r="CL412" s="341"/>
      <c r="CM412" s="341"/>
      <c r="CN412" s="341"/>
      <c r="CO412" s="341"/>
      <c r="CP412" s="341"/>
      <c r="CQ412" s="341"/>
      <c r="CR412" s="341"/>
      <c r="CS412" s="341"/>
      <c r="CT412" s="341"/>
      <c r="CU412" s="341"/>
      <c r="CV412" s="341"/>
      <c r="CW412" s="341"/>
      <c r="CX412" s="341"/>
      <c r="CY412" s="341"/>
      <c r="CZ412" s="341"/>
      <c r="DA412" s="85">
        <f t="shared" si="6174"/>
        <v>0</v>
      </c>
      <c r="DB412" s="72"/>
      <c r="DC412" s="72"/>
      <c r="DD412" s="72"/>
      <c r="DE412" s="72"/>
      <c r="DF412" s="73"/>
    </row>
    <row r="413" spans="1:126" s="74" customFormat="1" ht="14.25">
      <c r="A413" s="68"/>
      <c r="B413" s="20" t="s">
        <v>1136</v>
      </c>
      <c r="C413" s="20"/>
      <c r="D413" s="379">
        <f>DA413</f>
        <v>2507398249</v>
      </c>
      <c r="E413" s="389">
        <f>ROUND(E410/(1+$D$411)^(E399-1),0)</f>
        <v>138753995</v>
      </c>
      <c r="F413" s="390"/>
      <c r="G413" s="390"/>
      <c r="H413" s="391"/>
      <c r="I413" s="389">
        <f t="shared" ref="I413" si="6175">ROUND(I410/(1+$D$411)^(I399-1),0)</f>
        <v>133845666</v>
      </c>
      <c r="J413" s="390"/>
      <c r="K413" s="390"/>
      <c r="L413" s="391"/>
      <c r="M413" s="389">
        <f t="shared" ref="M413" si="6176">ROUND(M410/(1+$D$411)^(M399-1),0)</f>
        <v>128956574</v>
      </c>
      <c r="N413" s="390"/>
      <c r="O413" s="390"/>
      <c r="P413" s="391"/>
      <c r="Q413" s="389">
        <f t="shared" ref="Q413" si="6177">ROUND(Q410/(1+$D$411)^(Q399-1),0)</f>
        <v>124204590</v>
      </c>
      <c r="R413" s="390"/>
      <c r="S413" s="390"/>
      <c r="T413" s="391"/>
      <c r="U413" s="389">
        <f t="shared" ref="U413" si="6178">ROUND(U410/(1+$D$411)^(U399-1),0)</f>
        <v>119791761</v>
      </c>
      <c r="V413" s="390"/>
      <c r="W413" s="390"/>
      <c r="X413" s="391"/>
      <c r="Y413" s="389">
        <f t="shared" ref="Y413" si="6179">ROUND(Y410/(1+$D$411)^(Y399-1),0)</f>
        <v>115715275</v>
      </c>
      <c r="Z413" s="390"/>
      <c r="AA413" s="390"/>
      <c r="AB413" s="391"/>
      <c r="AC413" s="389">
        <f t="shared" ref="AC413" si="6180">ROUND(AC410/(1+$D$411)^(AC399-1),0)</f>
        <v>111900955</v>
      </c>
      <c r="AD413" s="390"/>
      <c r="AE413" s="390"/>
      <c r="AF413" s="391"/>
      <c r="AG413" s="389">
        <f t="shared" ref="AG413" si="6181">ROUND(AG410/(1+$D$411)^(AG399-1),0)</f>
        <v>108387537</v>
      </c>
      <c r="AH413" s="390"/>
      <c r="AI413" s="390"/>
      <c r="AJ413" s="391"/>
      <c r="AK413" s="389">
        <f t="shared" ref="AK413" si="6182">ROUND(AK410/(1+$D$411)^(AK399-1),0)</f>
        <v>105119661</v>
      </c>
      <c r="AL413" s="390"/>
      <c r="AM413" s="390"/>
      <c r="AN413" s="391"/>
      <c r="AO413" s="389">
        <f t="shared" ref="AO413" si="6183">ROUND(AO410/(1+$D$411)^(AO399-1),0)</f>
        <v>102129754</v>
      </c>
      <c r="AP413" s="390"/>
      <c r="AQ413" s="390"/>
      <c r="AR413" s="391"/>
      <c r="AS413" s="389">
        <f t="shared" ref="AS413" si="6184">ROUND(AS410/(1+$D$411)^(AS399-1),0)</f>
        <v>99279233</v>
      </c>
      <c r="AT413" s="390"/>
      <c r="AU413" s="390"/>
      <c r="AV413" s="391"/>
      <c r="AW413" s="389">
        <f t="shared" ref="AW413" si="6185">ROUND(AW410/(1+$D$411)^(AW399-1),0)</f>
        <v>96698583</v>
      </c>
      <c r="AX413" s="390"/>
      <c r="AY413" s="390"/>
      <c r="AZ413" s="391"/>
      <c r="BA413" s="389">
        <f t="shared" ref="BA413" si="6186">ROUND(BA410/(1+$D$411)^(BA399-1),0)</f>
        <v>94373930</v>
      </c>
      <c r="BB413" s="390"/>
      <c r="BC413" s="390"/>
      <c r="BD413" s="391"/>
      <c r="BE413" s="389">
        <f t="shared" ref="BE413" si="6187">ROUND(BE410/(1+$D$411)^(BE399-1),0)</f>
        <v>92289486</v>
      </c>
      <c r="BF413" s="390"/>
      <c r="BG413" s="390"/>
      <c r="BH413" s="391"/>
      <c r="BI413" s="389">
        <f t="shared" ref="BI413" si="6188">ROUND(BI410/(1+$D$411)^(BI399-1),0)</f>
        <v>90434212</v>
      </c>
      <c r="BJ413" s="390"/>
      <c r="BK413" s="390"/>
      <c r="BL413" s="391"/>
      <c r="BM413" s="389">
        <f t="shared" ref="BM413" si="6189">ROUND(BM410/(1+$D$411)^(BM399-1),0)</f>
        <v>88796686</v>
      </c>
      <c r="BN413" s="390"/>
      <c r="BO413" s="390"/>
      <c r="BP413" s="391"/>
      <c r="BQ413" s="389">
        <f t="shared" ref="BQ413" si="6190">ROUND(BQ410/(1+$D$411)^(BQ399-1),0)</f>
        <v>87366681</v>
      </c>
      <c r="BR413" s="390"/>
      <c r="BS413" s="390"/>
      <c r="BT413" s="391"/>
      <c r="BU413" s="389">
        <f t="shared" ref="BU413" si="6191">ROUND(BU410/(1+$D$411)^(BU399-1),0)</f>
        <v>86135057</v>
      </c>
      <c r="BV413" s="390"/>
      <c r="BW413" s="390"/>
      <c r="BX413" s="391"/>
      <c r="BY413" s="389">
        <f t="shared" ref="BY413" si="6192">ROUND(BY410/(1+$D$411)^(BY399-1),0)</f>
        <v>85091183</v>
      </c>
      <c r="BZ413" s="390"/>
      <c r="CA413" s="390"/>
      <c r="CB413" s="391"/>
      <c r="CC413" s="389">
        <f t="shared" ref="CC413" si="6193">ROUND(CC410/(1+$D$411)^(CC399-1),0)</f>
        <v>84227937</v>
      </c>
      <c r="CD413" s="390"/>
      <c r="CE413" s="390"/>
      <c r="CF413" s="391"/>
      <c r="CG413" s="389">
        <f t="shared" ref="CG413" si="6194">ROUND(CG410/(1+$D$411)^(CG399-1),0)</f>
        <v>83537873</v>
      </c>
      <c r="CH413" s="390"/>
      <c r="CI413" s="390"/>
      <c r="CJ413" s="391"/>
      <c r="CK413" s="389">
        <f t="shared" ref="CK413" si="6195">ROUND(CK410/(1+$D$411)^(CK399-1),0)</f>
        <v>83001240</v>
      </c>
      <c r="CL413" s="390"/>
      <c r="CM413" s="390"/>
      <c r="CN413" s="391"/>
      <c r="CO413" s="389">
        <f t="shared" ref="CO413" si="6196">ROUND(CO410/(1+$D$411)^(CO399-1),0)</f>
        <v>82625063</v>
      </c>
      <c r="CP413" s="390"/>
      <c r="CQ413" s="390"/>
      <c r="CR413" s="391"/>
      <c r="CS413" s="389">
        <f t="shared" ref="CS413" si="6197">ROUND(CS410/(1+$D$411)^(CS399-1),0)</f>
        <v>82403611</v>
      </c>
      <c r="CT413" s="390"/>
      <c r="CU413" s="390"/>
      <c r="CV413" s="391"/>
      <c r="CW413" s="389">
        <f t="shared" ref="CW413" si="6198">ROUND(CW410/(1+$D$411)^(CW399-1),0)</f>
        <v>82331706</v>
      </c>
      <c r="CX413" s="390"/>
      <c r="CY413" s="390"/>
      <c r="CZ413" s="391"/>
      <c r="DA413" s="85">
        <f>SUM(E413:CZ413)</f>
        <v>2507398249</v>
      </c>
      <c r="DB413" s="72"/>
      <c r="DC413" s="72"/>
      <c r="DD413" s="72"/>
      <c r="DE413" s="72"/>
      <c r="DF413" s="73"/>
    </row>
    <row r="414" spans="1:126" ht="21" customHeight="1">
      <c r="A414" s="59"/>
      <c r="B414" s="60"/>
      <c r="C414" s="61" t="s">
        <v>1415</v>
      </c>
      <c r="D414" s="62">
        <f>基础资料!G18-基础资料!G3-基础资料!G4-基础资料!G5-基础资料!G6</f>
        <v>59992.520000000004</v>
      </c>
      <c r="E414" s="63"/>
      <c r="F414" s="64"/>
      <c r="G414" s="65"/>
      <c r="H414" s="98"/>
      <c r="I414" s="64"/>
      <c r="DG414" s="40"/>
    </row>
    <row r="415" spans="1:126" ht="21" customHeight="1">
      <c r="A415" s="59"/>
      <c r="B415" s="60"/>
      <c r="C415" s="61" t="s">
        <v>1418</v>
      </c>
      <c r="D415" s="62">
        <f>ROUND(D413/D414,0)</f>
        <v>41795</v>
      </c>
      <c r="E415" s="63"/>
      <c r="F415" s="64"/>
      <c r="G415" s="65"/>
      <c r="H415" s="98"/>
      <c r="I415" s="64"/>
      <c r="DG415" s="40"/>
    </row>
    <row r="416" spans="1:126" ht="21" customHeight="1">
      <c r="A416" s="59"/>
      <c r="B416" s="60"/>
      <c r="C416" s="61"/>
      <c r="D416" s="62"/>
      <c r="E416" s="63"/>
      <c r="F416" s="64"/>
      <c r="G416" s="65"/>
      <c r="H416" s="98"/>
      <c r="I416" s="64"/>
      <c r="DG416" s="40"/>
    </row>
    <row r="417" spans="1:111" ht="21" customHeight="1">
      <c r="A417" s="59"/>
      <c r="B417" s="60"/>
      <c r="C417" s="61"/>
      <c r="D417" s="62"/>
      <c r="E417" s="63"/>
      <c r="F417" s="64"/>
      <c r="G417" s="65"/>
      <c r="H417" s="98"/>
      <c r="I417" s="64"/>
      <c r="DG417" s="40"/>
    </row>
    <row r="418" spans="1:111" ht="21" customHeight="1">
      <c r="A418" s="59"/>
      <c r="B418" s="60"/>
      <c r="C418" s="61"/>
      <c r="D418" s="62"/>
      <c r="E418" s="63"/>
      <c r="F418" s="64"/>
      <c r="G418" s="65"/>
      <c r="H418" s="98"/>
      <c r="I418" s="64"/>
      <c r="DG418" s="40"/>
    </row>
    <row r="419" spans="1:111" ht="21" customHeight="1">
      <c r="A419" s="59"/>
      <c r="B419" s="60"/>
      <c r="C419" s="61"/>
      <c r="D419" s="62"/>
      <c r="E419" s="63"/>
      <c r="F419" s="64"/>
      <c r="G419" s="65"/>
      <c r="H419" s="98"/>
      <c r="I419" s="64"/>
      <c r="DG419" s="40"/>
    </row>
    <row r="420" spans="1:111" ht="21" customHeight="1">
      <c r="A420" s="59"/>
      <c r="B420" s="60"/>
      <c r="C420" s="61"/>
      <c r="D420" s="62"/>
      <c r="E420" s="63"/>
      <c r="F420" s="64"/>
      <c r="G420" s="65"/>
      <c r="H420" s="98"/>
      <c r="I420" s="64"/>
      <c r="DG420" s="40"/>
    </row>
    <row r="421" spans="1:111" ht="21" customHeight="1">
      <c r="A421" s="59"/>
      <c r="B421" s="60"/>
      <c r="C421" s="61"/>
      <c r="D421" s="62"/>
      <c r="E421" s="63"/>
      <c r="F421" s="64"/>
      <c r="G421" s="65"/>
      <c r="H421" s="98"/>
      <c r="I421" s="64"/>
      <c r="DG421" s="40"/>
    </row>
    <row r="422" spans="1:111" ht="21" customHeight="1">
      <c r="A422" s="59"/>
      <c r="B422" s="60"/>
      <c r="C422" s="61"/>
      <c r="D422" s="62"/>
      <c r="E422" s="63"/>
      <c r="F422" s="64"/>
      <c r="G422" s="65"/>
      <c r="H422" s="98"/>
      <c r="I422" s="64"/>
      <c r="DG422" s="40"/>
    </row>
    <row r="423" spans="1:111" ht="21" customHeight="1">
      <c r="A423" s="59"/>
      <c r="B423" s="60"/>
      <c r="C423" s="61"/>
      <c r="D423" s="62"/>
      <c r="E423" s="63"/>
      <c r="F423" s="64"/>
      <c r="G423" s="65"/>
      <c r="H423" s="98"/>
      <c r="I423" s="64"/>
      <c r="DG423" s="40"/>
    </row>
    <row r="424" spans="1:111" ht="21" customHeight="1">
      <c r="A424" s="59"/>
      <c r="B424" s="60"/>
      <c r="C424" s="61"/>
      <c r="D424" s="62"/>
      <c r="E424" s="63"/>
      <c r="F424" s="64"/>
      <c r="G424" s="65"/>
      <c r="H424" s="98"/>
      <c r="I424" s="64"/>
      <c r="DG424" s="40"/>
    </row>
    <row r="425" spans="1:111" ht="21" customHeight="1">
      <c r="A425" s="59"/>
      <c r="B425" s="60"/>
      <c r="C425" s="61"/>
      <c r="D425" s="62"/>
      <c r="E425" s="63"/>
      <c r="F425" s="64"/>
      <c r="G425" s="65"/>
      <c r="H425" s="98"/>
      <c r="I425" s="64"/>
      <c r="DG425" s="40"/>
    </row>
    <row r="426" spans="1:111" ht="21" customHeight="1">
      <c r="A426" s="59"/>
      <c r="B426" s="60"/>
      <c r="C426" s="61"/>
      <c r="D426" s="62"/>
      <c r="E426" s="63"/>
      <c r="F426" s="64"/>
      <c r="G426" s="65"/>
      <c r="H426" s="98"/>
      <c r="I426" s="64"/>
      <c r="DG426" s="40"/>
    </row>
    <row r="427" spans="1:111" ht="21" customHeight="1">
      <c r="A427" s="59"/>
      <c r="B427" s="60"/>
      <c r="C427" s="61"/>
      <c r="D427" s="62"/>
      <c r="E427" s="63"/>
      <c r="F427" s="64"/>
      <c r="G427" s="65"/>
      <c r="H427" s="98"/>
      <c r="I427" s="64"/>
      <c r="DG427" s="40"/>
    </row>
    <row r="428" spans="1:111" ht="21" customHeight="1">
      <c r="A428" s="59"/>
      <c r="B428" s="60"/>
      <c r="C428" s="61"/>
      <c r="D428" s="62"/>
      <c r="E428" s="63"/>
      <c r="F428" s="64"/>
      <c r="G428" s="65"/>
      <c r="H428" s="98"/>
      <c r="I428" s="64"/>
      <c r="DG428" s="40"/>
    </row>
    <row r="429" spans="1:111" ht="21" customHeight="1">
      <c r="A429" s="59"/>
      <c r="B429" s="60"/>
      <c r="C429" s="61"/>
      <c r="D429" s="62"/>
      <c r="E429" s="63"/>
      <c r="F429" s="64"/>
      <c r="G429" s="65"/>
      <c r="H429" s="98"/>
      <c r="I429" s="64"/>
      <c r="DG429" s="40"/>
    </row>
    <row r="430" spans="1:111" ht="21" customHeight="1">
      <c r="A430" s="59"/>
      <c r="B430" s="99"/>
      <c r="C430" s="2"/>
      <c r="D430" s="100"/>
      <c r="E430" s="63"/>
      <c r="F430" s="64"/>
      <c r="G430" s="65"/>
      <c r="H430" s="98"/>
      <c r="I430" s="64"/>
    </row>
    <row r="431" spans="1:111" ht="21" customHeight="1">
      <c r="A431" s="59"/>
      <c r="B431" s="99"/>
      <c r="C431" s="2"/>
      <c r="D431" s="100"/>
      <c r="E431" s="63"/>
      <c r="F431" s="64"/>
      <c r="G431" s="65"/>
      <c r="H431" s="98"/>
      <c r="I431" s="64"/>
    </row>
    <row r="432" spans="1:111" ht="21" customHeight="1">
      <c r="A432" s="59"/>
      <c r="B432" s="99"/>
      <c r="C432" s="2"/>
      <c r="D432" s="100"/>
      <c r="E432" s="63"/>
      <c r="F432" s="64"/>
      <c r="G432" s="65"/>
      <c r="H432" s="98"/>
      <c r="I432" s="64"/>
    </row>
    <row r="433" spans="1:9" ht="21" customHeight="1">
      <c r="A433" s="59"/>
      <c r="B433" s="99"/>
      <c r="C433" s="2"/>
      <c r="D433" s="100"/>
      <c r="E433" s="63"/>
      <c r="F433" s="64"/>
      <c r="G433" s="65"/>
      <c r="H433" s="98"/>
      <c r="I433" s="64"/>
    </row>
    <row r="434" spans="1:9" ht="21" customHeight="1">
      <c r="A434" s="59"/>
      <c r="B434" s="99"/>
      <c r="C434" s="2"/>
      <c r="D434" s="100"/>
      <c r="E434" s="63"/>
      <c r="F434" s="64"/>
      <c r="G434" s="65"/>
      <c r="H434" s="98"/>
      <c r="I434" s="64"/>
    </row>
    <row r="435" spans="1:9" ht="21" customHeight="1">
      <c r="A435" s="59"/>
      <c r="B435" s="99"/>
      <c r="C435" s="2"/>
      <c r="D435" s="100"/>
      <c r="E435" s="63"/>
      <c r="F435" s="64"/>
      <c r="G435" s="65"/>
      <c r="H435" s="98"/>
      <c r="I435" s="64"/>
    </row>
    <row r="436" spans="1:9" ht="21" customHeight="1">
      <c r="A436" s="59"/>
      <c r="B436" s="99"/>
      <c r="C436" s="2"/>
      <c r="D436" s="100"/>
      <c r="E436" s="63"/>
      <c r="F436" s="64"/>
      <c r="G436" s="65"/>
      <c r="H436" s="98"/>
      <c r="I436" s="64"/>
    </row>
    <row r="437" spans="1:9" ht="21" customHeight="1">
      <c r="A437" s="59"/>
      <c r="B437" s="99"/>
      <c r="C437" s="2"/>
      <c r="D437" s="100"/>
      <c r="E437" s="63"/>
      <c r="F437" s="64"/>
      <c r="G437" s="65"/>
      <c r="H437" s="98"/>
      <c r="I437" s="64"/>
    </row>
    <row r="438" spans="1:9" ht="21" customHeight="1">
      <c r="A438" s="59"/>
      <c r="B438" s="99"/>
      <c r="C438" s="2"/>
      <c r="D438" s="100"/>
      <c r="E438" s="63"/>
      <c r="F438" s="64"/>
      <c r="G438" s="65"/>
      <c r="H438" s="98"/>
      <c r="I438" s="64"/>
    </row>
    <row r="439" spans="1:9" ht="21" customHeight="1">
      <c r="A439" s="59"/>
      <c r="B439" s="99"/>
      <c r="C439" s="2"/>
      <c r="D439" s="100"/>
      <c r="E439" s="63"/>
      <c r="F439" s="64"/>
      <c r="G439" s="65"/>
      <c r="H439" s="98"/>
      <c r="I439" s="64"/>
    </row>
    <row r="440" spans="1:9" ht="21" customHeight="1">
      <c r="A440" s="59"/>
      <c r="B440" s="99"/>
      <c r="C440" s="2"/>
      <c r="D440" s="100"/>
      <c r="E440" s="63"/>
      <c r="F440" s="64"/>
      <c r="G440" s="65"/>
      <c r="H440" s="98"/>
      <c r="I440" s="64"/>
    </row>
    <row r="441" spans="1:9" ht="21" customHeight="1">
      <c r="A441" s="59"/>
      <c r="B441" s="99"/>
      <c r="C441" s="2"/>
      <c r="D441" s="100"/>
      <c r="E441" s="63"/>
      <c r="F441" s="64"/>
      <c r="G441" s="65"/>
      <c r="H441" s="98"/>
      <c r="I441" s="64"/>
    </row>
    <row r="442" spans="1:9" ht="21" customHeight="1">
      <c r="A442" s="59"/>
      <c r="B442" s="99"/>
      <c r="C442" s="2"/>
      <c r="D442" s="100"/>
      <c r="E442" s="63"/>
      <c r="F442" s="64"/>
      <c r="G442" s="65"/>
      <c r="H442" s="98"/>
      <c r="I442" s="64"/>
    </row>
    <row r="443" spans="1:9" ht="21" customHeight="1">
      <c r="A443" s="59"/>
      <c r="B443" s="99"/>
      <c r="C443" s="2"/>
      <c r="D443" s="100"/>
      <c r="E443" s="63"/>
      <c r="F443" s="64"/>
      <c r="G443" s="65"/>
      <c r="H443" s="98"/>
      <c r="I443" s="64"/>
    </row>
    <row r="444" spans="1:9" ht="21" customHeight="1">
      <c r="A444" s="59"/>
      <c r="B444" s="99"/>
      <c r="C444" s="2"/>
      <c r="D444" s="100"/>
      <c r="E444" s="63"/>
      <c r="F444" s="64"/>
      <c r="G444" s="65"/>
      <c r="H444" s="98"/>
      <c r="I444" s="64"/>
    </row>
    <row r="445" spans="1:9" ht="21" customHeight="1">
      <c r="A445" s="59"/>
      <c r="B445" s="99"/>
      <c r="C445" s="2"/>
      <c r="D445" s="100"/>
      <c r="E445" s="63"/>
      <c r="F445" s="64"/>
      <c r="G445" s="65"/>
      <c r="H445" s="98"/>
      <c r="I445" s="64"/>
    </row>
    <row r="446" spans="1:9" ht="21" customHeight="1">
      <c r="A446" s="59"/>
      <c r="B446" s="99"/>
      <c r="C446" s="2"/>
      <c r="D446" s="100"/>
      <c r="E446" s="63"/>
      <c r="F446" s="64"/>
      <c r="G446" s="65"/>
      <c r="H446" s="98"/>
      <c r="I446" s="64"/>
    </row>
    <row r="447" spans="1:9" ht="21" customHeight="1">
      <c r="A447" s="59"/>
      <c r="B447" s="99"/>
      <c r="C447" s="2"/>
      <c r="D447" s="100"/>
      <c r="E447" s="63"/>
      <c r="F447" s="64"/>
      <c r="G447" s="65"/>
      <c r="H447" s="98"/>
      <c r="I447" s="64"/>
    </row>
    <row r="448" spans="1:9" ht="21" customHeight="1">
      <c r="A448" s="59"/>
      <c r="B448" s="99"/>
      <c r="C448" s="2"/>
      <c r="D448" s="100"/>
      <c r="E448" s="63"/>
      <c r="F448" s="64"/>
      <c r="G448" s="65"/>
      <c r="H448" s="98"/>
      <c r="I448" s="64"/>
    </row>
    <row r="449" spans="1:9" ht="21" customHeight="1">
      <c r="A449" s="59"/>
      <c r="B449" s="99"/>
      <c r="C449" s="2"/>
      <c r="D449" s="100"/>
      <c r="E449" s="63"/>
      <c r="F449" s="64"/>
      <c r="G449" s="65"/>
      <c r="H449" s="98"/>
      <c r="I449" s="64"/>
    </row>
    <row r="450" spans="1:9" ht="21" customHeight="1">
      <c r="A450" s="59"/>
      <c r="B450" s="99"/>
      <c r="C450" s="2"/>
      <c r="D450" s="100"/>
      <c r="E450" s="63"/>
      <c r="F450" s="64"/>
      <c r="G450" s="65"/>
      <c r="H450" s="98"/>
      <c r="I450" s="64"/>
    </row>
    <row r="451" spans="1:9" ht="21" customHeight="1">
      <c r="A451" s="59"/>
      <c r="B451" s="99"/>
      <c r="C451" s="2"/>
      <c r="D451" s="100"/>
      <c r="E451" s="63"/>
      <c r="F451" s="64"/>
      <c r="G451" s="65"/>
      <c r="H451" s="98"/>
      <c r="I451" s="64"/>
    </row>
    <row r="452" spans="1:9" ht="21" customHeight="1">
      <c r="A452" s="59"/>
      <c r="B452" s="99"/>
      <c r="C452" s="2"/>
      <c r="D452" s="100"/>
      <c r="E452" s="63"/>
      <c r="F452" s="64"/>
      <c r="G452" s="65"/>
      <c r="H452" s="98"/>
      <c r="I452" s="64"/>
    </row>
    <row r="453" spans="1:9" ht="21" customHeight="1">
      <c r="A453" s="59"/>
      <c r="B453" s="99"/>
      <c r="C453" s="2"/>
      <c r="D453" s="100"/>
      <c r="E453" s="63"/>
      <c r="F453" s="64"/>
      <c r="G453" s="65"/>
      <c r="H453" s="98"/>
      <c r="I453" s="64"/>
    </row>
    <row r="454" spans="1:9" ht="21" customHeight="1">
      <c r="A454" s="59"/>
      <c r="B454" s="99"/>
      <c r="C454" s="2"/>
      <c r="D454" s="100"/>
      <c r="E454" s="63"/>
      <c r="F454" s="64"/>
      <c r="G454" s="65"/>
      <c r="H454" s="98"/>
      <c r="I454" s="64"/>
    </row>
    <row r="455" spans="1:9" ht="21" customHeight="1">
      <c r="A455" s="59"/>
      <c r="B455" s="99"/>
      <c r="C455" s="2"/>
      <c r="D455" s="100"/>
      <c r="E455" s="63"/>
      <c r="F455" s="64"/>
      <c r="G455" s="65"/>
      <c r="H455" s="98"/>
      <c r="I455" s="64"/>
    </row>
    <row r="456" spans="1:9" ht="21" customHeight="1">
      <c r="A456" s="59"/>
      <c r="B456" s="99"/>
      <c r="C456" s="2"/>
      <c r="D456" s="100"/>
      <c r="E456" s="63"/>
      <c r="F456" s="64"/>
      <c r="G456" s="65"/>
      <c r="H456" s="98"/>
      <c r="I456" s="64"/>
    </row>
    <row r="457" spans="1:9" ht="21" customHeight="1">
      <c r="A457" s="59"/>
      <c r="B457" s="99"/>
      <c r="C457" s="2"/>
      <c r="D457" s="100"/>
      <c r="E457" s="63"/>
      <c r="F457" s="64"/>
      <c r="G457" s="65"/>
      <c r="H457" s="98"/>
      <c r="I457" s="64"/>
    </row>
    <row r="458" spans="1:9">
      <c r="A458" s="59"/>
      <c r="B458" s="99"/>
      <c r="C458" s="2"/>
      <c r="D458" s="100"/>
      <c r="E458" s="63"/>
      <c r="F458" s="64"/>
      <c r="G458" s="65"/>
      <c r="H458" s="98"/>
      <c r="I458" s="64"/>
    </row>
    <row r="459" spans="1:9">
      <c r="A459" s="59"/>
      <c r="B459" s="99"/>
      <c r="C459" s="2"/>
      <c r="D459" s="100"/>
      <c r="E459" s="63"/>
      <c r="F459" s="64"/>
      <c r="G459" s="65"/>
      <c r="H459" s="98"/>
      <c r="I459" s="64"/>
    </row>
    <row r="460" spans="1:9">
      <c r="A460" s="59"/>
      <c r="B460" s="99"/>
      <c r="C460" s="2"/>
      <c r="D460" s="100"/>
      <c r="E460" s="63"/>
      <c r="F460" s="64"/>
      <c r="G460" s="65"/>
      <c r="H460" s="98"/>
      <c r="I460" s="64"/>
    </row>
    <row r="461" spans="1:9">
      <c r="A461" s="59"/>
      <c r="B461" s="99"/>
      <c r="C461" s="2"/>
      <c r="D461" s="100"/>
      <c r="E461" s="63"/>
      <c r="F461" s="64"/>
      <c r="G461" s="65"/>
      <c r="H461" s="98"/>
      <c r="I461" s="64"/>
    </row>
    <row r="462" spans="1:9">
      <c r="A462" s="59"/>
      <c r="B462" s="99"/>
      <c r="C462" s="2"/>
      <c r="D462" s="100"/>
      <c r="E462" s="63"/>
      <c r="F462" s="64"/>
      <c r="G462" s="65"/>
      <c r="H462" s="98"/>
      <c r="I462" s="64"/>
    </row>
    <row r="463" spans="1:9">
      <c r="A463" s="59"/>
      <c r="B463" s="99"/>
      <c r="C463" s="2"/>
      <c r="D463" s="100"/>
      <c r="E463" s="63"/>
      <c r="F463" s="64"/>
      <c r="G463" s="65"/>
      <c r="H463" s="98"/>
      <c r="I463" s="64"/>
    </row>
    <row r="464" spans="1:9">
      <c r="A464" s="59"/>
      <c r="B464" s="99"/>
      <c r="C464" s="2"/>
      <c r="D464" s="100"/>
      <c r="E464" s="63"/>
      <c r="F464" s="64"/>
      <c r="G464" s="65"/>
      <c r="H464" s="98"/>
      <c r="I464" s="64"/>
    </row>
    <row r="465" spans="1:9">
      <c r="A465" s="59"/>
      <c r="B465" s="99"/>
      <c r="C465" s="2"/>
      <c r="D465" s="100"/>
      <c r="E465" s="63"/>
      <c r="F465" s="64"/>
      <c r="G465" s="65"/>
      <c r="H465" s="98"/>
      <c r="I465" s="64"/>
    </row>
    <row r="466" spans="1:9">
      <c r="A466" s="59"/>
      <c r="B466" s="99"/>
      <c r="C466" s="2"/>
      <c r="D466" s="100"/>
      <c r="E466" s="63"/>
      <c r="F466" s="64"/>
      <c r="G466" s="65"/>
      <c r="H466" s="98"/>
      <c r="I466" s="64"/>
    </row>
    <row r="467" spans="1:9">
      <c r="A467" s="59"/>
      <c r="B467" s="99"/>
      <c r="C467" s="2"/>
      <c r="D467" s="100"/>
      <c r="E467" s="63"/>
      <c r="F467" s="64"/>
      <c r="G467" s="65"/>
      <c r="H467" s="98"/>
      <c r="I467" s="64"/>
    </row>
    <row r="468" spans="1:9">
      <c r="A468" s="59"/>
      <c r="B468" s="99"/>
      <c r="C468" s="2"/>
      <c r="D468" s="100"/>
      <c r="E468" s="63"/>
      <c r="F468" s="64"/>
      <c r="G468" s="65"/>
      <c r="H468" s="98"/>
      <c r="I468" s="64"/>
    </row>
    <row r="469" spans="1:9">
      <c r="A469" s="59"/>
      <c r="B469" s="99"/>
      <c r="C469" s="2"/>
      <c r="D469" s="100"/>
      <c r="E469" s="63"/>
      <c r="F469" s="64"/>
      <c r="G469" s="65"/>
      <c r="H469" s="98"/>
      <c r="I469" s="64"/>
    </row>
    <row r="470" spans="1:9">
      <c r="A470" s="59"/>
      <c r="B470" s="99"/>
      <c r="C470" s="2"/>
      <c r="D470" s="100"/>
      <c r="E470" s="63"/>
      <c r="F470" s="64"/>
      <c r="G470" s="65"/>
      <c r="H470" s="98"/>
      <c r="I470" s="64"/>
    </row>
    <row r="471" spans="1:9">
      <c r="A471" s="59"/>
      <c r="B471" s="99"/>
      <c r="C471" s="2"/>
      <c r="D471" s="100"/>
      <c r="E471" s="63"/>
      <c r="F471" s="64"/>
      <c r="G471" s="65"/>
      <c r="H471" s="98"/>
      <c r="I471" s="64"/>
    </row>
    <row r="472" spans="1:9">
      <c r="A472" s="59"/>
      <c r="B472" s="99"/>
      <c r="C472" s="2"/>
      <c r="D472" s="100"/>
      <c r="E472" s="63"/>
      <c r="F472" s="64"/>
      <c r="G472" s="65"/>
      <c r="H472" s="98"/>
      <c r="I472" s="64"/>
    </row>
    <row r="473" spans="1:9">
      <c r="A473" s="59"/>
      <c r="B473" s="99"/>
      <c r="C473" s="2"/>
      <c r="D473" s="100"/>
      <c r="E473" s="63"/>
      <c r="F473" s="64"/>
      <c r="G473" s="65"/>
      <c r="H473" s="98"/>
      <c r="I473" s="64"/>
    </row>
    <row r="474" spans="1:9">
      <c r="A474" s="59"/>
      <c r="B474" s="99"/>
      <c r="C474" s="2"/>
      <c r="D474" s="100"/>
      <c r="E474" s="63"/>
      <c r="F474" s="64"/>
      <c r="G474" s="65"/>
      <c r="H474" s="98"/>
      <c r="I474" s="64"/>
    </row>
    <row r="475" spans="1:9">
      <c r="A475" s="59"/>
      <c r="B475" s="99"/>
      <c r="C475" s="2"/>
      <c r="D475" s="100"/>
      <c r="E475" s="63"/>
      <c r="F475" s="64"/>
      <c r="G475" s="65"/>
      <c r="H475" s="98"/>
      <c r="I475" s="64"/>
    </row>
    <row r="476" spans="1:9">
      <c r="A476" s="59"/>
      <c r="B476" s="99"/>
      <c r="C476" s="2"/>
      <c r="D476" s="100"/>
      <c r="E476" s="63"/>
      <c r="F476" s="64"/>
      <c r="G476" s="65"/>
      <c r="H476" s="98"/>
      <c r="I476" s="64"/>
    </row>
    <row r="477" spans="1:9">
      <c r="A477" s="59"/>
      <c r="B477" s="99"/>
      <c r="C477" s="2"/>
      <c r="D477" s="100"/>
      <c r="E477" s="63"/>
      <c r="F477" s="64"/>
      <c r="G477" s="65"/>
      <c r="H477" s="98"/>
      <c r="I477" s="64"/>
    </row>
    <row r="478" spans="1:9">
      <c r="A478" s="59"/>
      <c r="B478" s="99"/>
      <c r="C478" s="2"/>
      <c r="D478" s="100"/>
      <c r="E478" s="63"/>
      <c r="F478" s="64"/>
      <c r="G478" s="65"/>
      <c r="H478" s="98"/>
      <c r="I478" s="64"/>
    </row>
    <row r="479" spans="1:9">
      <c r="A479" s="59"/>
      <c r="B479" s="99"/>
      <c r="C479" s="2"/>
      <c r="D479" s="100"/>
      <c r="E479" s="63"/>
      <c r="F479" s="64"/>
      <c r="G479" s="65"/>
      <c r="H479" s="98"/>
      <c r="I479" s="64"/>
    </row>
    <row r="480" spans="1:9">
      <c r="A480" s="59"/>
      <c r="B480" s="99"/>
      <c r="C480" s="2"/>
      <c r="D480" s="100"/>
      <c r="E480" s="63"/>
      <c r="F480" s="64"/>
      <c r="G480" s="65"/>
      <c r="H480" s="98"/>
      <c r="I480" s="64"/>
    </row>
    <row r="481" spans="1:9">
      <c r="A481" s="59"/>
      <c r="B481" s="99"/>
      <c r="C481" s="2"/>
      <c r="D481" s="100"/>
      <c r="E481" s="63"/>
      <c r="F481" s="64"/>
      <c r="G481" s="65"/>
      <c r="H481" s="98"/>
      <c r="I481" s="64"/>
    </row>
    <row r="482" spans="1:9">
      <c r="A482" s="59"/>
      <c r="B482" s="99"/>
      <c r="C482" s="2"/>
      <c r="D482" s="100"/>
      <c r="E482" s="63"/>
      <c r="F482" s="64"/>
      <c r="G482" s="65"/>
      <c r="H482" s="98"/>
      <c r="I482" s="64"/>
    </row>
    <row r="483" spans="1:9">
      <c r="A483" s="59"/>
      <c r="B483" s="99"/>
      <c r="C483" s="2"/>
      <c r="D483" s="100"/>
      <c r="E483" s="63"/>
      <c r="F483" s="64"/>
      <c r="G483" s="65"/>
      <c r="H483" s="98"/>
      <c r="I483" s="64"/>
    </row>
    <row r="484" spans="1:9">
      <c r="A484" s="59"/>
      <c r="B484" s="99"/>
      <c r="C484" s="2"/>
      <c r="D484" s="100"/>
      <c r="E484" s="63"/>
      <c r="F484" s="64"/>
      <c r="G484" s="65"/>
      <c r="H484" s="98"/>
      <c r="I484" s="64"/>
    </row>
    <row r="485" spans="1:9">
      <c r="A485" s="59"/>
      <c r="B485" s="99"/>
      <c r="C485" s="2"/>
      <c r="D485" s="100"/>
      <c r="E485" s="63"/>
      <c r="F485" s="64"/>
      <c r="G485" s="65"/>
      <c r="H485" s="98"/>
      <c r="I485" s="64"/>
    </row>
    <row r="486" spans="1:9">
      <c r="A486" s="59"/>
      <c r="B486" s="99"/>
      <c r="C486" s="2"/>
      <c r="D486" s="100"/>
      <c r="E486" s="63"/>
      <c r="F486" s="64"/>
      <c r="G486" s="65"/>
      <c r="H486" s="98"/>
      <c r="I486" s="64"/>
    </row>
    <row r="487" spans="1:9">
      <c r="A487" s="59"/>
      <c r="B487" s="99"/>
      <c r="C487" s="2"/>
      <c r="D487" s="100"/>
      <c r="E487" s="63"/>
      <c r="F487" s="64"/>
      <c r="G487" s="65"/>
      <c r="H487" s="98"/>
      <c r="I487" s="64"/>
    </row>
    <row r="488" spans="1:9">
      <c r="A488" s="59"/>
      <c r="B488" s="99"/>
      <c r="C488" s="2"/>
      <c r="D488" s="100"/>
      <c r="E488" s="63"/>
      <c r="F488" s="64"/>
      <c r="G488" s="65"/>
      <c r="H488" s="98"/>
      <c r="I488" s="64"/>
    </row>
    <row r="489" spans="1:9">
      <c r="A489" s="59"/>
      <c r="B489" s="99"/>
      <c r="C489" s="2"/>
      <c r="D489" s="100"/>
      <c r="E489" s="63"/>
      <c r="F489" s="64"/>
      <c r="G489" s="65"/>
      <c r="H489" s="98"/>
      <c r="I489" s="64"/>
    </row>
    <row r="490" spans="1:9">
      <c r="A490" s="59"/>
      <c r="B490" s="99"/>
      <c r="C490" s="2"/>
      <c r="D490" s="100"/>
      <c r="E490" s="63"/>
      <c r="F490" s="64"/>
      <c r="G490" s="65"/>
      <c r="H490" s="98"/>
      <c r="I490" s="64"/>
    </row>
    <row r="491" spans="1:9">
      <c r="A491" s="59"/>
      <c r="B491" s="99"/>
      <c r="C491" s="2"/>
      <c r="D491" s="100"/>
      <c r="E491" s="63"/>
      <c r="F491" s="64"/>
      <c r="G491" s="65"/>
      <c r="H491" s="98"/>
      <c r="I491" s="64"/>
    </row>
    <row r="492" spans="1:9">
      <c r="A492" s="59"/>
      <c r="B492" s="99"/>
      <c r="C492" s="2"/>
      <c r="D492" s="100"/>
      <c r="E492" s="63"/>
      <c r="F492" s="64"/>
      <c r="G492" s="65"/>
      <c r="H492" s="98"/>
      <c r="I492" s="64"/>
    </row>
    <row r="493" spans="1:9">
      <c r="A493" s="59"/>
      <c r="B493" s="99"/>
      <c r="C493" s="2"/>
      <c r="D493" s="100"/>
      <c r="E493" s="63"/>
      <c r="F493" s="64"/>
      <c r="G493" s="65"/>
      <c r="H493" s="98"/>
      <c r="I493" s="64"/>
    </row>
    <row r="494" spans="1:9">
      <c r="A494" s="59"/>
      <c r="B494" s="99"/>
      <c r="C494" s="2"/>
      <c r="D494" s="100"/>
      <c r="E494" s="63"/>
      <c r="F494" s="64"/>
      <c r="G494" s="65"/>
      <c r="H494" s="98"/>
      <c r="I494" s="64"/>
    </row>
    <row r="495" spans="1:9">
      <c r="A495" s="59"/>
      <c r="B495" s="99"/>
      <c r="C495" s="2"/>
      <c r="D495" s="100"/>
      <c r="E495" s="63"/>
      <c r="F495" s="64"/>
      <c r="G495" s="65"/>
      <c r="H495" s="98"/>
      <c r="I495" s="64"/>
    </row>
    <row r="496" spans="1:9">
      <c r="A496" s="59"/>
      <c r="B496" s="99"/>
      <c r="C496" s="2"/>
      <c r="D496" s="100"/>
      <c r="E496" s="63"/>
      <c r="F496" s="64"/>
      <c r="G496" s="65"/>
      <c r="H496" s="98"/>
      <c r="I496" s="64"/>
    </row>
    <row r="497" spans="1:9">
      <c r="A497" s="59"/>
      <c r="B497" s="99"/>
      <c r="C497" s="2"/>
      <c r="D497" s="100"/>
      <c r="E497" s="63"/>
      <c r="F497" s="64"/>
      <c r="G497" s="65"/>
      <c r="H497" s="98"/>
      <c r="I497" s="64"/>
    </row>
    <row r="498" spans="1:9">
      <c r="A498" s="59"/>
      <c r="B498" s="99"/>
      <c r="C498" s="2"/>
      <c r="D498" s="100"/>
      <c r="E498" s="63"/>
      <c r="F498" s="64"/>
      <c r="G498" s="65"/>
      <c r="H498" s="98"/>
      <c r="I498" s="64"/>
    </row>
    <row r="499" spans="1:9">
      <c r="A499" s="59"/>
      <c r="B499" s="99"/>
      <c r="C499" s="2"/>
      <c r="D499" s="100"/>
      <c r="E499" s="63"/>
      <c r="F499" s="64"/>
      <c r="G499" s="65"/>
      <c r="H499" s="98"/>
      <c r="I499" s="64"/>
    </row>
    <row r="500" spans="1:9">
      <c r="A500" s="59"/>
      <c r="B500" s="99"/>
      <c r="C500" s="2"/>
      <c r="D500" s="100"/>
      <c r="E500" s="63"/>
      <c r="F500" s="64"/>
      <c r="G500" s="65"/>
      <c r="H500" s="98"/>
      <c r="I500" s="64"/>
    </row>
    <row r="501" spans="1:9">
      <c r="A501" s="59"/>
      <c r="B501" s="99"/>
      <c r="C501" s="2"/>
      <c r="D501" s="100"/>
      <c r="E501" s="63"/>
      <c r="F501" s="64"/>
      <c r="G501" s="65"/>
      <c r="H501" s="98"/>
      <c r="I501" s="64"/>
    </row>
    <row r="502" spans="1:9">
      <c r="A502" s="59"/>
      <c r="B502" s="99"/>
      <c r="C502" s="2"/>
      <c r="D502" s="100"/>
      <c r="E502" s="63"/>
      <c r="F502" s="64"/>
      <c r="G502" s="65"/>
      <c r="H502" s="98"/>
      <c r="I502" s="64"/>
    </row>
    <row r="503" spans="1:9">
      <c r="A503" s="59"/>
      <c r="B503" s="99"/>
      <c r="C503" s="2"/>
      <c r="D503" s="100"/>
      <c r="E503" s="63"/>
      <c r="F503" s="64"/>
      <c r="G503" s="65"/>
      <c r="H503" s="98"/>
      <c r="I503" s="64"/>
    </row>
    <row r="504" spans="1:9">
      <c r="A504" s="59"/>
      <c r="B504" s="99"/>
      <c r="C504" s="2"/>
      <c r="D504" s="100"/>
      <c r="E504" s="63"/>
      <c r="F504" s="64"/>
      <c r="G504" s="65"/>
      <c r="H504" s="98"/>
      <c r="I504" s="64"/>
    </row>
    <row r="505" spans="1:9">
      <c r="A505" s="59"/>
      <c r="B505" s="99"/>
      <c r="C505" s="2"/>
      <c r="D505" s="100"/>
      <c r="E505" s="63"/>
      <c r="F505" s="64"/>
      <c r="G505" s="65"/>
      <c r="H505" s="98"/>
      <c r="I505" s="64"/>
    </row>
    <row r="506" spans="1:9">
      <c r="A506" s="59"/>
      <c r="B506" s="99"/>
      <c r="C506" s="2"/>
      <c r="D506" s="100"/>
      <c r="E506" s="63"/>
      <c r="F506" s="64"/>
      <c r="G506" s="65"/>
      <c r="H506" s="98"/>
      <c r="I506" s="64"/>
    </row>
    <row r="507" spans="1:9">
      <c r="A507" s="59"/>
      <c r="B507" s="99"/>
      <c r="C507" s="2"/>
      <c r="D507" s="100"/>
      <c r="E507" s="63"/>
      <c r="F507" s="64"/>
      <c r="G507" s="65"/>
      <c r="H507" s="98"/>
      <c r="I507" s="64"/>
    </row>
    <row r="508" spans="1:9">
      <c r="A508" s="59"/>
      <c r="B508" s="99"/>
      <c r="C508" s="2"/>
      <c r="D508" s="100"/>
      <c r="E508" s="63"/>
      <c r="F508" s="64"/>
      <c r="G508" s="65"/>
      <c r="H508" s="98"/>
      <c r="I508" s="64"/>
    </row>
    <row r="509" spans="1:9">
      <c r="A509" s="59"/>
      <c r="B509" s="99"/>
      <c r="C509" s="2"/>
      <c r="D509" s="100"/>
      <c r="E509" s="63"/>
      <c r="F509" s="64"/>
      <c r="G509" s="65"/>
      <c r="H509" s="98"/>
      <c r="I509" s="64"/>
    </row>
    <row r="510" spans="1:9">
      <c r="A510" s="59"/>
      <c r="B510" s="99"/>
      <c r="C510" s="2"/>
      <c r="D510" s="100"/>
      <c r="E510" s="63"/>
      <c r="F510" s="64"/>
      <c r="G510" s="65"/>
      <c r="H510" s="98"/>
      <c r="I510" s="64"/>
    </row>
    <row r="511" spans="1:9">
      <c r="A511" s="59"/>
      <c r="B511" s="99"/>
      <c r="C511" s="2"/>
      <c r="D511" s="100"/>
      <c r="E511" s="63"/>
      <c r="F511" s="64"/>
      <c r="G511" s="65"/>
      <c r="H511" s="98"/>
      <c r="I511" s="64"/>
    </row>
    <row r="512" spans="1:9">
      <c r="A512" s="59"/>
      <c r="B512" s="99"/>
      <c r="C512" s="2"/>
      <c r="D512" s="100"/>
      <c r="E512" s="63"/>
      <c r="F512" s="64"/>
      <c r="G512" s="65"/>
      <c r="H512" s="98"/>
      <c r="I512" s="64"/>
    </row>
    <row r="513" spans="1:9">
      <c r="A513" s="59"/>
      <c r="B513" s="99"/>
      <c r="C513" s="2"/>
      <c r="D513" s="100"/>
      <c r="E513" s="63"/>
      <c r="F513" s="64"/>
      <c r="G513" s="65"/>
      <c r="H513" s="98"/>
      <c r="I513" s="64"/>
    </row>
    <row r="514" spans="1:9">
      <c r="A514" s="59"/>
      <c r="B514" s="99"/>
      <c r="C514" s="2"/>
      <c r="D514" s="100"/>
      <c r="E514" s="63"/>
      <c r="F514" s="64"/>
      <c r="G514" s="65"/>
      <c r="H514" s="98"/>
      <c r="I514" s="64"/>
    </row>
    <row r="515" spans="1:9">
      <c r="A515" s="59"/>
      <c r="B515" s="99"/>
      <c r="C515" s="2"/>
      <c r="D515" s="100"/>
      <c r="E515" s="63"/>
      <c r="F515" s="64"/>
      <c r="G515" s="65"/>
      <c r="H515" s="98"/>
      <c r="I515" s="64"/>
    </row>
    <row r="516" spans="1:9">
      <c r="A516" s="59"/>
      <c r="B516" s="99"/>
      <c r="C516" s="2"/>
      <c r="D516" s="100"/>
      <c r="E516" s="63"/>
      <c r="F516" s="64"/>
      <c r="G516" s="65"/>
      <c r="H516" s="98"/>
      <c r="I516" s="64"/>
    </row>
    <row r="517" spans="1:9">
      <c r="A517" s="59"/>
      <c r="B517" s="99"/>
      <c r="C517" s="2"/>
      <c r="D517" s="100"/>
      <c r="E517" s="63"/>
      <c r="F517" s="64"/>
      <c r="G517" s="65"/>
      <c r="H517" s="98"/>
      <c r="I517" s="64"/>
    </row>
    <row r="518" spans="1:9">
      <c r="A518" s="59"/>
      <c r="B518" s="99"/>
      <c r="C518" s="2"/>
      <c r="D518" s="100"/>
      <c r="E518" s="63"/>
      <c r="F518" s="64"/>
      <c r="G518" s="65"/>
      <c r="H518" s="98"/>
      <c r="I518" s="64"/>
    </row>
    <row r="519" spans="1:9">
      <c r="A519" s="59"/>
      <c r="B519" s="99"/>
      <c r="C519" s="2"/>
      <c r="D519" s="100"/>
      <c r="E519" s="63"/>
      <c r="F519" s="64"/>
      <c r="G519" s="65"/>
      <c r="H519" s="98"/>
      <c r="I519" s="64"/>
    </row>
    <row r="520" spans="1:9">
      <c r="A520" s="59"/>
      <c r="B520" s="99"/>
      <c r="C520" s="2"/>
      <c r="D520" s="100"/>
      <c r="E520" s="63"/>
      <c r="F520" s="64"/>
      <c r="G520" s="65"/>
      <c r="H520" s="98"/>
      <c r="I520" s="64"/>
    </row>
    <row r="521" spans="1:9">
      <c r="A521" s="59"/>
      <c r="B521" s="99"/>
      <c r="C521" s="2"/>
      <c r="D521" s="100"/>
      <c r="E521" s="63"/>
      <c r="F521" s="64"/>
      <c r="G521" s="65"/>
      <c r="H521" s="98"/>
      <c r="I521" s="64"/>
    </row>
    <row r="522" spans="1:9">
      <c r="A522" s="59"/>
      <c r="B522" s="99"/>
      <c r="C522" s="2"/>
      <c r="D522" s="100"/>
      <c r="E522" s="63"/>
      <c r="F522" s="64"/>
      <c r="G522" s="65"/>
      <c r="H522" s="98"/>
      <c r="I522" s="64"/>
    </row>
    <row r="523" spans="1:9">
      <c r="A523" s="59"/>
      <c r="B523" s="99"/>
      <c r="C523" s="2"/>
      <c r="D523" s="100"/>
      <c r="E523" s="63"/>
      <c r="F523" s="64"/>
      <c r="G523" s="65"/>
      <c r="H523" s="98"/>
      <c r="I523" s="64"/>
    </row>
    <row r="524" spans="1:9">
      <c r="A524" s="59"/>
      <c r="B524" s="99"/>
      <c r="C524" s="2"/>
      <c r="D524" s="100"/>
      <c r="E524" s="63"/>
      <c r="F524" s="64"/>
      <c r="G524" s="65"/>
      <c r="H524" s="98"/>
      <c r="I524" s="64"/>
    </row>
    <row r="525" spans="1:9">
      <c r="A525" s="59"/>
      <c r="B525" s="99"/>
      <c r="C525" s="2"/>
      <c r="D525" s="100"/>
      <c r="E525" s="63"/>
      <c r="F525" s="64"/>
      <c r="G525" s="65"/>
      <c r="H525" s="98"/>
      <c r="I525" s="64"/>
    </row>
    <row r="526" spans="1:9">
      <c r="A526" s="59"/>
      <c r="B526" s="99"/>
      <c r="C526" s="2"/>
      <c r="D526" s="100"/>
      <c r="E526" s="63"/>
      <c r="F526" s="64"/>
      <c r="G526" s="65"/>
      <c r="H526" s="98"/>
      <c r="I526" s="64"/>
    </row>
    <row r="527" spans="1:9">
      <c r="A527" s="59"/>
      <c r="B527" s="99"/>
      <c r="C527" s="2"/>
      <c r="D527" s="100"/>
      <c r="E527" s="63"/>
      <c r="F527" s="64"/>
      <c r="G527" s="65"/>
      <c r="H527" s="98"/>
      <c r="I527" s="64"/>
    </row>
    <row r="528" spans="1:9">
      <c r="A528" s="59"/>
      <c r="B528" s="99"/>
      <c r="C528" s="2"/>
      <c r="D528" s="100"/>
      <c r="E528" s="63"/>
      <c r="F528" s="64"/>
      <c r="G528" s="65"/>
      <c r="H528" s="98"/>
      <c r="I528" s="64"/>
    </row>
    <row r="529" spans="1:9">
      <c r="A529" s="59"/>
      <c r="B529" s="99"/>
      <c r="C529" s="2"/>
      <c r="D529" s="100"/>
      <c r="E529" s="63"/>
      <c r="F529" s="64"/>
      <c r="G529" s="65"/>
      <c r="H529" s="98"/>
      <c r="I529" s="64"/>
    </row>
    <row r="530" spans="1:9">
      <c r="A530" s="59"/>
      <c r="B530" s="99"/>
      <c r="C530" s="2"/>
      <c r="D530" s="100"/>
      <c r="E530" s="63"/>
      <c r="F530" s="64"/>
      <c r="G530" s="65"/>
      <c r="H530" s="98"/>
      <c r="I530" s="64"/>
    </row>
    <row r="531" spans="1:9">
      <c r="A531" s="59"/>
      <c r="B531" s="99"/>
      <c r="C531" s="2"/>
      <c r="D531" s="100"/>
      <c r="E531" s="63"/>
      <c r="F531" s="64"/>
      <c r="G531" s="65"/>
      <c r="H531" s="98"/>
      <c r="I531" s="64"/>
    </row>
    <row r="532" spans="1:9">
      <c r="A532" s="59"/>
      <c r="B532" s="99"/>
      <c r="C532" s="2"/>
      <c r="D532" s="100"/>
      <c r="E532" s="63"/>
      <c r="F532" s="64"/>
      <c r="G532" s="65"/>
      <c r="H532" s="98"/>
      <c r="I532" s="64"/>
    </row>
    <row r="533" spans="1:9">
      <c r="A533" s="59"/>
      <c r="B533" s="99"/>
      <c r="C533" s="2"/>
      <c r="D533" s="100"/>
      <c r="E533" s="63"/>
      <c r="F533" s="64"/>
      <c r="G533" s="65"/>
      <c r="H533" s="98"/>
      <c r="I533" s="64"/>
    </row>
    <row r="534" spans="1:9">
      <c r="A534" s="59"/>
      <c r="B534" s="99"/>
      <c r="C534" s="2"/>
      <c r="D534" s="100"/>
      <c r="E534" s="63"/>
      <c r="F534" s="64"/>
      <c r="G534" s="65"/>
      <c r="H534" s="98"/>
      <c r="I534" s="64"/>
    </row>
    <row r="535" spans="1:9">
      <c r="A535" s="59"/>
      <c r="B535" s="99"/>
      <c r="C535" s="2"/>
      <c r="D535" s="100"/>
      <c r="E535" s="63"/>
      <c r="F535" s="64"/>
      <c r="G535" s="65"/>
      <c r="H535" s="98"/>
      <c r="I535" s="64"/>
    </row>
    <row r="536" spans="1:9">
      <c r="A536" s="59"/>
      <c r="B536" s="99"/>
      <c r="C536" s="2"/>
      <c r="D536" s="100"/>
      <c r="E536" s="63"/>
      <c r="F536" s="64"/>
      <c r="G536" s="65"/>
      <c r="H536" s="98"/>
      <c r="I536" s="64"/>
    </row>
    <row r="537" spans="1:9">
      <c r="A537" s="59"/>
      <c r="B537" s="99"/>
      <c r="C537" s="2"/>
      <c r="D537" s="100"/>
      <c r="E537" s="63"/>
      <c r="F537" s="64"/>
      <c r="G537" s="65"/>
      <c r="H537" s="98"/>
      <c r="I537" s="64"/>
    </row>
    <row r="538" spans="1:9">
      <c r="A538" s="59"/>
      <c r="B538" s="99"/>
      <c r="C538" s="2"/>
      <c r="D538" s="100"/>
      <c r="E538" s="63"/>
      <c r="F538" s="64"/>
      <c r="G538" s="65"/>
      <c r="H538" s="98"/>
      <c r="I538" s="64"/>
    </row>
    <row r="539" spans="1:9">
      <c r="A539" s="59"/>
      <c r="B539" s="99"/>
      <c r="C539" s="2"/>
      <c r="D539" s="100"/>
      <c r="E539" s="63"/>
      <c r="F539" s="64"/>
      <c r="G539" s="65"/>
      <c r="H539" s="98"/>
      <c r="I539" s="64"/>
    </row>
    <row r="540" spans="1:9">
      <c r="A540" s="59"/>
      <c r="B540" s="99"/>
      <c r="C540" s="2"/>
      <c r="D540" s="100"/>
      <c r="E540" s="63"/>
      <c r="F540" s="64"/>
      <c r="G540" s="65"/>
      <c r="H540" s="98"/>
      <c r="I540" s="64"/>
    </row>
    <row r="541" spans="1:9">
      <c r="A541" s="59"/>
      <c r="B541" s="99"/>
      <c r="C541" s="2"/>
      <c r="D541" s="100"/>
      <c r="E541" s="63"/>
      <c r="F541" s="64"/>
      <c r="G541" s="65"/>
      <c r="H541" s="98"/>
      <c r="I541" s="64"/>
    </row>
    <row r="542" spans="1:9">
      <c r="A542" s="59"/>
      <c r="B542" s="99"/>
      <c r="C542" s="2"/>
      <c r="D542" s="100"/>
      <c r="E542" s="63"/>
      <c r="F542" s="64"/>
      <c r="G542" s="65"/>
      <c r="H542" s="98"/>
      <c r="I542" s="64"/>
    </row>
    <row r="543" spans="1:9">
      <c r="A543" s="59"/>
      <c r="B543" s="99"/>
      <c r="C543" s="2"/>
      <c r="D543" s="100"/>
      <c r="E543" s="63"/>
      <c r="F543" s="64"/>
      <c r="G543" s="65"/>
      <c r="H543" s="98"/>
      <c r="I543" s="64"/>
    </row>
    <row r="544" spans="1:9">
      <c r="A544" s="59"/>
      <c r="B544" s="99"/>
      <c r="C544" s="2"/>
      <c r="D544" s="100"/>
      <c r="E544" s="63"/>
      <c r="F544" s="64"/>
      <c r="G544" s="65"/>
      <c r="H544" s="98"/>
      <c r="I544" s="64"/>
    </row>
    <row r="545" spans="1:9">
      <c r="A545" s="59"/>
      <c r="B545" s="99"/>
      <c r="C545" s="2"/>
      <c r="D545" s="100"/>
      <c r="E545" s="63"/>
      <c r="F545" s="64"/>
      <c r="G545" s="65"/>
      <c r="H545" s="98"/>
      <c r="I545" s="64"/>
    </row>
    <row r="546" spans="1:9">
      <c r="A546" s="59"/>
      <c r="B546" s="99"/>
      <c r="C546" s="2"/>
      <c r="D546" s="100"/>
      <c r="E546" s="63"/>
      <c r="F546" s="64"/>
      <c r="G546" s="65"/>
      <c r="H546" s="98"/>
      <c r="I546" s="64"/>
    </row>
    <row r="547" spans="1:9">
      <c r="A547" s="59"/>
      <c r="B547" s="99"/>
      <c r="C547" s="2"/>
      <c r="D547" s="100"/>
      <c r="E547" s="63"/>
      <c r="F547" s="64"/>
      <c r="G547" s="65"/>
      <c r="H547" s="98"/>
      <c r="I547" s="64"/>
    </row>
    <row r="548" spans="1:9">
      <c r="A548" s="59"/>
      <c r="B548" s="99"/>
      <c r="C548" s="2"/>
      <c r="D548" s="100"/>
      <c r="E548" s="63"/>
      <c r="F548" s="64"/>
      <c r="G548" s="65"/>
      <c r="H548" s="98"/>
      <c r="I548" s="64"/>
    </row>
    <row r="549" spans="1:9">
      <c r="A549" s="59"/>
      <c r="B549" s="99"/>
      <c r="C549" s="2"/>
      <c r="D549" s="100"/>
      <c r="E549" s="63"/>
      <c r="F549" s="64"/>
      <c r="G549" s="65"/>
      <c r="H549" s="98"/>
      <c r="I549" s="64"/>
    </row>
    <row r="550" spans="1:9">
      <c r="A550" s="59"/>
      <c r="B550" s="99"/>
      <c r="C550" s="2"/>
      <c r="D550" s="100"/>
      <c r="E550" s="63"/>
      <c r="F550" s="64"/>
      <c r="G550" s="65"/>
      <c r="H550" s="98"/>
      <c r="I550" s="64"/>
    </row>
    <row r="551" spans="1:9">
      <c r="A551" s="59"/>
      <c r="B551" s="99"/>
      <c r="C551" s="2"/>
      <c r="D551" s="100"/>
      <c r="E551" s="63"/>
      <c r="F551" s="64"/>
      <c r="G551" s="65"/>
      <c r="H551" s="98"/>
      <c r="I551" s="64"/>
    </row>
    <row r="552" spans="1:9">
      <c r="A552" s="59"/>
      <c r="B552" s="99"/>
      <c r="C552" s="2"/>
      <c r="D552" s="100"/>
      <c r="E552" s="63"/>
      <c r="F552" s="64"/>
      <c r="G552" s="65"/>
      <c r="H552" s="98"/>
      <c r="I552" s="64"/>
    </row>
    <row r="553" spans="1:9">
      <c r="A553" s="59"/>
      <c r="B553" s="99"/>
      <c r="C553" s="2"/>
      <c r="D553" s="100"/>
      <c r="E553" s="63"/>
      <c r="F553" s="64"/>
      <c r="G553" s="65"/>
      <c r="H553" s="98"/>
      <c r="I553" s="64"/>
    </row>
    <row r="554" spans="1:9">
      <c r="A554" s="59"/>
      <c r="B554" s="99"/>
      <c r="C554" s="2"/>
      <c r="D554" s="100"/>
      <c r="E554" s="63"/>
      <c r="F554" s="64"/>
      <c r="G554" s="65"/>
      <c r="H554" s="98"/>
      <c r="I554" s="64"/>
    </row>
    <row r="555" spans="1:9">
      <c r="A555" s="59"/>
      <c r="B555" s="99"/>
      <c r="C555" s="2"/>
      <c r="D555" s="100"/>
      <c r="E555" s="63"/>
      <c r="F555" s="64"/>
      <c r="G555" s="65"/>
      <c r="H555" s="98"/>
      <c r="I555" s="64"/>
    </row>
    <row r="556" spans="1:9">
      <c r="A556" s="59"/>
      <c r="B556" s="99"/>
      <c r="C556" s="2"/>
      <c r="D556" s="100"/>
      <c r="E556" s="63"/>
      <c r="F556" s="64"/>
      <c r="G556" s="65"/>
      <c r="H556" s="98"/>
      <c r="I556" s="64"/>
    </row>
    <row r="557" spans="1:9">
      <c r="A557" s="59"/>
      <c r="B557" s="99"/>
      <c r="C557" s="2"/>
      <c r="D557" s="100"/>
      <c r="E557" s="63"/>
      <c r="F557" s="64"/>
      <c r="G557" s="65"/>
      <c r="H557" s="98"/>
      <c r="I557" s="64"/>
    </row>
    <row r="558" spans="1:9">
      <c r="A558" s="59"/>
      <c r="B558" s="99"/>
      <c r="C558" s="2"/>
      <c r="D558" s="100"/>
      <c r="E558" s="63"/>
      <c r="F558" s="64"/>
      <c r="G558" s="65"/>
      <c r="H558" s="98"/>
      <c r="I558" s="64"/>
    </row>
    <row r="559" spans="1:9">
      <c r="A559" s="59"/>
      <c r="B559" s="99"/>
      <c r="C559" s="2"/>
      <c r="D559" s="100"/>
      <c r="E559" s="63"/>
      <c r="F559" s="64"/>
      <c r="G559" s="65"/>
      <c r="H559" s="98"/>
      <c r="I559" s="64"/>
    </row>
    <row r="560" spans="1:9">
      <c r="A560" s="59"/>
      <c r="B560" s="99"/>
      <c r="C560" s="2"/>
      <c r="D560" s="100"/>
      <c r="E560" s="63"/>
      <c r="F560" s="64"/>
      <c r="G560" s="65"/>
      <c r="H560" s="98"/>
      <c r="I560" s="64"/>
    </row>
    <row r="561" spans="1:9">
      <c r="A561" s="59"/>
      <c r="B561" s="99"/>
      <c r="C561" s="2"/>
      <c r="D561" s="100"/>
      <c r="E561" s="63"/>
      <c r="F561" s="64"/>
      <c r="G561" s="65"/>
      <c r="H561" s="98"/>
      <c r="I561" s="64"/>
    </row>
    <row r="562" spans="1:9">
      <c r="A562" s="59"/>
      <c r="B562" s="99"/>
      <c r="C562" s="2"/>
      <c r="D562" s="100"/>
      <c r="E562" s="63"/>
      <c r="F562" s="64"/>
      <c r="G562" s="65"/>
      <c r="H562" s="98"/>
      <c r="I562" s="64"/>
    </row>
    <row r="563" spans="1:9">
      <c r="A563" s="59"/>
      <c r="B563" s="99"/>
      <c r="C563" s="2"/>
      <c r="D563" s="100"/>
      <c r="E563" s="63"/>
      <c r="F563" s="64"/>
      <c r="G563" s="65"/>
      <c r="H563" s="98"/>
      <c r="I563" s="64"/>
    </row>
    <row r="564" spans="1:9">
      <c r="A564" s="59"/>
      <c r="B564" s="99"/>
      <c r="C564" s="2"/>
      <c r="D564" s="100"/>
      <c r="E564" s="63"/>
      <c r="F564" s="64"/>
      <c r="G564" s="65"/>
      <c r="H564" s="98"/>
      <c r="I564" s="64"/>
    </row>
    <row r="565" spans="1:9">
      <c r="A565" s="59"/>
      <c r="B565" s="99"/>
      <c r="C565" s="2"/>
      <c r="D565" s="100"/>
      <c r="E565" s="63"/>
      <c r="F565" s="64"/>
      <c r="G565" s="65"/>
      <c r="H565" s="98"/>
      <c r="I565" s="64"/>
    </row>
    <row r="566" spans="1:9">
      <c r="A566" s="59"/>
      <c r="B566" s="99"/>
      <c r="C566" s="2"/>
      <c r="D566" s="100"/>
      <c r="E566" s="63"/>
      <c r="F566" s="64"/>
      <c r="G566" s="65"/>
      <c r="H566" s="98"/>
      <c r="I566" s="64"/>
    </row>
    <row r="567" spans="1:9">
      <c r="A567" s="59"/>
      <c r="B567" s="99"/>
      <c r="C567" s="2"/>
      <c r="D567" s="100"/>
      <c r="E567" s="63"/>
      <c r="F567" s="64"/>
      <c r="G567" s="65"/>
      <c r="H567" s="98"/>
      <c r="I567" s="64"/>
    </row>
    <row r="568" spans="1:9">
      <c r="A568" s="59"/>
      <c r="B568" s="99"/>
      <c r="C568" s="2"/>
      <c r="D568" s="100"/>
      <c r="E568" s="63"/>
      <c r="F568" s="64"/>
      <c r="G568" s="65"/>
      <c r="H568" s="98"/>
      <c r="I568" s="64"/>
    </row>
    <row r="569" spans="1:9">
      <c r="A569" s="59"/>
      <c r="B569" s="99"/>
      <c r="C569" s="2"/>
      <c r="D569" s="100"/>
      <c r="E569" s="63"/>
      <c r="F569" s="64"/>
      <c r="G569" s="65"/>
      <c r="H569" s="98"/>
      <c r="I569" s="64"/>
    </row>
    <row r="570" spans="1:9">
      <c r="A570" s="59"/>
      <c r="B570" s="99"/>
      <c r="C570" s="2"/>
      <c r="D570" s="100"/>
      <c r="E570" s="63"/>
      <c r="F570" s="64"/>
      <c r="G570" s="65"/>
      <c r="H570" s="98"/>
      <c r="I570" s="64"/>
    </row>
    <row r="571" spans="1:9">
      <c r="A571" s="59"/>
      <c r="B571" s="99"/>
      <c r="C571" s="2"/>
      <c r="D571" s="100"/>
      <c r="E571" s="63"/>
      <c r="F571" s="64"/>
      <c r="G571" s="65"/>
      <c r="H571" s="98"/>
      <c r="I571" s="64"/>
    </row>
    <row r="572" spans="1:9">
      <c r="A572" s="59"/>
      <c r="B572" s="99"/>
      <c r="C572" s="2"/>
      <c r="D572" s="100"/>
      <c r="E572" s="63"/>
      <c r="F572" s="64"/>
      <c r="G572" s="65"/>
      <c r="H572" s="98"/>
      <c r="I572" s="64"/>
    </row>
    <row r="573" spans="1:9">
      <c r="A573" s="59"/>
      <c r="B573" s="99"/>
      <c r="C573" s="2"/>
      <c r="D573" s="100"/>
      <c r="E573" s="63"/>
      <c r="F573" s="64"/>
      <c r="G573" s="65"/>
      <c r="H573" s="98"/>
      <c r="I573" s="64"/>
    </row>
    <row r="574" spans="1:9">
      <c r="A574" s="59"/>
      <c r="B574" s="99"/>
      <c r="C574" s="2"/>
      <c r="D574" s="100"/>
      <c r="E574" s="63"/>
      <c r="F574" s="64"/>
      <c r="G574" s="65"/>
      <c r="H574" s="98"/>
      <c r="I574" s="64"/>
    </row>
    <row r="575" spans="1:9">
      <c r="A575" s="59"/>
      <c r="B575" s="99"/>
      <c r="C575" s="2"/>
      <c r="D575" s="100"/>
      <c r="E575" s="63"/>
      <c r="F575" s="64"/>
      <c r="G575" s="65"/>
      <c r="H575" s="98"/>
      <c r="I575" s="64"/>
    </row>
    <row r="576" spans="1:9">
      <c r="A576" s="59"/>
      <c r="B576" s="99"/>
      <c r="C576" s="2"/>
      <c r="D576" s="100"/>
      <c r="E576" s="63"/>
      <c r="F576" s="64"/>
      <c r="G576" s="65"/>
      <c r="H576" s="98"/>
      <c r="I576" s="64"/>
    </row>
    <row r="577" spans="1:9">
      <c r="A577" s="59"/>
      <c r="B577" s="99"/>
      <c r="C577" s="2"/>
      <c r="D577" s="100"/>
      <c r="E577" s="63"/>
      <c r="F577" s="64"/>
      <c r="G577" s="65"/>
      <c r="H577" s="98"/>
      <c r="I577" s="64"/>
    </row>
    <row r="578" spans="1:9">
      <c r="A578" s="59"/>
      <c r="B578" s="99"/>
      <c r="C578" s="2"/>
      <c r="D578" s="100"/>
      <c r="E578" s="63"/>
      <c r="F578" s="64"/>
      <c r="G578" s="65"/>
      <c r="H578" s="98"/>
      <c r="I578" s="64"/>
    </row>
    <row r="579" spans="1:9">
      <c r="A579" s="59"/>
      <c r="B579" s="99"/>
      <c r="C579" s="2"/>
      <c r="D579" s="100"/>
      <c r="E579" s="63"/>
      <c r="F579" s="64"/>
      <c r="G579" s="65"/>
      <c r="H579" s="98"/>
      <c r="I579" s="64"/>
    </row>
    <row r="580" spans="1:9">
      <c r="A580" s="59"/>
      <c r="B580" s="99"/>
      <c r="C580" s="2"/>
      <c r="D580" s="100"/>
      <c r="E580" s="63"/>
      <c r="F580" s="64"/>
      <c r="G580" s="65"/>
      <c r="H580" s="98"/>
      <c r="I580" s="64"/>
    </row>
    <row r="581" spans="1:9">
      <c r="A581" s="59"/>
      <c r="B581" s="99"/>
      <c r="C581" s="2"/>
      <c r="D581" s="100"/>
      <c r="E581" s="63"/>
      <c r="F581" s="64"/>
      <c r="G581" s="65"/>
      <c r="H581" s="98"/>
      <c r="I581" s="64"/>
    </row>
    <row r="582" spans="1:9">
      <c r="A582" s="59"/>
      <c r="B582" s="99"/>
      <c r="C582" s="2"/>
      <c r="D582" s="100"/>
      <c r="E582" s="63"/>
      <c r="F582" s="64"/>
      <c r="G582" s="65"/>
      <c r="H582" s="98"/>
      <c r="I582" s="64"/>
    </row>
    <row r="583" spans="1:9">
      <c r="A583" s="59"/>
      <c r="B583" s="99"/>
      <c r="C583" s="2"/>
      <c r="D583" s="100"/>
      <c r="E583" s="63"/>
      <c r="F583" s="64"/>
      <c r="G583" s="65"/>
      <c r="H583" s="98"/>
      <c r="I583" s="64"/>
    </row>
    <row r="584" spans="1:9">
      <c r="A584" s="59"/>
      <c r="B584" s="99"/>
      <c r="C584" s="2"/>
      <c r="D584" s="100"/>
      <c r="E584" s="63"/>
      <c r="F584" s="64"/>
      <c r="G584" s="65"/>
      <c r="H584" s="98"/>
      <c r="I584" s="64"/>
    </row>
    <row r="585" spans="1:9">
      <c r="A585" s="59"/>
      <c r="B585" s="99"/>
      <c r="C585" s="2"/>
      <c r="D585" s="100"/>
      <c r="E585" s="63"/>
      <c r="F585" s="64"/>
      <c r="G585" s="65"/>
      <c r="H585" s="98"/>
      <c r="I585" s="64"/>
    </row>
    <row r="586" spans="1:9">
      <c r="A586" s="59"/>
      <c r="B586" s="99"/>
      <c r="C586" s="2"/>
      <c r="D586" s="100"/>
      <c r="E586" s="63"/>
      <c r="F586" s="64"/>
      <c r="G586" s="65"/>
      <c r="H586" s="98"/>
      <c r="I586" s="64"/>
    </row>
    <row r="587" spans="1:9">
      <c r="A587" s="59"/>
      <c r="B587" s="99"/>
      <c r="C587" s="2"/>
      <c r="D587" s="100"/>
      <c r="E587" s="63"/>
      <c r="F587" s="64"/>
      <c r="G587" s="65"/>
      <c r="H587" s="98"/>
      <c r="I587" s="64"/>
    </row>
    <row r="588" spans="1:9">
      <c r="A588" s="59"/>
      <c r="B588" s="99"/>
      <c r="C588" s="2"/>
      <c r="D588" s="100"/>
      <c r="E588" s="63"/>
      <c r="F588" s="64"/>
      <c r="G588" s="65"/>
      <c r="H588" s="98"/>
      <c r="I588" s="64"/>
    </row>
    <row r="589" spans="1:9">
      <c r="A589" s="59"/>
      <c r="B589" s="99"/>
      <c r="C589" s="2"/>
      <c r="D589" s="100"/>
      <c r="E589" s="63"/>
      <c r="F589" s="64"/>
      <c r="G589" s="65"/>
      <c r="H589" s="98"/>
      <c r="I589" s="64"/>
    </row>
    <row r="590" spans="1:9">
      <c r="A590" s="59"/>
      <c r="B590" s="99"/>
      <c r="C590" s="2"/>
      <c r="D590" s="100"/>
      <c r="E590" s="63"/>
      <c r="F590" s="64"/>
      <c r="G590" s="65"/>
      <c r="H590" s="98"/>
      <c r="I590" s="64"/>
    </row>
    <row r="591" spans="1:9">
      <c r="A591" s="59"/>
      <c r="B591" s="99"/>
      <c r="C591" s="2"/>
      <c r="D591" s="100"/>
      <c r="E591" s="63"/>
      <c r="F591" s="64"/>
      <c r="G591" s="65"/>
      <c r="H591" s="98"/>
      <c r="I591" s="64"/>
    </row>
    <row r="592" spans="1:9">
      <c r="A592" s="59"/>
      <c r="B592" s="99"/>
      <c r="C592" s="2"/>
      <c r="D592" s="100"/>
      <c r="E592" s="63"/>
      <c r="F592" s="64"/>
      <c r="G592" s="65"/>
      <c r="H592" s="98"/>
      <c r="I592" s="64"/>
    </row>
    <row r="593" spans="1:9">
      <c r="A593" s="59"/>
      <c r="B593" s="99"/>
      <c r="C593" s="2"/>
      <c r="D593" s="100"/>
      <c r="E593" s="63"/>
      <c r="F593" s="64"/>
      <c r="G593" s="65"/>
      <c r="H593" s="98"/>
      <c r="I593" s="64"/>
    </row>
    <row r="594" spans="1:9">
      <c r="A594" s="59"/>
      <c r="B594" s="99"/>
      <c r="C594" s="2"/>
      <c r="D594" s="100"/>
      <c r="E594" s="63"/>
      <c r="F594" s="64"/>
      <c r="G594" s="65"/>
      <c r="H594" s="98"/>
      <c r="I594" s="64"/>
    </row>
    <row r="595" spans="1:9">
      <c r="A595" s="59"/>
      <c r="B595" s="99"/>
      <c r="C595" s="2"/>
      <c r="D595" s="100"/>
      <c r="E595" s="63"/>
      <c r="F595" s="64"/>
      <c r="G595" s="65"/>
      <c r="H595" s="98"/>
      <c r="I595" s="64"/>
    </row>
    <row r="596" spans="1:9">
      <c r="A596" s="59"/>
      <c r="B596" s="99"/>
      <c r="C596" s="2"/>
      <c r="D596" s="100"/>
      <c r="E596" s="63"/>
      <c r="F596" s="64"/>
      <c r="G596" s="65"/>
      <c r="H596" s="98"/>
      <c r="I596" s="64"/>
    </row>
    <row r="597" spans="1:9">
      <c r="A597" s="59"/>
      <c r="B597" s="99"/>
      <c r="C597" s="2"/>
      <c r="D597" s="100"/>
      <c r="E597" s="63"/>
      <c r="F597" s="64"/>
      <c r="G597" s="65"/>
      <c r="H597" s="98"/>
      <c r="I597" s="64"/>
    </row>
    <row r="598" spans="1:9">
      <c r="A598" s="59"/>
      <c r="B598" s="99"/>
      <c r="C598" s="2"/>
      <c r="D598" s="100"/>
      <c r="E598" s="63"/>
      <c r="F598" s="64"/>
      <c r="G598" s="65"/>
      <c r="H598" s="98"/>
      <c r="I598" s="64"/>
    </row>
    <row r="599" spans="1:9">
      <c r="A599" s="59"/>
      <c r="B599" s="99"/>
      <c r="C599" s="2"/>
      <c r="D599" s="100"/>
      <c r="E599" s="63"/>
      <c r="F599" s="64"/>
      <c r="G599" s="65"/>
      <c r="H599" s="98"/>
      <c r="I599" s="64"/>
    </row>
    <row r="600" spans="1:9">
      <c r="A600" s="59"/>
      <c r="B600" s="99"/>
      <c r="C600" s="2"/>
      <c r="D600" s="100"/>
      <c r="E600" s="63"/>
      <c r="F600" s="64"/>
      <c r="G600" s="65"/>
      <c r="H600" s="98"/>
      <c r="I600" s="64"/>
    </row>
    <row r="601" spans="1:9">
      <c r="A601" s="59"/>
      <c r="B601" s="99"/>
      <c r="C601" s="2"/>
      <c r="D601" s="100"/>
      <c r="E601" s="63"/>
      <c r="F601" s="64"/>
      <c r="G601" s="65"/>
      <c r="H601" s="98"/>
      <c r="I601" s="64"/>
    </row>
    <row r="602" spans="1:9">
      <c r="A602" s="59"/>
      <c r="B602" s="99"/>
      <c r="C602" s="2"/>
      <c r="D602" s="100"/>
      <c r="E602" s="63"/>
      <c r="F602" s="64"/>
      <c r="G602" s="65"/>
      <c r="H602" s="98"/>
      <c r="I602" s="64"/>
    </row>
    <row r="603" spans="1:9">
      <c r="A603" s="59"/>
      <c r="B603" s="99"/>
      <c r="C603" s="2"/>
      <c r="D603" s="100"/>
      <c r="E603" s="63"/>
      <c r="F603" s="64"/>
      <c r="G603" s="65"/>
      <c r="H603" s="98"/>
      <c r="I603" s="64"/>
    </row>
    <row r="604" spans="1:9">
      <c r="A604" s="59"/>
      <c r="B604" s="99"/>
      <c r="C604" s="2"/>
      <c r="D604" s="100"/>
      <c r="E604" s="63"/>
      <c r="F604" s="64"/>
      <c r="G604" s="65"/>
      <c r="H604" s="98"/>
      <c r="I604" s="64"/>
    </row>
    <row r="605" spans="1:9">
      <c r="A605" s="59"/>
      <c r="B605" s="99"/>
      <c r="C605" s="2"/>
      <c r="D605" s="100"/>
      <c r="E605" s="63"/>
      <c r="F605" s="64"/>
      <c r="G605" s="65"/>
      <c r="H605" s="98"/>
      <c r="I605" s="64"/>
    </row>
    <row r="606" spans="1:9">
      <c r="A606" s="59"/>
      <c r="B606" s="99"/>
      <c r="C606" s="2"/>
      <c r="D606" s="100"/>
      <c r="E606" s="63"/>
      <c r="F606" s="64"/>
      <c r="G606" s="65"/>
      <c r="H606" s="98"/>
      <c r="I606" s="64"/>
    </row>
    <row r="607" spans="1:9">
      <c r="A607" s="59"/>
      <c r="B607" s="99"/>
      <c r="C607" s="2"/>
      <c r="D607" s="100"/>
      <c r="E607" s="63"/>
      <c r="F607" s="64"/>
      <c r="G607" s="65"/>
      <c r="H607" s="98"/>
      <c r="I607" s="64"/>
    </row>
    <row r="608" spans="1:9">
      <c r="A608" s="59"/>
      <c r="B608" s="99"/>
      <c r="C608" s="2"/>
      <c r="D608" s="100"/>
      <c r="E608" s="63"/>
      <c r="F608" s="64"/>
      <c r="G608" s="65"/>
      <c r="H608" s="98"/>
      <c r="I608" s="64"/>
    </row>
    <row r="609" spans="1:9">
      <c r="A609" s="59"/>
      <c r="B609" s="99"/>
      <c r="C609" s="2"/>
      <c r="D609" s="100"/>
      <c r="E609" s="63"/>
      <c r="F609" s="64"/>
      <c r="G609" s="65"/>
      <c r="H609" s="98"/>
      <c r="I609" s="64"/>
    </row>
    <row r="610" spans="1:9">
      <c r="A610" s="59"/>
      <c r="B610" s="99"/>
      <c r="C610" s="2"/>
      <c r="D610" s="100"/>
      <c r="E610" s="63"/>
      <c r="F610" s="64"/>
      <c r="G610" s="65"/>
      <c r="H610" s="98"/>
      <c r="I610" s="64"/>
    </row>
    <row r="611" spans="1:9">
      <c r="A611" s="59"/>
      <c r="B611" s="99"/>
      <c r="C611" s="2"/>
      <c r="D611" s="100"/>
      <c r="E611" s="63"/>
      <c r="F611" s="64"/>
      <c r="G611" s="65"/>
      <c r="H611" s="98"/>
      <c r="I611" s="64"/>
    </row>
    <row r="612" spans="1:9">
      <c r="A612" s="59"/>
      <c r="B612" s="99"/>
      <c r="C612" s="2"/>
      <c r="D612" s="100"/>
      <c r="E612" s="63"/>
      <c r="F612" s="64"/>
      <c r="G612" s="65"/>
      <c r="H612" s="98"/>
      <c r="I612" s="64"/>
    </row>
    <row r="613" spans="1:9">
      <c r="A613" s="59"/>
      <c r="B613" s="99"/>
      <c r="C613" s="2"/>
      <c r="D613" s="100"/>
      <c r="E613" s="63"/>
      <c r="F613" s="64"/>
      <c r="G613" s="65"/>
      <c r="H613" s="98"/>
      <c r="I613" s="64"/>
    </row>
    <row r="614" spans="1:9">
      <c r="A614" s="59"/>
      <c r="B614" s="99"/>
      <c r="C614" s="2"/>
      <c r="D614" s="100"/>
      <c r="E614" s="63"/>
      <c r="F614" s="64"/>
      <c r="G614" s="65"/>
      <c r="H614" s="98"/>
      <c r="I614" s="64"/>
    </row>
    <row r="615" spans="1:9">
      <c r="A615" s="59"/>
      <c r="B615" s="99"/>
      <c r="C615" s="2"/>
      <c r="D615" s="100"/>
      <c r="E615" s="63"/>
      <c r="F615" s="64"/>
      <c r="G615" s="65"/>
      <c r="H615" s="98"/>
      <c r="I615" s="64"/>
    </row>
    <row r="616" spans="1:9">
      <c r="A616" s="59"/>
      <c r="B616" s="99"/>
      <c r="C616" s="2"/>
      <c r="D616" s="100"/>
      <c r="E616" s="63"/>
      <c r="F616" s="64"/>
      <c r="G616" s="65"/>
      <c r="H616" s="98"/>
      <c r="I616" s="64"/>
    </row>
    <row r="617" spans="1:9">
      <c r="A617" s="59"/>
      <c r="B617" s="99"/>
      <c r="C617" s="2"/>
      <c r="D617" s="100"/>
      <c r="E617" s="63"/>
      <c r="F617" s="64"/>
      <c r="G617" s="65"/>
      <c r="H617" s="98"/>
      <c r="I617" s="64"/>
    </row>
    <row r="618" spans="1:9">
      <c r="A618" s="59"/>
      <c r="B618" s="99"/>
      <c r="C618" s="2"/>
      <c r="D618" s="100"/>
      <c r="E618" s="63"/>
      <c r="F618" s="64"/>
      <c r="G618" s="65"/>
      <c r="H618" s="98"/>
      <c r="I618" s="64"/>
    </row>
    <row r="619" spans="1:9">
      <c r="A619" s="59"/>
      <c r="B619" s="99"/>
      <c r="C619" s="2"/>
      <c r="D619" s="100"/>
      <c r="E619" s="63"/>
      <c r="F619" s="64"/>
      <c r="G619" s="65"/>
      <c r="H619" s="98"/>
      <c r="I619" s="64"/>
    </row>
    <row r="620" spans="1:9">
      <c r="A620" s="59"/>
      <c r="B620" s="99"/>
      <c r="C620" s="2"/>
      <c r="D620" s="100"/>
      <c r="E620" s="63"/>
      <c r="F620" s="64"/>
      <c r="G620" s="65"/>
      <c r="H620" s="98"/>
      <c r="I620" s="64"/>
    </row>
    <row r="621" spans="1:9">
      <c r="A621" s="59"/>
      <c r="B621" s="99"/>
      <c r="C621" s="2"/>
      <c r="D621" s="100"/>
      <c r="E621" s="63"/>
      <c r="F621" s="64"/>
      <c r="G621" s="65"/>
      <c r="H621" s="98"/>
      <c r="I621" s="64"/>
    </row>
    <row r="622" spans="1:9">
      <c r="A622" s="59"/>
      <c r="B622" s="99"/>
      <c r="C622" s="2"/>
      <c r="D622" s="100"/>
      <c r="E622" s="63"/>
      <c r="F622" s="64"/>
      <c r="G622" s="65"/>
      <c r="H622" s="98"/>
      <c r="I622" s="64"/>
    </row>
    <row r="623" spans="1:9">
      <c r="A623" s="59"/>
      <c r="B623" s="99"/>
      <c r="C623" s="2"/>
      <c r="D623" s="100"/>
      <c r="E623" s="63"/>
      <c r="F623" s="64"/>
      <c r="G623" s="65"/>
      <c r="H623" s="98"/>
      <c r="I623" s="64"/>
    </row>
    <row r="624" spans="1:9">
      <c r="A624" s="59"/>
      <c r="B624" s="99"/>
      <c r="C624" s="2"/>
      <c r="D624" s="100"/>
      <c r="E624" s="63"/>
      <c r="F624" s="64"/>
      <c r="G624" s="65"/>
      <c r="H624" s="98"/>
      <c r="I624" s="64"/>
    </row>
    <row r="625" spans="1:9">
      <c r="A625" s="59"/>
      <c r="B625" s="99"/>
      <c r="C625" s="2"/>
      <c r="D625" s="100"/>
      <c r="E625" s="63"/>
      <c r="F625" s="64"/>
      <c r="G625" s="65"/>
      <c r="H625" s="98"/>
      <c r="I625" s="64"/>
    </row>
    <row r="626" spans="1:9">
      <c r="A626" s="59"/>
      <c r="B626" s="99"/>
      <c r="C626" s="2"/>
      <c r="D626" s="100"/>
      <c r="E626" s="63"/>
      <c r="F626" s="64"/>
      <c r="G626" s="65"/>
      <c r="H626" s="98"/>
      <c r="I626" s="64"/>
    </row>
    <row r="627" spans="1:9">
      <c r="A627" s="59"/>
      <c r="B627" s="99"/>
      <c r="C627" s="2"/>
      <c r="D627" s="100"/>
      <c r="E627" s="63"/>
      <c r="F627" s="64"/>
      <c r="G627" s="65"/>
      <c r="H627" s="98"/>
      <c r="I627" s="64"/>
    </row>
    <row r="628" spans="1:9">
      <c r="A628" s="59"/>
      <c r="B628" s="99"/>
      <c r="C628" s="2"/>
      <c r="D628" s="100"/>
      <c r="E628" s="63"/>
      <c r="F628" s="64"/>
      <c r="G628" s="65"/>
      <c r="H628" s="98"/>
      <c r="I628" s="64"/>
    </row>
    <row r="629" spans="1:9">
      <c r="A629" s="59"/>
      <c r="B629" s="99"/>
      <c r="C629" s="2"/>
      <c r="D629" s="100"/>
      <c r="E629" s="63"/>
      <c r="F629" s="64"/>
      <c r="G629" s="65"/>
      <c r="H629" s="98"/>
      <c r="I629" s="64"/>
    </row>
    <row r="630" spans="1:9">
      <c r="A630" s="59"/>
      <c r="B630" s="99"/>
      <c r="C630" s="2"/>
      <c r="D630" s="100"/>
      <c r="E630" s="63"/>
      <c r="F630" s="64"/>
      <c r="G630" s="65"/>
      <c r="H630" s="98"/>
      <c r="I630" s="64"/>
    </row>
    <row r="631" spans="1:9">
      <c r="A631" s="59"/>
      <c r="B631" s="99"/>
      <c r="C631" s="2"/>
      <c r="D631" s="100"/>
      <c r="E631" s="63"/>
      <c r="F631" s="64"/>
      <c r="G631" s="65"/>
      <c r="H631" s="98"/>
      <c r="I631" s="64"/>
    </row>
    <row r="632" spans="1:9">
      <c r="A632" s="59"/>
      <c r="B632" s="99"/>
      <c r="C632" s="2"/>
      <c r="D632" s="100"/>
      <c r="E632" s="63"/>
      <c r="F632" s="64"/>
      <c r="G632" s="65"/>
      <c r="H632" s="98"/>
      <c r="I632" s="64"/>
    </row>
    <row r="633" spans="1:9">
      <c r="A633" s="59"/>
      <c r="B633" s="99"/>
      <c r="C633" s="2"/>
      <c r="D633" s="100"/>
      <c r="E633" s="63"/>
      <c r="F633" s="64"/>
      <c r="G633" s="65"/>
      <c r="H633" s="98"/>
      <c r="I633" s="64"/>
    </row>
    <row r="634" spans="1:9">
      <c r="A634" s="59"/>
      <c r="B634" s="99"/>
      <c r="C634" s="2"/>
      <c r="D634" s="100"/>
      <c r="E634" s="63"/>
      <c r="F634" s="64"/>
      <c r="G634" s="65"/>
      <c r="H634" s="98"/>
      <c r="I634" s="64"/>
    </row>
    <row r="635" spans="1:9">
      <c r="A635" s="59"/>
      <c r="B635" s="99"/>
      <c r="C635" s="2"/>
      <c r="D635" s="100"/>
      <c r="E635" s="63"/>
      <c r="F635" s="64"/>
      <c r="G635" s="65"/>
      <c r="H635" s="98"/>
      <c r="I635" s="64"/>
    </row>
    <row r="636" spans="1:9">
      <c r="A636" s="59"/>
      <c r="B636" s="99"/>
      <c r="C636" s="2"/>
      <c r="D636" s="100"/>
      <c r="E636" s="63"/>
      <c r="F636" s="64"/>
      <c r="G636" s="65"/>
      <c r="H636" s="98"/>
      <c r="I636" s="64"/>
    </row>
    <row r="637" spans="1:9">
      <c r="A637" s="59"/>
      <c r="B637" s="99"/>
      <c r="C637" s="2"/>
      <c r="D637" s="100"/>
      <c r="E637" s="63"/>
      <c r="F637" s="64"/>
      <c r="G637" s="65"/>
      <c r="H637" s="98"/>
      <c r="I637" s="64"/>
    </row>
    <row r="638" spans="1:9">
      <c r="A638" s="59"/>
      <c r="B638" s="99"/>
      <c r="C638" s="2"/>
      <c r="D638" s="100"/>
      <c r="E638" s="63"/>
      <c r="F638" s="64"/>
      <c r="G638" s="65"/>
      <c r="H638" s="98"/>
      <c r="I638" s="64"/>
    </row>
    <row r="639" spans="1:9">
      <c r="A639" s="59"/>
      <c r="B639" s="99"/>
      <c r="C639" s="2"/>
      <c r="D639" s="100"/>
      <c r="E639" s="63"/>
      <c r="F639" s="64"/>
      <c r="G639" s="65"/>
      <c r="H639" s="98"/>
      <c r="I639" s="64"/>
    </row>
    <row r="640" spans="1:9">
      <c r="A640" s="59"/>
      <c r="B640" s="99"/>
      <c r="C640" s="2"/>
      <c r="D640" s="100"/>
      <c r="E640" s="63"/>
      <c r="F640" s="64"/>
      <c r="G640" s="65"/>
      <c r="H640" s="98"/>
      <c r="I640" s="64"/>
    </row>
    <row r="641" spans="1:9">
      <c r="A641" s="59"/>
      <c r="B641" s="99"/>
      <c r="C641" s="2"/>
      <c r="D641" s="100"/>
      <c r="E641" s="63"/>
      <c r="F641" s="64"/>
      <c r="G641" s="65"/>
      <c r="H641" s="98"/>
      <c r="I641" s="64"/>
    </row>
    <row r="642" spans="1:9">
      <c r="A642" s="59"/>
      <c r="B642" s="99"/>
      <c r="C642" s="2"/>
      <c r="D642" s="100"/>
      <c r="E642" s="63"/>
      <c r="F642" s="64"/>
      <c r="G642" s="65"/>
      <c r="H642" s="98"/>
      <c r="I642" s="64"/>
    </row>
    <row r="643" spans="1:9">
      <c r="A643" s="59"/>
      <c r="B643" s="99"/>
      <c r="C643" s="2"/>
      <c r="D643" s="100"/>
      <c r="E643" s="63"/>
      <c r="F643" s="64"/>
      <c r="G643" s="65"/>
      <c r="H643" s="98"/>
      <c r="I643" s="64"/>
    </row>
    <row r="644" spans="1:9">
      <c r="A644" s="59"/>
      <c r="B644" s="99"/>
      <c r="C644" s="2"/>
      <c r="D644" s="100"/>
      <c r="E644" s="63"/>
      <c r="F644" s="64"/>
      <c r="G644" s="65"/>
      <c r="H644" s="98"/>
      <c r="I644" s="64"/>
    </row>
    <row r="645" spans="1:9">
      <c r="A645" s="59"/>
      <c r="B645" s="99"/>
      <c r="C645" s="2"/>
      <c r="D645" s="100"/>
      <c r="E645" s="63"/>
      <c r="F645" s="64"/>
      <c r="G645" s="65"/>
      <c r="H645" s="98"/>
      <c r="I645" s="64"/>
    </row>
    <row r="646" spans="1:9">
      <c r="A646" s="59"/>
      <c r="B646" s="99"/>
      <c r="C646" s="2"/>
      <c r="D646" s="100"/>
      <c r="E646" s="63"/>
      <c r="F646" s="64"/>
      <c r="G646" s="65"/>
      <c r="H646" s="98"/>
      <c r="I646" s="64"/>
    </row>
    <row r="647" spans="1:9">
      <c r="A647" s="59"/>
      <c r="B647" s="99"/>
      <c r="C647" s="2"/>
      <c r="D647" s="100"/>
      <c r="E647" s="63"/>
      <c r="F647" s="64"/>
      <c r="G647" s="65"/>
      <c r="H647" s="98"/>
      <c r="I647" s="64"/>
    </row>
    <row r="648" spans="1:9">
      <c r="A648" s="59"/>
      <c r="B648" s="99"/>
      <c r="C648" s="2"/>
      <c r="D648" s="100"/>
      <c r="E648" s="63"/>
      <c r="F648" s="64"/>
      <c r="G648" s="65"/>
      <c r="H648" s="98"/>
      <c r="I648" s="64"/>
    </row>
    <row r="649" spans="1:9">
      <c r="A649" s="59"/>
      <c r="B649" s="99"/>
      <c r="C649" s="2"/>
      <c r="D649" s="100"/>
      <c r="E649" s="63"/>
      <c r="F649" s="64"/>
      <c r="G649" s="65"/>
      <c r="H649" s="98"/>
      <c r="I649" s="64"/>
    </row>
    <row r="650" spans="1:9">
      <c r="A650" s="59"/>
      <c r="B650" s="99"/>
      <c r="C650" s="2"/>
      <c r="D650" s="100"/>
      <c r="E650" s="63"/>
      <c r="F650" s="64"/>
      <c r="G650" s="65"/>
      <c r="H650" s="98"/>
      <c r="I650" s="64"/>
    </row>
    <row r="651" spans="1:9">
      <c r="A651" s="59"/>
      <c r="B651" s="99"/>
      <c r="C651" s="2"/>
      <c r="D651" s="100"/>
      <c r="E651" s="63"/>
      <c r="F651" s="64"/>
      <c r="G651" s="65"/>
      <c r="H651" s="98"/>
      <c r="I651" s="64"/>
    </row>
    <row r="652" spans="1:9">
      <c r="A652" s="59"/>
      <c r="B652" s="99"/>
      <c r="C652" s="2"/>
      <c r="D652" s="100"/>
      <c r="E652" s="63"/>
      <c r="F652" s="64"/>
      <c r="G652" s="65"/>
      <c r="H652" s="98"/>
      <c r="I652" s="64"/>
    </row>
    <row r="653" spans="1:9">
      <c r="A653" s="59"/>
      <c r="B653" s="99"/>
      <c r="C653" s="2"/>
      <c r="D653" s="100"/>
      <c r="E653" s="63"/>
      <c r="F653" s="64"/>
      <c r="G653" s="65"/>
      <c r="H653" s="98"/>
      <c r="I653" s="64"/>
    </row>
    <row r="654" spans="1:9">
      <c r="A654" s="59"/>
      <c r="B654" s="99"/>
      <c r="C654" s="2"/>
      <c r="D654" s="100"/>
      <c r="E654" s="63"/>
      <c r="F654" s="64"/>
      <c r="G654" s="65"/>
      <c r="H654" s="98"/>
      <c r="I654" s="64"/>
    </row>
    <row r="655" spans="1:9">
      <c r="A655" s="59"/>
      <c r="B655" s="99"/>
      <c r="C655" s="2"/>
      <c r="D655" s="100"/>
      <c r="E655" s="63"/>
      <c r="F655" s="64"/>
      <c r="G655" s="65"/>
      <c r="H655" s="98"/>
      <c r="I655" s="64"/>
    </row>
    <row r="656" spans="1:9">
      <c r="A656" s="59"/>
      <c r="B656" s="99"/>
      <c r="C656" s="2"/>
      <c r="D656" s="100"/>
      <c r="E656" s="63"/>
      <c r="F656" s="64"/>
      <c r="G656" s="65"/>
      <c r="H656" s="98"/>
      <c r="I656" s="64"/>
    </row>
    <row r="657" spans="1:9">
      <c r="A657" s="59"/>
      <c r="B657" s="99"/>
      <c r="C657" s="2"/>
      <c r="D657" s="100"/>
      <c r="E657" s="63"/>
      <c r="F657" s="64"/>
      <c r="G657" s="65"/>
      <c r="H657" s="98"/>
      <c r="I657" s="64"/>
    </row>
    <row r="658" spans="1:9">
      <c r="A658" s="59"/>
      <c r="B658" s="99"/>
      <c r="C658" s="2"/>
      <c r="D658" s="100"/>
      <c r="E658" s="63"/>
      <c r="F658" s="64"/>
      <c r="G658" s="65"/>
      <c r="H658" s="98"/>
      <c r="I658" s="64"/>
    </row>
    <row r="659" spans="1:9">
      <c r="A659" s="59"/>
      <c r="B659" s="99"/>
      <c r="C659" s="2"/>
      <c r="D659" s="100"/>
      <c r="E659" s="63"/>
      <c r="F659" s="64"/>
      <c r="G659" s="65"/>
      <c r="H659" s="98"/>
      <c r="I659" s="64"/>
    </row>
    <row r="660" spans="1:9">
      <c r="A660" s="59"/>
      <c r="B660" s="99"/>
      <c r="C660" s="2"/>
      <c r="D660" s="100"/>
      <c r="E660" s="63"/>
      <c r="F660" s="64"/>
      <c r="G660" s="65"/>
      <c r="H660" s="98"/>
      <c r="I660" s="64"/>
    </row>
    <row r="661" spans="1:9">
      <c r="A661" s="59"/>
      <c r="B661" s="99"/>
      <c r="C661" s="2"/>
      <c r="D661" s="100"/>
      <c r="E661" s="63"/>
      <c r="F661" s="64"/>
      <c r="G661" s="65"/>
      <c r="H661" s="98"/>
      <c r="I661" s="64"/>
    </row>
    <row r="662" spans="1:9">
      <c r="A662" s="59"/>
      <c r="B662" s="99"/>
      <c r="C662" s="2"/>
      <c r="D662" s="100"/>
      <c r="E662" s="63"/>
      <c r="F662" s="64"/>
      <c r="G662" s="65"/>
      <c r="H662" s="98"/>
      <c r="I662" s="64"/>
    </row>
    <row r="663" spans="1:9">
      <c r="A663" s="59"/>
      <c r="B663" s="99"/>
      <c r="C663" s="2"/>
      <c r="D663" s="100"/>
      <c r="E663" s="63"/>
      <c r="F663" s="64"/>
      <c r="G663" s="65"/>
      <c r="H663" s="98"/>
      <c r="I663" s="64"/>
    </row>
    <row r="664" spans="1:9">
      <c r="A664" s="59"/>
      <c r="B664" s="99"/>
      <c r="C664" s="2"/>
      <c r="D664" s="100"/>
      <c r="E664" s="63"/>
      <c r="F664" s="64"/>
      <c r="G664" s="65"/>
      <c r="H664" s="98"/>
      <c r="I664" s="64"/>
    </row>
    <row r="665" spans="1:9">
      <c r="A665" s="59"/>
      <c r="B665" s="99"/>
      <c r="C665" s="2"/>
      <c r="D665" s="100"/>
      <c r="E665" s="63"/>
      <c r="F665" s="64"/>
      <c r="G665" s="65"/>
      <c r="H665" s="98"/>
      <c r="I665" s="64"/>
    </row>
    <row r="666" spans="1:9">
      <c r="A666" s="59"/>
      <c r="B666" s="99"/>
      <c r="C666" s="2"/>
      <c r="D666" s="100"/>
      <c r="E666" s="63"/>
      <c r="F666" s="64"/>
      <c r="G666" s="65"/>
      <c r="H666" s="98"/>
      <c r="I666" s="64"/>
    </row>
    <row r="667" spans="1:9">
      <c r="A667" s="59"/>
      <c r="B667" s="99"/>
      <c r="C667" s="2"/>
      <c r="D667" s="100"/>
      <c r="E667" s="63"/>
      <c r="F667" s="64"/>
      <c r="G667" s="65"/>
      <c r="H667" s="98"/>
      <c r="I667" s="64"/>
    </row>
    <row r="668" spans="1:9">
      <c r="A668" s="59"/>
      <c r="B668" s="99"/>
      <c r="C668" s="2"/>
      <c r="D668" s="100"/>
      <c r="E668" s="63"/>
      <c r="F668" s="64"/>
      <c r="G668" s="65"/>
      <c r="H668" s="98"/>
      <c r="I668" s="64"/>
    </row>
    <row r="669" spans="1:9">
      <c r="A669" s="59"/>
      <c r="B669" s="99"/>
      <c r="C669" s="2"/>
      <c r="D669" s="100"/>
      <c r="E669" s="63"/>
      <c r="F669" s="64"/>
      <c r="G669" s="65"/>
      <c r="H669" s="98"/>
      <c r="I669" s="64"/>
    </row>
    <row r="670" spans="1:9">
      <c r="A670" s="59"/>
      <c r="B670" s="99"/>
      <c r="C670" s="2"/>
      <c r="D670" s="100"/>
      <c r="E670" s="63"/>
      <c r="F670" s="64"/>
      <c r="G670" s="65"/>
      <c r="H670" s="98"/>
      <c r="I670" s="64"/>
    </row>
    <row r="671" spans="1:9">
      <c r="A671" s="59"/>
      <c r="B671" s="99"/>
      <c r="C671" s="2"/>
      <c r="D671" s="100"/>
      <c r="E671" s="63"/>
      <c r="F671" s="64"/>
      <c r="G671" s="65"/>
      <c r="H671" s="98"/>
      <c r="I671" s="64"/>
    </row>
    <row r="672" spans="1:9">
      <c r="A672" s="59"/>
      <c r="B672" s="99"/>
      <c r="C672" s="2"/>
      <c r="D672" s="100"/>
      <c r="E672" s="63"/>
      <c r="F672" s="64"/>
      <c r="G672" s="65"/>
      <c r="H672" s="98"/>
      <c r="I672" s="64"/>
    </row>
    <row r="673" spans="1:9">
      <c r="A673" s="59"/>
      <c r="B673" s="99"/>
      <c r="C673" s="2"/>
      <c r="D673" s="100"/>
      <c r="E673" s="63"/>
      <c r="F673" s="64"/>
      <c r="G673" s="65"/>
      <c r="H673" s="98"/>
      <c r="I673" s="64"/>
    </row>
    <row r="674" spans="1:9">
      <c r="A674" s="59"/>
      <c r="B674" s="99"/>
      <c r="C674" s="2"/>
      <c r="D674" s="100"/>
      <c r="E674" s="63"/>
      <c r="F674" s="64"/>
      <c r="G674" s="65"/>
      <c r="H674" s="98"/>
      <c r="I674" s="64"/>
    </row>
    <row r="675" spans="1:9">
      <c r="A675" s="59"/>
      <c r="B675" s="99"/>
      <c r="C675" s="2"/>
      <c r="D675" s="100"/>
      <c r="E675" s="63"/>
      <c r="F675" s="64"/>
      <c r="G675" s="65"/>
      <c r="H675" s="98"/>
      <c r="I675" s="64"/>
    </row>
    <row r="676" spans="1:9">
      <c r="A676" s="59"/>
      <c r="B676" s="99"/>
      <c r="C676" s="2"/>
      <c r="D676" s="100"/>
      <c r="E676" s="63"/>
      <c r="F676" s="64"/>
      <c r="G676" s="65"/>
      <c r="H676" s="98"/>
      <c r="I676" s="64"/>
    </row>
    <row r="677" spans="1:9">
      <c r="A677" s="59"/>
      <c r="B677" s="99"/>
      <c r="C677" s="2"/>
      <c r="D677" s="100"/>
      <c r="E677" s="63"/>
      <c r="F677" s="64"/>
      <c r="G677" s="65"/>
      <c r="H677" s="98"/>
      <c r="I677" s="64"/>
    </row>
    <row r="678" spans="1:9">
      <c r="A678" s="59"/>
      <c r="B678" s="99"/>
      <c r="C678" s="2"/>
      <c r="D678" s="100"/>
      <c r="E678" s="63"/>
      <c r="F678" s="64"/>
      <c r="G678" s="65"/>
      <c r="H678" s="98"/>
      <c r="I678" s="64"/>
    </row>
    <row r="679" spans="1:9">
      <c r="A679" s="59"/>
      <c r="B679" s="99"/>
      <c r="C679" s="2"/>
      <c r="D679" s="100"/>
      <c r="E679" s="63"/>
      <c r="F679" s="64"/>
      <c r="G679" s="65"/>
      <c r="H679" s="98"/>
      <c r="I679" s="64"/>
    </row>
    <row r="680" spans="1:9">
      <c r="A680" s="59"/>
      <c r="B680" s="99"/>
      <c r="C680" s="2"/>
      <c r="D680" s="100"/>
      <c r="E680" s="63"/>
      <c r="F680" s="64"/>
      <c r="G680" s="65"/>
      <c r="H680" s="98"/>
      <c r="I680" s="64"/>
    </row>
    <row r="681" spans="1:9">
      <c r="A681" s="59"/>
      <c r="B681" s="99"/>
      <c r="C681" s="2"/>
      <c r="D681" s="100"/>
      <c r="E681" s="63"/>
      <c r="F681" s="64"/>
      <c r="G681" s="65"/>
      <c r="H681" s="98"/>
      <c r="I681" s="64"/>
    </row>
    <row r="682" spans="1:9">
      <c r="A682" s="59"/>
      <c r="B682" s="99"/>
      <c r="C682" s="2"/>
      <c r="D682" s="100"/>
      <c r="E682" s="63"/>
      <c r="F682" s="64"/>
      <c r="G682" s="65"/>
      <c r="H682" s="98"/>
      <c r="I682" s="64"/>
    </row>
    <row r="683" spans="1:9">
      <c r="A683" s="59"/>
      <c r="B683" s="99"/>
      <c r="C683" s="2"/>
      <c r="D683" s="100"/>
      <c r="E683" s="63"/>
      <c r="F683" s="64"/>
      <c r="G683" s="65"/>
      <c r="H683" s="98"/>
      <c r="I683" s="64"/>
    </row>
    <row r="684" spans="1:9">
      <c r="A684" s="59"/>
      <c r="B684" s="99"/>
      <c r="C684" s="2"/>
      <c r="D684" s="100"/>
      <c r="E684" s="63"/>
      <c r="F684" s="64"/>
      <c r="G684" s="65"/>
      <c r="H684" s="98"/>
      <c r="I684" s="64"/>
    </row>
    <row r="685" spans="1:9">
      <c r="A685" s="59"/>
      <c r="B685" s="99"/>
      <c r="C685" s="2"/>
      <c r="D685" s="100"/>
      <c r="E685" s="63"/>
      <c r="F685" s="64"/>
      <c r="G685" s="65"/>
      <c r="H685" s="98"/>
      <c r="I685" s="64"/>
    </row>
    <row r="686" spans="1:9">
      <c r="A686" s="59"/>
      <c r="B686" s="99"/>
      <c r="C686" s="2"/>
      <c r="D686" s="100"/>
      <c r="E686" s="63"/>
      <c r="F686" s="64"/>
      <c r="G686" s="65"/>
      <c r="H686" s="98"/>
      <c r="I686" s="64"/>
    </row>
    <row r="687" spans="1:9">
      <c r="A687" s="59"/>
      <c r="B687" s="99"/>
      <c r="C687" s="2"/>
      <c r="D687" s="100"/>
      <c r="E687" s="63"/>
      <c r="F687" s="64"/>
      <c r="G687" s="65"/>
      <c r="H687" s="98"/>
      <c r="I687" s="64"/>
    </row>
    <row r="688" spans="1:9">
      <c r="A688" s="59"/>
      <c r="B688" s="99"/>
      <c r="C688" s="2"/>
      <c r="D688" s="100"/>
      <c r="E688" s="63"/>
      <c r="F688" s="64"/>
      <c r="G688" s="65"/>
      <c r="H688" s="98"/>
      <c r="I688" s="64"/>
    </row>
    <row r="689" spans="1:9">
      <c r="A689" s="59"/>
      <c r="B689" s="99"/>
      <c r="C689" s="2"/>
      <c r="D689" s="100"/>
      <c r="E689" s="63"/>
      <c r="F689" s="64"/>
      <c r="G689" s="65"/>
      <c r="H689" s="98"/>
      <c r="I689" s="64"/>
    </row>
    <row r="690" spans="1:9">
      <c r="A690" s="59"/>
      <c r="B690" s="99"/>
      <c r="C690" s="2"/>
      <c r="D690" s="100"/>
      <c r="E690" s="63"/>
      <c r="F690" s="64"/>
      <c r="G690" s="65"/>
      <c r="H690" s="98"/>
      <c r="I690" s="64"/>
    </row>
    <row r="691" spans="1:9">
      <c r="A691" s="59"/>
      <c r="B691" s="99"/>
      <c r="C691" s="2"/>
      <c r="D691" s="100"/>
      <c r="E691" s="63"/>
      <c r="F691" s="64"/>
      <c r="G691" s="65"/>
      <c r="H691" s="98"/>
      <c r="I691" s="64"/>
    </row>
    <row r="692" spans="1:9">
      <c r="A692" s="59"/>
      <c r="B692" s="99"/>
      <c r="C692" s="2"/>
      <c r="D692" s="100"/>
      <c r="E692" s="63"/>
      <c r="F692" s="64"/>
      <c r="G692" s="65"/>
      <c r="H692" s="98"/>
      <c r="I692" s="64"/>
    </row>
    <row r="693" spans="1:9">
      <c r="A693" s="59"/>
      <c r="B693" s="99"/>
      <c r="C693" s="2"/>
      <c r="D693" s="100"/>
      <c r="E693" s="63"/>
      <c r="F693" s="64"/>
      <c r="G693" s="65"/>
      <c r="H693" s="98"/>
      <c r="I693" s="64"/>
    </row>
    <row r="694" spans="1:9">
      <c r="A694" s="59"/>
      <c r="B694" s="99"/>
      <c r="C694" s="2"/>
      <c r="D694" s="100"/>
      <c r="E694" s="63"/>
      <c r="F694" s="64"/>
      <c r="G694" s="65"/>
      <c r="H694" s="98"/>
      <c r="I694" s="64"/>
    </row>
    <row r="695" spans="1:9">
      <c r="A695" s="59"/>
      <c r="B695" s="99"/>
      <c r="C695" s="2"/>
      <c r="D695" s="100"/>
      <c r="E695" s="63"/>
      <c r="F695" s="64"/>
      <c r="G695" s="65"/>
      <c r="H695" s="98"/>
      <c r="I695" s="64"/>
    </row>
    <row r="696" spans="1:9">
      <c r="A696" s="59"/>
      <c r="B696" s="99"/>
      <c r="C696" s="2"/>
      <c r="D696" s="100"/>
      <c r="E696" s="63"/>
      <c r="F696" s="64"/>
      <c r="G696" s="65"/>
      <c r="H696" s="98"/>
      <c r="I696" s="64"/>
    </row>
    <row r="697" spans="1:9">
      <c r="A697" s="59"/>
      <c r="B697" s="99"/>
      <c r="C697" s="2"/>
      <c r="D697" s="100"/>
      <c r="E697" s="63"/>
      <c r="F697" s="64"/>
      <c r="G697" s="65"/>
      <c r="H697" s="98"/>
      <c r="I697" s="64"/>
    </row>
    <row r="698" spans="1:9">
      <c r="A698" s="59"/>
      <c r="B698" s="99"/>
      <c r="C698" s="2"/>
      <c r="D698" s="100"/>
      <c r="E698" s="63"/>
      <c r="F698" s="64"/>
      <c r="G698" s="65"/>
      <c r="H698" s="98"/>
      <c r="I698" s="64"/>
    </row>
    <row r="699" spans="1:9">
      <c r="A699" s="59"/>
      <c r="B699" s="99"/>
      <c r="C699" s="2"/>
      <c r="D699" s="100"/>
      <c r="E699" s="63"/>
      <c r="F699" s="64"/>
      <c r="G699" s="65"/>
      <c r="H699" s="98"/>
      <c r="I699" s="64"/>
    </row>
    <row r="700" spans="1:9">
      <c r="A700" s="59"/>
      <c r="B700" s="99"/>
      <c r="C700" s="2"/>
      <c r="D700" s="100"/>
      <c r="E700" s="63"/>
      <c r="F700" s="64"/>
      <c r="G700" s="65"/>
      <c r="H700" s="98"/>
      <c r="I700" s="64"/>
    </row>
    <row r="701" spans="1:9">
      <c r="A701" s="59"/>
      <c r="B701" s="99"/>
      <c r="C701" s="2"/>
      <c r="D701" s="100"/>
      <c r="E701" s="63"/>
      <c r="F701" s="64"/>
      <c r="G701" s="65"/>
      <c r="H701" s="98"/>
      <c r="I701" s="64"/>
    </row>
    <row r="702" spans="1:9">
      <c r="A702" s="59"/>
      <c r="B702" s="99"/>
      <c r="C702" s="2"/>
      <c r="D702" s="100"/>
      <c r="E702" s="63"/>
      <c r="F702" s="64"/>
      <c r="G702" s="65"/>
      <c r="H702" s="98"/>
      <c r="I702" s="64"/>
    </row>
    <row r="703" spans="1:9">
      <c r="A703" s="59"/>
      <c r="B703" s="99"/>
      <c r="C703" s="2"/>
      <c r="D703" s="100"/>
      <c r="E703" s="63"/>
      <c r="F703" s="64"/>
      <c r="G703" s="65"/>
      <c r="H703" s="98"/>
      <c r="I703" s="64"/>
    </row>
    <row r="704" spans="1:9">
      <c r="A704" s="59"/>
      <c r="B704" s="99"/>
      <c r="C704" s="2"/>
      <c r="D704" s="100"/>
      <c r="E704" s="63"/>
      <c r="F704" s="64"/>
      <c r="G704" s="65"/>
      <c r="H704" s="98"/>
      <c r="I704" s="64"/>
    </row>
    <row r="705" spans="1:9">
      <c r="A705" s="59"/>
      <c r="B705" s="99"/>
      <c r="C705" s="2"/>
      <c r="D705" s="100"/>
      <c r="E705" s="63"/>
      <c r="F705" s="64"/>
      <c r="G705" s="65"/>
      <c r="H705" s="98"/>
      <c r="I705" s="64"/>
    </row>
    <row r="706" spans="1:9">
      <c r="A706" s="59"/>
      <c r="B706" s="99"/>
      <c r="C706" s="2"/>
      <c r="D706" s="100"/>
      <c r="E706" s="63"/>
      <c r="F706" s="64"/>
      <c r="G706" s="65"/>
      <c r="H706" s="98"/>
      <c r="I706" s="64"/>
    </row>
    <row r="707" spans="1:9">
      <c r="A707" s="59"/>
      <c r="B707" s="99"/>
      <c r="C707" s="2"/>
      <c r="D707" s="100"/>
      <c r="E707" s="63"/>
      <c r="F707" s="64"/>
      <c r="G707" s="65"/>
      <c r="H707" s="98"/>
      <c r="I707" s="64"/>
    </row>
    <row r="708" spans="1:9">
      <c r="A708" s="59"/>
      <c r="B708" s="99"/>
      <c r="C708" s="2"/>
      <c r="D708" s="100"/>
      <c r="E708" s="63"/>
      <c r="F708" s="64"/>
      <c r="G708" s="65"/>
      <c r="H708" s="98"/>
      <c r="I708" s="64"/>
    </row>
    <row r="709" spans="1:9">
      <c r="A709" s="59"/>
      <c r="B709" s="99"/>
      <c r="C709" s="2"/>
      <c r="D709" s="100"/>
      <c r="E709" s="63"/>
      <c r="F709" s="64"/>
      <c r="G709" s="65"/>
      <c r="H709" s="98"/>
      <c r="I709" s="64"/>
    </row>
    <row r="710" spans="1:9">
      <c r="A710" s="59"/>
      <c r="B710" s="99"/>
      <c r="C710" s="2"/>
      <c r="D710" s="100"/>
      <c r="E710" s="63"/>
      <c r="F710" s="64"/>
      <c r="G710" s="65"/>
      <c r="H710" s="98"/>
      <c r="I710" s="64"/>
    </row>
    <row r="711" spans="1:9">
      <c r="A711" s="59"/>
      <c r="B711" s="99"/>
      <c r="C711" s="2"/>
      <c r="D711" s="100"/>
      <c r="E711" s="63"/>
      <c r="F711" s="64"/>
      <c r="G711" s="65"/>
      <c r="H711" s="98"/>
      <c r="I711" s="64"/>
    </row>
    <row r="712" spans="1:9">
      <c r="A712" s="59"/>
      <c r="B712" s="99"/>
      <c r="C712" s="2"/>
      <c r="D712" s="100"/>
      <c r="E712" s="63"/>
      <c r="F712" s="64"/>
      <c r="G712" s="65"/>
      <c r="H712" s="98"/>
      <c r="I712" s="64"/>
    </row>
    <row r="713" spans="1:9">
      <c r="A713" s="59"/>
      <c r="B713" s="99"/>
      <c r="C713" s="2"/>
      <c r="D713" s="100"/>
      <c r="E713" s="63"/>
      <c r="F713" s="64"/>
      <c r="G713" s="65"/>
      <c r="H713" s="98"/>
      <c r="I713" s="64"/>
    </row>
    <row r="714" spans="1:9">
      <c r="A714" s="59"/>
      <c r="B714" s="99"/>
      <c r="C714" s="2"/>
      <c r="D714" s="100"/>
      <c r="E714" s="63"/>
      <c r="F714" s="64"/>
      <c r="G714" s="65"/>
      <c r="H714" s="98"/>
      <c r="I714" s="64"/>
    </row>
    <row r="715" spans="1:9">
      <c r="A715" s="59"/>
      <c r="B715" s="99"/>
      <c r="C715" s="2"/>
      <c r="D715" s="100"/>
      <c r="E715" s="63"/>
      <c r="F715" s="64"/>
      <c r="G715" s="65"/>
      <c r="H715" s="98"/>
      <c r="I715" s="64"/>
    </row>
    <row r="716" spans="1:9">
      <c r="A716" s="59"/>
      <c r="B716" s="99"/>
      <c r="C716" s="2"/>
      <c r="D716" s="100"/>
      <c r="E716" s="63"/>
      <c r="F716" s="64"/>
      <c r="G716" s="65"/>
      <c r="H716" s="98"/>
      <c r="I716" s="64"/>
    </row>
    <row r="717" spans="1:9">
      <c r="A717" s="59"/>
      <c r="B717" s="99"/>
      <c r="C717" s="2"/>
      <c r="D717" s="100"/>
      <c r="E717" s="63"/>
      <c r="F717" s="64"/>
      <c r="G717" s="65"/>
      <c r="H717" s="98"/>
      <c r="I717" s="64"/>
    </row>
    <row r="718" spans="1:9">
      <c r="A718" s="59"/>
      <c r="B718" s="99"/>
      <c r="C718" s="2"/>
      <c r="D718" s="100"/>
      <c r="E718" s="63"/>
      <c r="F718" s="64"/>
      <c r="G718" s="65"/>
      <c r="H718" s="98"/>
      <c r="I718" s="64"/>
    </row>
    <row r="719" spans="1:9">
      <c r="A719" s="59"/>
      <c r="B719" s="99"/>
      <c r="C719" s="2"/>
      <c r="D719" s="100"/>
      <c r="E719" s="63"/>
      <c r="F719" s="64"/>
      <c r="G719" s="65"/>
      <c r="H719" s="98"/>
      <c r="I719" s="64"/>
    </row>
    <row r="720" spans="1:9">
      <c r="A720" s="59"/>
      <c r="B720" s="99"/>
      <c r="C720" s="2"/>
      <c r="D720" s="100"/>
      <c r="E720" s="63"/>
      <c r="F720" s="64"/>
      <c r="G720" s="65"/>
      <c r="H720" s="98"/>
      <c r="I720" s="64"/>
    </row>
    <row r="721" spans="1:9">
      <c r="A721" s="59"/>
      <c r="B721" s="99"/>
      <c r="C721" s="2"/>
      <c r="D721" s="100"/>
      <c r="E721" s="63"/>
      <c r="F721" s="64"/>
      <c r="G721" s="65"/>
      <c r="H721" s="98"/>
      <c r="I721" s="64"/>
    </row>
    <row r="722" spans="1:9">
      <c r="A722" s="59"/>
      <c r="B722" s="99"/>
      <c r="C722" s="2"/>
      <c r="D722" s="100"/>
      <c r="E722" s="63"/>
      <c r="F722" s="64"/>
      <c r="G722" s="65"/>
      <c r="H722" s="98"/>
      <c r="I722" s="64"/>
    </row>
    <row r="723" spans="1:9">
      <c r="A723" s="59"/>
      <c r="B723" s="99"/>
      <c r="C723" s="2"/>
      <c r="D723" s="100"/>
      <c r="E723" s="63"/>
      <c r="F723" s="64"/>
      <c r="G723" s="65"/>
      <c r="H723" s="98"/>
      <c r="I723" s="64"/>
    </row>
    <row r="724" spans="1:9">
      <c r="A724" s="59"/>
      <c r="B724" s="99"/>
      <c r="C724" s="2"/>
      <c r="D724" s="100"/>
      <c r="E724" s="63"/>
      <c r="F724" s="64"/>
      <c r="G724" s="65"/>
      <c r="H724" s="98"/>
      <c r="I724" s="64"/>
    </row>
    <row r="725" spans="1:9">
      <c r="A725" s="59"/>
      <c r="B725" s="99"/>
      <c r="C725" s="2"/>
      <c r="D725" s="100"/>
      <c r="E725" s="63"/>
      <c r="F725" s="64"/>
      <c r="G725" s="65"/>
      <c r="H725" s="98"/>
      <c r="I725" s="64"/>
    </row>
    <row r="726" spans="1:9">
      <c r="A726" s="59"/>
      <c r="B726" s="99"/>
      <c r="C726" s="2"/>
      <c r="D726" s="100"/>
      <c r="E726" s="63"/>
      <c r="F726" s="64"/>
      <c r="G726" s="65"/>
      <c r="H726" s="98"/>
      <c r="I726" s="64"/>
    </row>
    <row r="727" spans="1:9">
      <c r="A727" s="59"/>
      <c r="B727" s="99"/>
      <c r="C727" s="2"/>
      <c r="D727" s="100"/>
      <c r="E727" s="63"/>
      <c r="F727" s="64"/>
      <c r="G727" s="65"/>
      <c r="H727" s="98"/>
      <c r="I727" s="64"/>
    </row>
    <row r="728" spans="1:9">
      <c r="A728" s="59"/>
      <c r="B728" s="99"/>
      <c r="C728" s="2"/>
      <c r="D728" s="100"/>
      <c r="E728" s="63"/>
      <c r="F728" s="64"/>
      <c r="G728" s="65"/>
      <c r="H728" s="98"/>
      <c r="I728" s="64"/>
    </row>
    <row r="729" spans="1:9">
      <c r="A729" s="59"/>
      <c r="B729" s="99"/>
      <c r="C729" s="2"/>
      <c r="D729" s="100"/>
      <c r="E729" s="63"/>
      <c r="F729" s="64"/>
      <c r="G729" s="65"/>
      <c r="H729" s="98"/>
      <c r="I729" s="64"/>
    </row>
    <row r="730" spans="1:9">
      <c r="A730" s="59"/>
      <c r="B730" s="99"/>
      <c r="C730" s="2"/>
      <c r="D730" s="100"/>
      <c r="E730" s="63"/>
      <c r="F730" s="64"/>
      <c r="G730" s="65"/>
      <c r="H730" s="98"/>
      <c r="I730" s="64"/>
    </row>
    <row r="731" spans="1:9">
      <c r="A731" s="59"/>
      <c r="B731" s="99"/>
      <c r="C731" s="2"/>
      <c r="D731" s="100"/>
      <c r="E731" s="63"/>
      <c r="F731" s="64"/>
      <c r="G731" s="65"/>
      <c r="H731" s="98"/>
      <c r="I731" s="64"/>
    </row>
    <row r="732" spans="1:9">
      <c r="A732" s="59"/>
      <c r="B732" s="99"/>
      <c r="C732" s="2"/>
      <c r="D732" s="100"/>
      <c r="E732" s="63"/>
      <c r="F732" s="64"/>
      <c r="G732" s="65"/>
      <c r="H732" s="98"/>
      <c r="I732" s="64"/>
    </row>
    <row r="733" spans="1:9">
      <c r="A733" s="59"/>
      <c r="B733" s="99"/>
      <c r="C733" s="2"/>
      <c r="D733" s="100"/>
      <c r="E733" s="63"/>
      <c r="F733" s="64"/>
      <c r="G733" s="65"/>
      <c r="H733" s="98"/>
      <c r="I733" s="64"/>
    </row>
    <row r="734" spans="1:9">
      <c r="A734" s="59"/>
      <c r="B734" s="99"/>
      <c r="C734" s="2"/>
      <c r="D734" s="100"/>
      <c r="E734" s="63"/>
      <c r="F734" s="64"/>
      <c r="G734" s="65"/>
      <c r="H734" s="98"/>
      <c r="I734" s="64"/>
    </row>
    <row r="735" spans="1:9">
      <c r="A735" s="59"/>
      <c r="B735" s="99"/>
      <c r="C735" s="2"/>
      <c r="D735" s="100"/>
      <c r="E735" s="63"/>
      <c r="F735" s="64"/>
      <c r="G735" s="65"/>
      <c r="H735" s="98"/>
      <c r="I735" s="64"/>
    </row>
    <row r="736" spans="1:9">
      <c r="A736" s="59"/>
      <c r="B736" s="99"/>
      <c r="C736" s="2"/>
      <c r="D736" s="100"/>
      <c r="E736" s="63"/>
      <c r="F736" s="64"/>
      <c r="G736" s="65"/>
      <c r="H736" s="98"/>
      <c r="I736" s="64"/>
    </row>
    <row r="737" spans="1:9">
      <c r="A737" s="59"/>
      <c r="B737" s="99"/>
      <c r="C737" s="2"/>
      <c r="D737" s="100"/>
      <c r="E737" s="63"/>
      <c r="F737" s="64"/>
      <c r="G737" s="65"/>
      <c r="H737" s="98"/>
      <c r="I737" s="64"/>
    </row>
    <row r="738" spans="1:9">
      <c r="A738" s="59"/>
      <c r="B738" s="99"/>
      <c r="C738" s="2"/>
      <c r="D738" s="100"/>
      <c r="E738" s="63"/>
      <c r="F738" s="64"/>
      <c r="G738" s="65"/>
      <c r="H738" s="98"/>
      <c r="I738" s="64"/>
    </row>
    <row r="739" spans="1:9">
      <c r="A739" s="59"/>
      <c r="B739" s="99"/>
      <c r="C739" s="2"/>
      <c r="D739" s="100"/>
      <c r="E739" s="63"/>
      <c r="F739" s="64"/>
      <c r="G739" s="65"/>
      <c r="H739" s="98"/>
      <c r="I739" s="64"/>
    </row>
    <row r="740" spans="1:9">
      <c r="A740" s="59"/>
      <c r="B740" s="99"/>
      <c r="C740" s="2"/>
      <c r="D740" s="100"/>
      <c r="E740" s="63"/>
      <c r="F740" s="64"/>
      <c r="G740" s="65"/>
      <c r="H740" s="98"/>
      <c r="I740" s="64"/>
    </row>
    <row r="741" spans="1:9">
      <c r="A741" s="59"/>
      <c r="B741" s="99"/>
      <c r="C741" s="2"/>
      <c r="D741" s="100"/>
      <c r="E741" s="63"/>
      <c r="F741" s="64"/>
      <c r="G741" s="65"/>
      <c r="H741" s="98"/>
      <c r="I741" s="64"/>
    </row>
    <row r="742" spans="1:9">
      <c r="A742" s="59"/>
      <c r="B742" s="99"/>
      <c r="C742" s="2"/>
      <c r="D742" s="100"/>
      <c r="E742" s="63"/>
      <c r="F742" s="64"/>
      <c r="G742" s="65"/>
      <c r="H742" s="98"/>
      <c r="I742" s="64"/>
    </row>
    <row r="743" spans="1:9">
      <c r="A743" s="59"/>
      <c r="B743" s="99"/>
      <c r="C743" s="2"/>
      <c r="D743" s="100"/>
      <c r="E743" s="63"/>
      <c r="F743" s="64"/>
      <c r="G743" s="65"/>
      <c r="H743" s="98"/>
      <c r="I743" s="64"/>
    </row>
    <row r="744" spans="1:9">
      <c r="A744" s="59"/>
      <c r="B744" s="99"/>
      <c r="C744" s="2"/>
      <c r="D744" s="100"/>
      <c r="E744" s="63"/>
      <c r="F744" s="64"/>
      <c r="G744" s="65"/>
      <c r="H744" s="98"/>
      <c r="I744" s="64"/>
    </row>
    <row r="745" spans="1:9">
      <c r="A745" s="59"/>
      <c r="B745" s="99"/>
      <c r="C745" s="2"/>
      <c r="D745" s="100"/>
      <c r="E745" s="63"/>
      <c r="F745" s="64"/>
      <c r="G745" s="65"/>
      <c r="H745" s="98"/>
      <c r="I745" s="64"/>
    </row>
    <row r="746" spans="1:9">
      <c r="A746" s="59"/>
      <c r="B746" s="99"/>
      <c r="C746" s="2"/>
      <c r="D746" s="100"/>
      <c r="E746" s="63"/>
      <c r="F746" s="64"/>
      <c r="G746" s="65"/>
      <c r="H746" s="98"/>
      <c r="I746" s="64"/>
    </row>
    <row r="747" spans="1:9">
      <c r="A747" s="59"/>
      <c r="B747" s="99"/>
      <c r="C747" s="2"/>
      <c r="D747" s="100"/>
      <c r="E747" s="63"/>
      <c r="F747" s="64"/>
      <c r="G747" s="65"/>
      <c r="H747" s="98"/>
      <c r="I747" s="64"/>
    </row>
    <row r="748" spans="1:9">
      <c r="A748" s="59"/>
      <c r="B748" s="99"/>
      <c r="C748" s="2"/>
      <c r="D748" s="100"/>
      <c r="E748" s="63"/>
      <c r="F748" s="64"/>
      <c r="G748" s="65"/>
      <c r="H748" s="98"/>
      <c r="I748" s="64"/>
    </row>
    <row r="749" spans="1:9">
      <c r="A749" s="59"/>
      <c r="B749" s="99"/>
      <c r="C749" s="2"/>
      <c r="D749" s="100"/>
      <c r="E749" s="63"/>
      <c r="F749" s="64"/>
      <c r="G749" s="65"/>
      <c r="H749" s="98"/>
      <c r="I749" s="64"/>
    </row>
    <row r="750" spans="1:9">
      <c r="A750" s="59"/>
      <c r="B750" s="99"/>
      <c r="C750" s="2"/>
      <c r="D750" s="100"/>
      <c r="E750" s="63"/>
      <c r="F750" s="64"/>
      <c r="G750" s="65"/>
      <c r="H750" s="98"/>
      <c r="I750" s="64"/>
    </row>
    <row r="751" spans="1:9">
      <c r="A751" s="59"/>
      <c r="B751" s="99"/>
      <c r="C751" s="2"/>
      <c r="D751" s="100"/>
      <c r="E751" s="63"/>
      <c r="F751" s="64"/>
      <c r="G751" s="65"/>
      <c r="H751" s="98"/>
      <c r="I751" s="64"/>
    </row>
    <row r="752" spans="1:9">
      <c r="A752" s="59"/>
      <c r="B752" s="99"/>
      <c r="C752" s="2"/>
      <c r="D752" s="100"/>
      <c r="E752" s="63"/>
      <c r="F752" s="64"/>
      <c r="G752" s="65"/>
      <c r="H752" s="98"/>
      <c r="I752" s="64"/>
    </row>
    <row r="753" spans="1:9">
      <c r="A753" s="59"/>
      <c r="B753" s="99"/>
      <c r="C753" s="2"/>
      <c r="D753" s="100"/>
      <c r="E753" s="63"/>
      <c r="F753" s="64"/>
      <c r="G753" s="65"/>
      <c r="H753" s="98"/>
      <c r="I753" s="64"/>
    </row>
    <row r="754" spans="1:9">
      <c r="A754" s="59"/>
      <c r="B754" s="99"/>
      <c r="C754" s="2"/>
      <c r="D754" s="100"/>
      <c r="E754" s="63"/>
      <c r="F754" s="64"/>
      <c r="G754" s="65"/>
      <c r="H754" s="98"/>
      <c r="I754" s="64"/>
    </row>
    <row r="755" spans="1:9">
      <c r="A755" s="59"/>
      <c r="B755" s="99"/>
      <c r="C755" s="2"/>
      <c r="D755" s="100"/>
      <c r="E755" s="63"/>
      <c r="F755" s="64"/>
      <c r="G755" s="65"/>
      <c r="H755" s="98"/>
      <c r="I755" s="64"/>
    </row>
    <row r="756" spans="1:9">
      <c r="A756" s="59"/>
      <c r="B756" s="99"/>
      <c r="C756" s="2"/>
      <c r="D756" s="100"/>
      <c r="E756" s="63"/>
      <c r="F756" s="64"/>
      <c r="G756" s="65"/>
      <c r="H756" s="98"/>
      <c r="I756" s="64"/>
    </row>
    <row r="757" spans="1:9">
      <c r="A757" s="59"/>
      <c r="B757" s="99"/>
      <c r="C757" s="2"/>
      <c r="D757" s="100"/>
      <c r="E757" s="63"/>
      <c r="F757" s="64"/>
      <c r="G757" s="65"/>
      <c r="H757" s="98"/>
      <c r="I757" s="64"/>
    </row>
    <row r="758" spans="1:9">
      <c r="A758" s="59"/>
      <c r="B758" s="99"/>
      <c r="C758" s="2"/>
      <c r="D758" s="100"/>
      <c r="E758" s="63"/>
      <c r="F758" s="64"/>
      <c r="G758" s="65"/>
      <c r="H758" s="98"/>
      <c r="I758" s="64"/>
    </row>
    <row r="759" spans="1:9">
      <c r="A759" s="59"/>
      <c r="B759" s="99"/>
      <c r="C759" s="2"/>
      <c r="D759" s="100"/>
      <c r="E759" s="63"/>
      <c r="F759" s="64"/>
      <c r="G759" s="65"/>
      <c r="H759" s="98"/>
      <c r="I759" s="64"/>
    </row>
    <row r="760" spans="1:9">
      <c r="A760" s="59"/>
      <c r="B760" s="99"/>
      <c r="C760" s="2"/>
      <c r="D760" s="100"/>
      <c r="E760" s="63"/>
      <c r="F760" s="64"/>
      <c r="G760" s="65"/>
      <c r="H760" s="98"/>
      <c r="I760" s="64"/>
    </row>
    <row r="761" spans="1:9">
      <c r="A761" s="59"/>
      <c r="B761" s="99"/>
      <c r="C761" s="2"/>
      <c r="D761" s="100"/>
      <c r="E761" s="63"/>
      <c r="F761" s="64"/>
      <c r="G761" s="65"/>
      <c r="H761" s="98"/>
      <c r="I761" s="64"/>
    </row>
    <row r="762" spans="1:9">
      <c r="A762" s="59"/>
      <c r="B762" s="99"/>
      <c r="C762" s="2"/>
      <c r="D762" s="100"/>
      <c r="E762" s="63"/>
      <c r="F762" s="64"/>
      <c r="G762" s="65"/>
      <c r="H762" s="98"/>
      <c r="I762" s="64"/>
    </row>
    <row r="763" spans="1:9">
      <c r="A763" s="59"/>
      <c r="B763" s="99"/>
      <c r="C763" s="2"/>
      <c r="D763" s="100"/>
      <c r="E763" s="63"/>
      <c r="F763" s="64"/>
      <c r="G763" s="65"/>
      <c r="H763" s="98"/>
      <c r="I763" s="64"/>
    </row>
    <row r="764" spans="1:9">
      <c r="A764" s="59"/>
      <c r="B764" s="99"/>
      <c r="C764" s="2"/>
      <c r="D764" s="100"/>
      <c r="E764" s="63"/>
      <c r="F764" s="64"/>
      <c r="G764" s="65"/>
      <c r="H764" s="98"/>
      <c r="I764" s="64"/>
    </row>
    <row r="765" spans="1:9">
      <c r="A765" s="59"/>
      <c r="B765" s="99"/>
      <c r="C765" s="2"/>
      <c r="D765" s="100"/>
      <c r="E765" s="63"/>
      <c r="F765" s="64"/>
      <c r="G765" s="65"/>
      <c r="H765" s="98"/>
      <c r="I765" s="64"/>
    </row>
    <row r="766" spans="1:9">
      <c r="A766" s="59"/>
      <c r="B766" s="99"/>
      <c r="C766" s="2"/>
      <c r="D766" s="100"/>
      <c r="E766" s="63"/>
      <c r="F766" s="64"/>
      <c r="G766" s="65"/>
      <c r="H766" s="98"/>
      <c r="I766" s="64"/>
    </row>
    <row r="767" spans="1:9">
      <c r="A767" s="59"/>
      <c r="B767" s="99"/>
      <c r="C767" s="2"/>
      <c r="D767" s="100"/>
      <c r="E767" s="63"/>
      <c r="F767" s="64"/>
      <c r="G767" s="65"/>
      <c r="H767" s="98"/>
      <c r="I767" s="64"/>
    </row>
    <row r="768" spans="1:9">
      <c r="A768" s="59"/>
      <c r="B768" s="99"/>
      <c r="C768" s="2"/>
      <c r="D768" s="100"/>
      <c r="E768" s="63"/>
      <c r="F768" s="64"/>
      <c r="G768" s="65"/>
      <c r="H768" s="98"/>
      <c r="I768" s="64"/>
    </row>
    <row r="769" spans="1:9">
      <c r="A769" s="59"/>
      <c r="B769" s="99"/>
      <c r="C769" s="2"/>
      <c r="D769" s="100"/>
      <c r="E769" s="63"/>
      <c r="F769" s="64"/>
      <c r="G769" s="65"/>
      <c r="H769" s="98"/>
      <c r="I769" s="64"/>
    </row>
    <row r="770" spans="1:9">
      <c r="A770" s="59"/>
      <c r="B770" s="99"/>
      <c r="C770" s="2"/>
      <c r="D770" s="100"/>
      <c r="E770" s="63"/>
      <c r="F770" s="64"/>
      <c r="G770" s="65"/>
      <c r="H770" s="98"/>
      <c r="I770" s="64"/>
    </row>
    <row r="771" spans="1:9">
      <c r="A771" s="59"/>
      <c r="B771" s="99"/>
      <c r="C771" s="2"/>
      <c r="D771" s="100"/>
      <c r="E771" s="63"/>
      <c r="F771" s="64"/>
      <c r="G771" s="65"/>
      <c r="H771" s="98"/>
      <c r="I771" s="64"/>
    </row>
    <row r="772" spans="1:9">
      <c r="A772" s="59"/>
      <c r="B772" s="99"/>
      <c r="C772" s="2"/>
      <c r="D772" s="100"/>
      <c r="E772" s="63"/>
      <c r="F772" s="64"/>
      <c r="G772" s="65"/>
      <c r="H772" s="98"/>
      <c r="I772" s="64"/>
    </row>
    <row r="773" spans="1:9">
      <c r="A773" s="59"/>
      <c r="B773" s="99"/>
      <c r="C773" s="2"/>
      <c r="D773" s="100"/>
      <c r="E773" s="63"/>
      <c r="F773" s="64"/>
      <c r="G773" s="65"/>
      <c r="H773" s="98"/>
      <c r="I773" s="64"/>
    </row>
    <row r="774" spans="1:9">
      <c r="A774" s="59"/>
      <c r="B774" s="99"/>
      <c r="C774" s="2"/>
      <c r="D774" s="100"/>
      <c r="E774" s="63"/>
      <c r="F774" s="64"/>
      <c r="G774" s="65"/>
      <c r="H774" s="98"/>
      <c r="I774" s="64"/>
    </row>
    <row r="775" spans="1:9">
      <c r="A775" s="59"/>
      <c r="B775" s="99"/>
      <c r="C775" s="2"/>
      <c r="D775" s="100"/>
      <c r="E775" s="63"/>
      <c r="F775" s="64"/>
      <c r="G775" s="65"/>
      <c r="H775" s="98"/>
      <c r="I775" s="64"/>
    </row>
    <row r="776" spans="1:9">
      <c r="A776" s="59"/>
      <c r="B776" s="99"/>
      <c r="C776" s="2"/>
      <c r="D776" s="100"/>
      <c r="E776" s="63"/>
      <c r="F776" s="64"/>
      <c r="G776" s="65"/>
      <c r="H776" s="98"/>
      <c r="I776" s="64"/>
    </row>
    <row r="777" spans="1:9">
      <c r="A777" s="59"/>
      <c r="B777" s="99"/>
      <c r="C777" s="2"/>
      <c r="D777" s="100"/>
      <c r="E777" s="63"/>
      <c r="F777" s="64"/>
      <c r="G777" s="65"/>
      <c r="H777" s="98"/>
      <c r="I777" s="64"/>
    </row>
    <row r="778" spans="1:9">
      <c r="A778" s="59"/>
      <c r="B778" s="99"/>
      <c r="C778" s="2"/>
      <c r="D778" s="100"/>
      <c r="E778" s="63"/>
      <c r="F778" s="64"/>
      <c r="G778" s="65"/>
      <c r="H778" s="98"/>
      <c r="I778" s="64"/>
    </row>
    <row r="779" spans="1:9">
      <c r="A779" s="59"/>
      <c r="B779" s="99"/>
      <c r="C779" s="2"/>
      <c r="D779" s="100"/>
      <c r="E779" s="63"/>
      <c r="F779" s="64"/>
      <c r="G779" s="65"/>
      <c r="H779" s="98"/>
      <c r="I779" s="64"/>
    </row>
    <row r="780" spans="1:9">
      <c r="A780" s="59"/>
      <c r="B780" s="99"/>
      <c r="C780" s="2"/>
      <c r="D780" s="100"/>
      <c r="E780" s="63"/>
      <c r="F780" s="64"/>
      <c r="G780" s="65"/>
      <c r="H780" s="98"/>
      <c r="I780" s="64"/>
    </row>
    <row r="781" spans="1:9">
      <c r="A781" s="59"/>
      <c r="B781" s="99"/>
      <c r="C781" s="2"/>
      <c r="D781" s="100"/>
      <c r="E781" s="63"/>
      <c r="F781" s="64"/>
      <c r="G781" s="65"/>
      <c r="H781" s="98"/>
      <c r="I781" s="64"/>
    </row>
    <row r="782" spans="1:9">
      <c r="A782" s="59"/>
      <c r="B782" s="99"/>
      <c r="C782" s="2"/>
      <c r="D782" s="100"/>
      <c r="E782" s="63"/>
      <c r="F782" s="64"/>
      <c r="G782" s="65"/>
      <c r="H782" s="98"/>
      <c r="I782" s="64"/>
    </row>
    <row r="783" spans="1:9">
      <c r="A783" s="59"/>
      <c r="B783" s="99"/>
      <c r="C783" s="2"/>
      <c r="D783" s="100"/>
      <c r="E783" s="63"/>
      <c r="F783" s="64"/>
      <c r="G783" s="65"/>
      <c r="H783" s="98"/>
      <c r="I783" s="64"/>
    </row>
    <row r="784" spans="1:9">
      <c r="A784" s="59"/>
      <c r="B784" s="99"/>
      <c r="C784" s="2"/>
      <c r="D784" s="100"/>
      <c r="E784" s="63"/>
      <c r="F784" s="64"/>
      <c r="G784" s="65"/>
      <c r="H784" s="98"/>
      <c r="I784" s="64"/>
    </row>
    <row r="785" spans="1:9">
      <c r="A785" s="59"/>
      <c r="B785" s="99"/>
      <c r="C785" s="2"/>
      <c r="D785" s="100"/>
      <c r="E785" s="63"/>
      <c r="F785" s="64"/>
      <c r="G785" s="65"/>
      <c r="H785" s="98"/>
      <c r="I785" s="64"/>
    </row>
    <row r="786" spans="1:9">
      <c r="A786" s="59"/>
      <c r="B786" s="99"/>
      <c r="C786" s="2"/>
      <c r="D786" s="100"/>
      <c r="E786" s="63"/>
      <c r="F786" s="64"/>
      <c r="G786" s="65"/>
      <c r="H786" s="98"/>
      <c r="I786" s="64"/>
    </row>
    <row r="787" spans="1:9">
      <c r="A787" s="59"/>
      <c r="B787" s="99"/>
      <c r="C787" s="2"/>
      <c r="D787" s="100"/>
      <c r="E787" s="63"/>
      <c r="F787" s="64"/>
      <c r="G787" s="65"/>
      <c r="H787" s="98"/>
      <c r="I787" s="64"/>
    </row>
    <row r="788" spans="1:9">
      <c r="A788" s="59"/>
      <c r="B788" s="99"/>
      <c r="C788" s="2"/>
      <c r="D788" s="100"/>
      <c r="E788" s="63"/>
      <c r="F788" s="64"/>
      <c r="G788" s="65"/>
      <c r="H788" s="98"/>
      <c r="I788" s="64"/>
    </row>
    <row r="789" spans="1:9">
      <c r="A789" s="59"/>
      <c r="B789" s="99"/>
      <c r="C789" s="2"/>
      <c r="D789" s="100"/>
      <c r="E789" s="63"/>
      <c r="F789" s="64"/>
      <c r="G789" s="65"/>
      <c r="H789" s="98"/>
      <c r="I789" s="64"/>
    </row>
    <row r="790" spans="1:9">
      <c r="A790" s="59"/>
      <c r="B790" s="99"/>
      <c r="C790" s="2"/>
      <c r="D790" s="100"/>
      <c r="E790" s="63"/>
      <c r="F790" s="64"/>
      <c r="G790" s="65"/>
      <c r="H790" s="98"/>
      <c r="I790" s="64"/>
    </row>
    <row r="791" spans="1:9">
      <c r="A791" s="59"/>
      <c r="B791" s="99"/>
      <c r="C791" s="2"/>
      <c r="D791" s="100"/>
      <c r="E791" s="63"/>
      <c r="F791" s="64"/>
      <c r="G791" s="65"/>
      <c r="H791" s="98"/>
      <c r="I791" s="64"/>
    </row>
    <row r="792" spans="1:9">
      <c r="A792" s="59"/>
      <c r="B792" s="99"/>
      <c r="C792" s="2"/>
      <c r="D792" s="100"/>
      <c r="E792" s="63"/>
      <c r="F792" s="64"/>
      <c r="G792" s="65"/>
      <c r="H792" s="98"/>
      <c r="I792" s="64"/>
    </row>
    <row r="793" spans="1:9">
      <c r="A793" s="59"/>
      <c r="B793" s="99"/>
      <c r="C793" s="2"/>
      <c r="D793" s="100"/>
      <c r="E793" s="63"/>
      <c r="F793" s="64"/>
      <c r="G793" s="65"/>
      <c r="H793" s="98"/>
      <c r="I793" s="64"/>
    </row>
    <row r="794" spans="1:9">
      <c r="A794" s="59"/>
      <c r="B794" s="99"/>
      <c r="C794" s="2"/>
      <c r="D794" s="100"/>
      <c r="E794" s="63"/>
      <c r="F794" s="64"/>
      <c r="G794" s="65"/>
      <c r="H794" s="98"/>
      <c r="I794" s="64"/>
    </row>
    <row r="795" spans="1:9">
      <c r="A795" s="59"/>
      <c r="B795" s="99"/>
      <c r="C795" s="2"/>
      <c r="D795" s="100"/>
      <c r="E795" s="63"/>
      <c r="F795" s="64"/>
      <c r="G795" s="65"/>
      <c r="H795" s="98"/>
      <c r="I795" s="64"/>
    </row>
    <row r="796" spans="1:9">
      <c r="A796" s="59"/>
      <c r="B796" s="99"/>
      <c r="C796" s="2"/>
      <c r="D796" s="100"/>
      <c r="E796" s="63"/>
      <c r="F796" s="64"/>
      <c r="G796" s="65"/>
      <c r="H796" s="98"/>
      <c r="I796" s="64"/>
    </row>
    <row r="797" spans="1:9">
      <c r="A797" s="59"/>
      <c r="B797" s="99"/>
      <c r="C797" s="2"/>
      <c r="D797" s="100"/>
      <c r="E797" s="63"/>
      <c r="F797" s="64"/>
      <c r="G797" s="65"/>
      <c r="H797" s="98"/>
      <c r="I797" s="64"/>
    </row>
    <row r="798" spans="1:9">
      <c r="A798" s="59"/>
      <c r="B798" s="99"/>
      <c r="C798" s="2"/>
      <c r="D798" s="100"/>
      <c r="E798" s="63"/>
      <c r="F798" s="64"/>
      <c r="G798" s="65"/>
      <c r="H798" s="98"/>
      <c r="I798" s="64"/>
    </row>
    <row r="799" spans="1:9">
      <c r="A799" s="59"/>
      <c r="B799" s="99"/>
      <c r="C799" s="2"/>
      <c r="D799" s="100"/>
      <c r="E799" s="63"/>
      <c r="F799" s="64"/>
      <c r="G799" s="65"/>
      <c r="H799" s="98"/>
      <c r="I799" s="64"/>
    </row>
    <row r="800" spans="1:9">
      <c r="A800" s="59"/>
      <c r="B800" s="99"/>
      <c r="C800" s="2"/>
      <c r="D800" s="100"/>
      <c r="E800" s="63"/>
      <c r="F800" s="64"/>
      <c r="G800" s="65"/>
      <c r="H800" s="98"/>
      <c r="I800" s="64"/>
    </row>
    <row r="801" spans="1:9">
      <c r="A801" s="59"/>
      <c r="B801" s="99"/>
      <c r="C801" s="2"/>
      <c r="D801" s="100"/>
      <c r="E801" s="63"/>
      <c r="F801" s="64"/>
      <c r="G801" s="65"/>
      <c r="H801" s="98"/>
      <c r="I801" s="64"/>
    </row>
    <row r="802" spans="1:9">
      <c r="A802" s="59"/>
      <c r="B802" s="99"/>
      <c r="C802" s="2"/>
      <c r="D802" s="100"/>
      <c r="E802" s="63"/>
      <c r="F802" s="64"/>
      <c r="G802" s="65"/>
      <c r="H802" s="98"/>
      <c r="I802" s="64"/>
    </row>
    <row r="803" spans="1:9">
      <c r="A803" s="59"/>
      <c r="B803" s="99"/>
      <c r="C803" s="2"/>
      <c r="D803" s="100"/>
      <c r="E803" s="63"/>
      <c r="F803" s="64"/>
      <c r="G803" s="65"/>
      <c r="H803" s="98"/>
      <c r="I803" s="64"/>
    </row>
    <row r="804" spans="1:9">
      <c r="A804" s="59"/>
      <c r="B804" s="99"/>
      <c r="C804" s="2"/>
      <c r="D804" s="100"/>
      <c r="E804" s="63"/>
      <c r="F804" s="64"/>
      <c r="G804" s="65"/>
      <c r="H804" s="98"/>
      <c r="I804" s="64"/>
    </row>
    <row r="805" spans="1:9">
      <c r="A805" s="59"/>
      <c r="B805" s="99"/>
      <c r="C805" s="2"/>
      <c r="D805" s="100"/>
      <c r="E805" s="63"/>
      <c r="F805" s="64"/>
      <c r="G805" s="65"/>
      <c r="H805" s="98"/>
      <c r="I805" s="64"/>
    </row>
    <row r="806" spans="1:9">
      <c r="A806" s="59"/>
      <c r="B806" s="99"/>
      <c r="C806" s="2"/>
      <c r="D806" s="100"/>
      <c r="E806" s="63"/>
      <c r="F806" s="64"/>
      <c r="G806" s="65"/>
      <c r="H806" s="98"/>
      <c r="I806" s="64"/>
    </row>
    <row r="807" spans="1:9">
      <c r="A807" s="59"/>
      <c r="B807" s="99"/>
      <c r="C807" s="2"/>
      <c r="D807" s="100"/>
      <c r="E807" s="63"/>
      <c r="F807" s="64"/>
      <c r="G807" s="65"/>
      <c r="H807" s="98"/>
      <c r="I807" s="64"/>
    </row>
    <row r="808" spans="1:9">
      <c r="A808" s="59"/>
      <c r="B808" s="99"/>
      <c r="C808" s="2"/>
      <c r="D808" s="100"/>
      <c r="E808" s="63"/>
      <c r="F808" s="64"/>
      <c r="G808" s="65"/>
      <c r="H808" s="98"/>
      <c r="I808" s="64"/>
    </row>
    <row r="809" spans="1:9">
      <c r="A809" s="59"/>
      <c r="B809" s="99"/>
      <c r="C809" s="2"/>
      <c r="D809" s="100"/>
      <c r="E809" s="63"/>
      <c r="F809" s="64"/>
      <c r="G809" s="65"/>
      <c r="H809" s="98"/>
      <c r="I809" s="64"/>
    </row>
    <row r="810" spans="1:9">
      <c r="A810" s="59"/>
      <c r="B810" s="99"/>
      <c r="C810" s="2"/>
      <c r="D810" s="100"/>
      <c r="E810" s="63"/>
      <c r="F810" s="64"/>
      <c r="G810" s="65"/>
      <c r="H810" s="98"/>
      <c r="I810" s="64"/>
    </row>
    <row r="811" spans="1:9">
      <c r="A811" s="59"/>
      <c r="B811" s="99"/>
      <c r="C811" s="2"/>
      <c r="D811" s="100"/>
      <c r="E811" s="63"/>
      <c r="F811" s="64"/>
      <c r="G811" s="65"/>
      <c r="H811" s="98"/>
      <c r="I811" s="64"/>
    </row>
    <row r="812" spans="1:9">
      <c r="A812" s="59"/>
      <c r="B812" s="99"/>
      <c r="C812" s="2"/>
      <c r="D812" s="100"/>
      <c r="E812" s="63"/>
      <c r="F812" s="64"/>
      <c r="G812" s="65"/>
      <c r="H812" s="98"/>
      <c r="I812" s="64"/>
    </row>
    <row r="813" spans="1:9">
      <c r="A813" s="59"/>
      <c r="B813" s="99"/>
      <c r="C813" s="2"/>
      <c r="D813" s="100"/>
      <c r="E813" s="63"/>
      <c r="F813" s="64"/>
      <c r="G813" s="65"/>
      <c r="H813" s="98"/>
      <c r="I813" s="64"/>
    </row>
    <row r="814" spans="1:9">
      <c r="A814" s="59"/>
      <c r="B814" s="99"/>
      <c r="C814" s="2"/>
      <c r="D814" s="100"/>
      <c r="E814" s="63"/>
      <c r="F814" s="64"/>
      <c r="G814" s="65"/>
      <c r="H814" s="98"/>
      <c r="I814" s="64"/>
    </row>
    <row r="815" spans="1:9">
      <c r="A815" s="59"/>
      <c r="B815" s="99"/>
      <c r="C815" s="2"/>
      <c r="D815" s="100"/>
      <c r="E815" s="63"/>
      <c r="F815" s="64"/>
      <c r="G815" s="65"/>
      <c r="H815" s="98"/>
      <c r="I815" s="64"/>
    </row>
    <row r="816" spans="1:9">
      <c r="A816" s="59"/>
      <c r="B816" s="99"/>
      <c r="C816" s="2"/>
      <c r="D816" s="100"/>
      <c r="E816" s="63"/>
      <c r="F816" s="64"/>
      <c r="G816" s="65"/>
      <c r="H816" s="98"/>
      <c r="I816" s="64"/>
    </row>
    <row r="817" spans="1:9">
      <c r="A817" s="59"/>
      <c r="B817" s="99"/>
      <c r="C817" s="2"/>
      <c r="D817" s="100"/>
      <c r="E817" s="63"/>
      <c r="F817" s="64"/>
      <c r="G817" s="65"/>
      <c r="H817" s="98"/>
      <c r="I817" s="64"/>
    </row>
    <row r="818" spans="1:9">
      <c r="A818" s="59"/>
      <c r="B818" s="99"/>
      <c r="C818" s="2"/>
      <c r="D818" s="100"/>
      <c r="E818" s="63"/>
      <c r="F818" s="64"/>
      <c r="G818" s="65"/>
      <c r="H818" s="98"/>
      <c r="I818" s="64"/>
    </row>
    <row r="819" spans="1:9">
      <c r="A819" s="59"/>
      <c r="B819" s="99"/>
      <c r="C819" s="2"/>
      <c r="D819" s="100"/>
      <c r="E819" s="63"/>
      <c r="F819" s="64"/>
      <c r="G819" s="65"/>
      <c r="H819" s="98"/>
      <c r="I819" s="64"/>
    </row>
    <row r="820" spans="1:9">
      <c r="A820" s="59"/>
      <c r="B820" s="99"/>
      <c r="C820" s="2"/>
      <c r="D820" s="100"/>
      <c r="E820" s="63"/>
      <c r="F820" s="64"/>
      <c r="G820" s="65"/>
      <c r="H820" s="98"/>
      <c r="I820" s="64"/>
    </row>
    <row r="821" spans="1:9">
      <c r="A821" s="59"/>
      <c r="B821" s="99"/>
      <c r="C821" s="2"/>
      <c r="D821" s="100"/>
      <c r="E821" s="63"/>
      <c r="F821" s="64"/>
      <c r="G821" s="65"/>
      <c r="H821" s="98"/>
      <c r="I821" s="64"/>
    </row>
    <row r="822" spans="1:9">
      <c r="A822" s="59"/>
      <c r="B822" s="99"/>
      <c r="C822" s="2"/>
      <c r="D822" s="100"/>
      <c r="E822" s="63"/>
      <c r="F822" s="64"/>
      <c r="G822" s="65"/>
      <c r="H822" s="98"/>
      <c r="I822" s="64"/>
    </row>
    <row r="823" spans="1:9">
      <c r="A823" s="59"/>
      <c r="B823" s="99"/>
      <c r="C823" s="2"/>
      <c r="D823" s="100"/>
      <c r="E823" s="63"/>
      <c r="F823" s="64"/>
      <c r="G823" s="65"/>
      <c r="H823" s="98"/>
      <c r="I823" s="64"/>
    </row>
  </sheetData>
  <mergeCells count="1745">
    <mergeCell ref="O1:O2"/>
    <mergeCell ref="P1:P2"/>
    <mergeCell ref="Q1:Q2"/>
    <mergeCell ref="R1:R2"/>
    <mergeCell ref="S1:S2"/>
    <mergeCell ref="T1:T2"/>
    <mergeCell ref="I1:I2"/>
    <mergeCell ref="J1:J2"/>
    <mergeCell ref="K1:K2"/>
    <mergeCell ref="L1:L2"/>
    <mergeCell ref="M1:M2"/>
    <mergeCell ref="N1:N2"/>
    <mergeCell ref="A1:A2"/>
    <mergeCell ref="B1:B2"/>
    <mergeCell ref="C1:C2"/>
    <mergeCell ref="D1:D2"/>
    <mergeCell ref="E1:E2"/>
    <mergeCell ref="H1:H2"/>
    <mergeCell ref="AG1:AG2"/>
    <mergeCell ref="AH1:AH2"/>
    <mergeCell ref="AI1:AI2"/>
    <mergeCell ref="AJ1:AJ2"/>
    <mergeCell ref="AK1:AK2"/>
    <mergeCell ref="AL1:AL2"/>
    <mergeCell ref="AA1:AA2"/>
    <mergeCell ref="AB1:AB2"/>
    <mergeCell ref="AC1:AC2"/>
    <mergeCell ref="AD1:AD2"/>
    <mergeCell ref="AE1:AE2"/>
    <mergeCell ref="AF1:AF2"/>
    <mergeCell ref="U1:U2"/>
    <mergeCell ref="V1:V2"/>
    <mergeCell ref="W1:W2"/>
    <mergeCell ref="X1:X2"/>
    <mergeCell ref="Y1:Y2"/>
    <mergeCell ref="Z1:Z2"/>
    <mergeCell ref="BH1:BH2"/>
    <mergeCell ref="BI1:BI2"/>
    <mergeCell ref="BJ1:BJ2"/>
    <mergeCell ref="AY1:AY2"/>
    <mergeCell ref="AZ1:AZ2"/>
    <mergeCell ref="BA1:BA2"/>
    <mergeCell ref="BB1:BB2"/>
    <mergeCell ref="BC1:BC2"/>
    <mergeCell ref="BD1:BD2"/>
    <mergeCell ref="AS1:AS2"/>
    <mergeCell ref="AT1:AT2"/>
    <mergeCell ref="AU1:AU2"/>
    <mergeCell ref="AV1:AV2"/>
    <mergeCell ref="AW1:AW2"/>
    <mergeCell ref="AX1:AX2"/>
    <mergeCell ref="AM1:AM2"/>
    <mergeCell ref="AN1:AN2"/>
    <mergeCell ref="AO1:AO2"/>
    <mergeCell ref="AP1:AP2"/>
    <mergeCell ref="AQ1:AQ2"/>
    <mergeCell ref="AR1:AR2"/>
    <mergeCell ref="DF1:DF2"/>
    <mergeCell ref="CI1:CI2"/>
    <mergeCell ref="CJ1:CJ2"/>
    <mergeCell ref="CK1:CK2"/>
    <mergeCell ref="CL1:CL2"/>
    <mergeCell ref="CM1:CM2"/>
    <mergeCell ref="CN1:CN2"/>
    <mergeCell ref="CC1:CC2"/>
    <mergeCell ref="CD1:CD2"/>
    <mergeCell ref="CE1:CE2"/>
    <mergeCell ref="CF1:CF2"/>
    <mergeCell ref="CG1:CG2"/>
    <mergeCell ref="CH1:CH2"/>
    <mergeCell ref="BW1:BW2"/>
    <mergeCell ref="BX1:BX2"/>
    <mergeCell ref="BY1:BY2"/>
    <mergeCell ref="BZ1:BZ2"/>
    <mergeCell ref="CA1:CA2"/>
    <mergeCell ref="CB1:CB2"/>
    <mergeCell ref="CP1:CP2"/>
    <mergeCell ref="CQ1:CQ2"/>
    <mergeCell ref="CR1:CR2"/>
    <mergeCell ref="CS1:CS2"/>
    <mergeCell ref="CT1:CT2"/>
    <mergeCell ref="CU1:CU2"/>
    <mergeCell ref="CV1:CV2"/>
    <mergeCell ref="CW1:CW2"/>
    <mergeCell ref="CX1:CX2"/>
    <mergeCell ref="CY1:CY2"/>
    <mergeCell ref="CZ1:CZ2"/>
    <mergeCell ref="DA1:DA2"/>
    <mergeCell ref="DB1:DB2"/>
    <mergeCell ref="G3:G4"/>
    <mergeCell ref="H3:H4"/>
    <mergeCell ref="A5:A6"/>
    <mergeCell ref="B5:B6"/>
    <mergeCell ref="C5:C6"/>
    <mergeCell ref="D5:D6"/>
    <mergeCell ref="E5:E6"/>
    <mergeCell ref="F5:F6"/>
    <mergeCell ref="G5:G6"/>
    <mergeCell ref="H5:H6"/>
    <mergeCell ref="A3:A4"/>
    <mergeCell ref="B3:B4"/>
    <mergeCell ref="C3:C4"/>
    <mergeCell ref="D3:D4"/>
    <mergeCell ref="E3:E4"/>
    <mergeCell ref="F3:F4"/>
    <mergeCell ref="CO1:CO2"/>
    <mergeCell ref="BQ1:BQ2"/>
    <mergeCell ref="BR1:BR2"/>
    <mergeCell ref="BS1:BS2"/>
    <mergeCell ref="BT1:BT2"/>
    <mergeCell ref="BU1:BU2"/>
    <mergeCell ref="BV1:BV2"/>
    <mergeCell ref="BK1:BK2"/>
    <mergeCell ref="BL1:BL2"/>
    <mergeCell ref="BM1:BM2"/>
    <mergeCell ref="BN1:BN2"/>
    <mergeCell ref="BO1:BO2"/>
    <mergeCell ref="BP1:BP2"/>
    <mergeCell ref="BE1:BE2"/>
    <mergeCell ref="BF1:BF2"/>
    <mergeCell ref="BG1:BG2"/>
    <mergeCell ref="G11:G12"/>
    <mergeCell ref="H11:H12"/>
    <mergeCell ref="A13:A14"/>
    <mergeCell ref="B13:B14"/>
    <mergeCell ref="C13:C14"/>
    <mergeCell ref="D13:D14"/>
    <mergeCell ref="E13:E14"/>
    <mergeCell ref="F13:F14"/>
    <mergeCell ref="G13:G14"/>
    <mergeCell ref="H13:H14"/>
    <mergeCell ref="A11:A12"/>
    <mergeCell ref="B11:B12"/>
    <mergeCell ref="C11:C12"/>
    <mergeCell ref="D11:D12"/>
    <mergeCell ref="E11:E12"/>
    <mergeCell ref="F11:F12"/>
    <mergeCell ref="G7:G8"/>
    <mergeCell ref="H7:H8"/>
    <mergeCell ref="A9:A10"/>
    <mergeCell ref="B9:B10"/>
    <mergeCell ref="C9:C10"/>
    <mergeCell ref="D9:D10"/>
    <mergeCell ref="E9:E10"/>
    <mergeCell ref="F9:F10"/>
    <mergeCell ref="G9:G10"/>
    <mergeCell ref="H9:H10"/>
    <mergeCell ref="A7:A8"/>
    <mergeCell ref="B7:B8"/>
    <mergeCell ref="C7:C8"/>
    <mergeCell ref="D7:D8"/>
    <mergeCell ref="E7:E8"/>
    <mergeCell ref="F7:F8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19:A20"/>
    <mergeCell ref="B19:B20"/>
    <mergeCell ref="C19:C20"/>
    <mergeCell ref="D19:D20"/>
    <mergeCell ref="E19:E20"/>
    <mergeCell ref="F19:F20"/>
    <mergeCell ref="G15:G16"/>
    <mergeCell ref="H15:H16"/>
    <mergeCell ref="A17:A18"/>
    <mergeCell ref="B17:B18"/>
    <mergeCell ref="C17:C18"/>
    <mergeCell ref="D17:D18"/>
    <mergeCell ref="E17:E18"/>
    <mergeCell ref="F17:F18"/>
    <mergeCell ref="G17:G18"/>
    <mergeCell ref="H17:H18"/>
    <mergeCell ref="A15:A16"/>
    <mergeCell ref="B15:B16"/>
    <mergeCell ref="C15:C16"/>
    <mergeCell ref="D15:D16"/>
    <mergeCell ref="E15:E16"/>
    <mergeCell ref="F15:F16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27:A28"/>
    <mergeCell ref="B27:B28"/>
    <mergeCell ref="C27:C28"/>
    <mergeCell ref="D27:D28"/>
    <mergeCell ref="E27:E28"/>
    <mergeCell ref="F27:F28"/>
    <mergeCell ref="G23:G24"/>
    <mergeCell ref="H23:H24"/>
    <mergeCell ref="A25:A26"/>
    <mergeCell ref="B25:B26"/>
    <mergeCell ref="C25:C26"/>
    <mergeCell ref="D25:D26"/>
    <mergeCell ref="E25:E26"/>
    <mergeCell ref="F25:F26"/>
    <mergeCell ref="G25:G26"/>
    <mergeCell ref="H25:H26"/>
    <mergeCell ref="A23:A24"/>
    <mergeCell ref="B23:B24"/>
    <mergeCell ref="C23:C24"/>
    <mergeCell ref="D23:D24"/>
    <mergeCell ref="E23:E24"/>
    <mergeCell ref="F23:F24"/>
    <mergeCell ref="G35:G36"/>
    <mergeCell ref="H35:H36"/>
    <mergeCell ref="A37:A38"/>
    <mergeCell ref="B37:B38"/>
    <mergeCell ref="C37:C38"/>
    <mergeCell ref="D37:D38"/>
    <mergeCell ref="E37:E38"/>
    <mergeCell ref="F37:F38"/>
    <mergeCell ref="G37:G38"/>
    <mergeCell ref="H37:H38"/>
    <mergeCell ref="A35:A36"/>
    <mergeCell ref="B35:B36"/>
    <mergeCell ref="C35:C36"/>
    <mergeCell ref="D35:D36"/>
    <mergeCell ref="E35:E36"/>
    <mergeCell ref="F35:F36"/>
    <mergeCell ref="G31:G32"/>
    <mergeCell ref="H31:H32"/>
    <mergeCell ref="A33:A34"/>
    <mergeCell ref="B33:B34"/>
    <mergeCell ref="C33:C34"/>
    <mergeCell ref="D33:D34"/>
    <mergeCell ref="E33:E34"/>
    <mergeCell ref="F33:F34"/>
    <mergeCell ref="G33:G34"/>
    <mergeCell ref="H33:H34"/>
    <mergeCell ref="A31:A32"/>
    <mergeCell ref="B31:B32"/>
    <mergeCell ref="C31:C32"/>
    <mergeCell ref="D31:D32"/>
    <mergeCell ref="E31:E32"/>
    <mergeCell ref="F31:F32"/>
    <mergeCell ref="G43:G44"/>
    <mergeCell ref="H43:H44"/>
    <mergeCell ref="A45:A46"/>
    <mergeCell ref="B45:B46"/>
    <mergeCell ref="C45:C46"/>
    <mergeCell ref="D45:D46"/>
    <mergeCell ref="E45:E46"/>
    <mergeCell ref="F45:F46"/>
    <mergeCell ref="G45:G46"/>
    <mergeCell ref="H45:H46"/>
    <mergeCell ref="A43:A44"/>
    <mergeCell ref="B43:B44"/>
    <mergeCell ref="C43:C44"/>
    <mergeCell ref="D43:D44"/>
    <mergeCell ref="E43:E44"/>
    <mergeCell ref="F43:F44"/>
    <mergeCell ref="G39:G40"/>
    <mergeCell ref="H39:H40"/>
    <mergeCell ref="A41:A42"/>
    <mergeCell ref="B41:B42"/>
    <mergeCell ref="C41:C42"/>
    <mergeCell ref="D41:D42"/>
    <mergeCell ref="E41:E42"/>
    <mergeCell ref="F41:F42"/>
    <mergeCell ref="G41:G42"/>
    <mergeCell ref="H41:H42"/>
    <mergeCell ref="A39:A40"/>
    <mergeCell ref="B39:B40"/>
    <mergeCell ref="C39:C40"/>
    <mergeCell ref="D39:D40"/>
    <mergeCell ref="E39:E40"/>
    <mergeCell ref="F39:F40"/>
    <mergeCell ref="G51:G52"/>
    <mergeCell ref="H51:H52"/>
    <mergeCell ref="A53:A54"/>
    <mergeCell ref="B53:B54"/>
    <mergeCell ref="C53:C54"/>
    <mergeCell ref="D53:D54"/>
    <mergeCell ref="E53:E54"/>
    <mergeCell ref="F53:F54"/>
    <mergeCell ref="G53:G54"/>
    <mergeCell ref="H53:H54"/>
    <mergeCell ref="A51:A52"/>
    <mergeCell ref="B51:B52"/>
    <mergeCell ref="C51:C52"/>
    <mergeCell ref="D51:D52"/>
    <mergeCell ref="E51:E52"/>
    <mergeCell ref="F51:F52"/>
    <mergeCell ref="G47:G48"/>
    <mergeCell ref="H47:H48"/>
    <mergeCell ref="A49:A50"/>
    <mergeCell ref="B49:B50"/>
    <mergeCell ref="C49:C50"/>
    <mergeCell ref="D49:D50"/>
    <mergeCell ref="E49:E50"/>
    <mergeCell ref="F49:F50"/>
    <mergeCell ref="G49:G50"/>
    <mergeCell ref="H49:H50"/>
    <mergeCell ref="A47:A48"/>
    <mergeCell ref="B47:B48"/>
    <mergeCell ref="C47:C48"/>
    <mergeCell ref="D47:D48"/>
    <mergeCell ref="E47:E48"/>
    <mergeCell ref="F47:F48"/>
    <mergeCell ref="G59:G60"/>
    <mergeCell ref="H59:H60"/>
    <mergeCell ref="A61:A62"/>
    <mergeCell ref="B61:B62"/>
    <mergeCell ref="C61:C62"/>
    <mergeCell ref="D61:D62"/>
    <mergeCell ref="E61:E62"/>
    <mergeCell ref="F61:F62"/>
    <mergeCell ref="G61:G62"/>
    <mergeCell ref="H61:H62"/>
    <mergeCell ref="A59:A60"/>
    <mergeCell ref="B59:B60"/>
    <mergeCell ref="C59:C60"/>
    <mergeCell ref="D59:D60"/>
    <mergeCell ref="E59:E60"/>
    <mergeCell ref="F59:F60"/>
    <mergeCell ref="G55:G56"/>
    <mergeCell ref="H55:H56"/>
    <mergeCell ref="A57:A58"/>
    <mergeCell ref="B57:B58"/>
    <mergeCell ref="C57:C58"/>
    <mergeCell ref="D57:D58"/>
    <mergeCell ref="E57:E58"/>
    <mergeCell ref="F57:F58"/>
    <mergeCell ref="G57:G58"/>
    <mergeCell ref="H57:H58"/>
    <mergeCell ref="A55:A56"/>
    <mergeCell ref="B55:B56"/>
    <mergeCell ref="C55:C56"/>
    <mergeCell ref="D55:D56"/>
    <mergeCell ref="E55:E56"/>
    <mergeCell ref="F55:F56"/>
    <mergeCell ref="G67:G68"/>
    <mergeCell ref="H67:H68"/>
    <mergeCell ref="A69:A70"/>
    <mergeCell ref="B69:B70"/>
    <mergeCell ref="C69:C70"/>
    <mergeCell ref="D69:D70"/>
    <mergeCell ref="E69:E70"/>
    <mergeCell ref="F69:F70"/>
    <mergeCell ref="G69:G70"/>
    <mergeCell ref="H69:H70"/>
    <mergeCell ref="A67:A68"/>
    <mergeCell ref="B67:B68"/>
    <mergeCell ref="C67:C68"/>
    <mergeCell ref="D67:D68"/>
    <mergeCell ref="E67:E68"/>
    <mergeCell ref="F67:F68"/>
    <mergeCell ref="G63:G64"/>
    <mergeCell ref="H63:H64"/>
    <mergeCell ref="A65:A66"/>
    <mergeCell ref="B65:B66"/>
    <mergeCell ref="C65:C66"/>
    <mergeCell ref="D65:D66"/>
    <mergeCell ref="E65:E66"/>
    <mergeCell ref="F65:F66"/>
    <mergeCell ref="G65:G66"/>
    <mergeCell ref="H65:H66"/>
    <mergeCell ref="A63:A64"/>
    <mergeCell ref="B63:B64"/>
    <mergeCell ref="C63:C64"/>
    <mergeCell ref="D63:D64"/>
    <mergeCell ref="E63:E64"/>
    <mergeCell ref="F63:F64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86:A87"/>
    <mergeCell ref="B86:B87"/>
    <mergeCell ref="C86:C87"/>
    <mergeCell ref="D86:D87"/>
    <mergeCell ref="E86:E87"/>
    <mergeCell ref="F86:F87"/>
    <mergeCell ref="G82:G83"/>
    <mergeCell ref="H82:H83"/>
    <mergeCell ref="A84:A85"/>
    <mergeCell ref="B84:B85"/>
    <mergeCell ref="C84:C85"/>
    <mergeCell ref="D84:D85"/>
    <mergeCell ref="E84:E85"/>
    <mergeCell ref="F84:F85"/>
    <mergeCell ref="G84:G85"/>
    <mergeCell ref="H84:H85"/>
    <mergeCell ref="A82:A83"/>
    <mergeCell ref="B82:B83"/>
    <mergeCell ref="C82:C83"/>
    <mergeCell ref="D82:D83"/>
    <mergeCell ref="E82:E83"/>
    <mergeCell ref="F82:F83"/>
    <mergeCell ref="G94:G95"/>
    <mergeCell ref="H94:H95"/>
    <mergeCell ref="A96:A97"/>
    <mergeCell ref="B96:B97"/>
    <mergeCell ref="C96:C97"/>
    <mergeCell ref="D96:D97"/>
    <mergeCell ref="E96:E97"/>
    <mergeCell ref="F96:F97"/>
    <mergeCell ref="G96:G97"/>
    <mergeCell ref="H96:H97"/>
    <mergeCell ref="A94:A95"/>
    <mergeCell ref="B94:B95"/>
    <mergeCell ref="C94:C95"/>
    <mergeCell ref="D94:D95"/>
    <mergeCell ref="E94:E95"/>
    <mergeCell ref="F94:F95"/>
    <mergeCell ref="G90:G91"/>
    <mergeCell ref="H90:H91"/>
    <mergeCell ref="A92:A93"/>
    <mergeCell ref="B92:B93"/>
    <mergeCell ref="C92:C93"/>
    <mergeCell ref="D92:D93"/>
    <mergeCell ref="E92:E93"/>
    <mergeCell ref="F92:F93"/>
    <mergeCell ref="G92:G93"/>
    <mergeCell ref="H92:H93"/>
    <mergeCell ref="A90:A91"/>
    <mergeCell ref="B90:B91"/>
    <mergeCell ref="C90:C91"/>
    <mergeCell ref="D90:D91"/>
    <mergeCell ref="E90:E91"/>
    <mergeCell ref="F90:F91"/>
    <mergeCell ref="G102:G103"/>
    <mergeCell ref="H102:H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A102:A103"/>
    <mergeCell ref="B102:B103"/>
    <mergeCell ref="C102:C103"/>
    <mergeCell ref="D102:D103"/>
    <mergeCell ref="E102:E103"/>
    <mergeCell ref="F102:F103"/>
    <mergeCell ref="G98:G99"/>
    <mergeCell ref="H98:H99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98:A99"/>
    <mergeCell ref="B98:B99"/>
    <mergeCell ref="C98:C99"/>
    <mergeCell ref="D98:D99"/>
    <mergeCell ref="E98:E99"/>
    <mergeCell ref="F98:F99"/>
    <mergeCell ref="G110:G111"/>
    <mergeCell ref="H110:H111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A110:A111"/>
    <mergeCell ref="B110:B111"/>
    <mergeCell ref="C110:C111"/>
    <mergeCell ref="D110:D111"/>
    <mergeCell ref="E110:E111"/>
    <mergeCell ref="F110:F111"/>
    <mergeCell ref="G106:G107"/>
    <mergeCell ref="H106:H107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A106:A107"/>
    <mergeCell ref="B106:B107"/>
    <mergeCell ref="C106:C107"/>
    <mergeCell ref="D106:D107"/>
    <mergeCell ref="E106:E107"/>
    <mergeCell ref="F106:F107"/>
    <mergeCell ref="G118:G119"/>
    <mergeCell ref="H118:H119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18:A119"/>
    <mergeCell ref="B118:B119"/>
    <mergeCell ref="C118:C119"/>
    <mergeCell ref="D118:D119"/>
    <mergeCell ref="E118:E119"/>
    <mergeCell ref="F118:F119"/>
    <mergeCell ref="G114:G115"/>
    <mergeCell ref="H114:H115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A114:A115"/>
    <mergeCell ref="B114:B115"/>
    <mergeCell ref="C114:C115"/>
    <mergeCell ref="D114:D115"/>
    <mergeCell ref="E114:E115"/>
    <mergeCell ref="F114:F115"/>
    <mergeCell ref="G126:G127"/>
    <mergeCell ref="H126:H127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A126:A127"/>
    <mergeCell ref="B126:B127"/>
    <mergeCell ref="C126:C127"/>
    <mergeCell ref="D126:D127"/>
    <mergeCell ref="E126:E127"/>
    <mergeCell ref="F126:F127"/>
    <mergeCell ref="G122:G123"/>
    <mergeCell ref="H122:H123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A122:A123"/>
    <mergeCell ref="B122:B123"/>
    <mergeCell ref="C122:C123"/>
    <mergeCell ref="D122:D123"/>
    <mergeCell ref="E122:E123"/>
    <mergeCell ref="F122:F123"/>
    <mergeCell ref="G134:G135"/>
    <mergeCell ref="H134:H135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A134:A135"/>
    <mergeCell ref="B134:B135"/>
    <mergeCell ref="C134:C135"/>
    <mergeCell ref="D134:D135"/>
    <mergeCell ref="E134:E135"/>
    <mergeCell ref="F134:F135"/>
    <mergeCell ref="G130:G131"/>
    <mergeCell ref="H130:H131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130:A131"/>
    <mergeCell ref="B130:B131"/>
    <mergeCell ref="C130:C131"/>
    <mergeCell ref="D130:D131"/>
    <mergeCell ref="E130:E131"/>
    <mergeCell ref="F130:F131"/>
    <mergeCell ref="G142:G143"/>
    <mergeCell ref="H142:H143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A142:A143"/>
    <mergeCell ref="B142:B143"/>
    <mergeCell ref="C142:C143"/>
    <mergeCell ref="D142:D143"/>
    <mergeCell ref="E142:E143"/>
    <mergeCell ref="F142:F143"/>
    <mergeCell ref="G138:G139"/>
    <mergeCell ref="H138:H139"/>
    <mergeCell ref="A140:A141"/>
    <mergeCell ref="B140:B141"/>
    <mergeCell ref="C140:C141"/>
    <mergeCell ref="D140:D141"/>
    <mergeCell ref="E140:E141"/>
    <mergeCell ref="F140:F141"/>
    <mergeCell ref="G140:G141"/>
    <mergeCell ref="H140:H141"/>
    <mergeCell ref="A138:A139"/>
    <mergeCell ref="B138:B139"/>
    <mergeCell ref="C138:C139"/>
    <mergeCell ref="D138:D139"/>
    <mergeCell ref="E138:E139"/>
    <mergeCell ref="F138:F139"/>
    <mergeCell ref="G150:G151"/>
    <mergeCell ref="H150:H151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A150:A151"/>
    <mergeCell ref="B150:B151"/>
    <mergeCell ref="C150:C151"/>
    <mergeCell ref="D150:D151"/>
    <mergeCell ref="E150:E151"/>
    <mergeCell ref="F150:F151"/>
    <mergeCell ref="G146:G147"/>
    <mergeCell ref="H146:H147"/>
    <mergeCell ref="A148:A149"/>
    <mergeCell ref="B148:B149"/>
    <mergeCell ref="C148:C149"/>
    <mergeCell ref="D148:D149"/>
    <mergeCell ref="E148:E149"/>
    <mergeCell ref="F148:F149"/>
    <mergeCell ref="G148:G149"/>
    <mergeCell ref="H148:H149"/>
    <mergeCell ref="A146:A147"/>
    <mergeCell ref="B146:B147"/>
    <mergeCell ref="C146:C147"/>
    <mergeCell ref="D146:D147"/>
    <mergeCell ref="E146:E147"/>
    <mergeCell ref="F146:F147"/>
    <mergeCell ref="G158:G159"/>
    <mergeCell ref="H158:H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A158:A159"/>
    <mergeCell ref="B158:B159"/>
    <mergeCell ref="C158:C159"/>
    <mergeCell ref="D158:D159"/>
    <mergeCell ref="E158:E159"/>
    <mergeCell ref="F158:F159"/>
    <mergeCell ref="G154:G155"/>
    <mergeCell ref="H154:H155"/>
    <mergeCell ref="A156:A157"/>
    <mergeCell ref="B156:B157"/>
    <mergeCell ref="C156:C157"/>
    <mergeCell ref="D156:D157"/>
    <mergeCell ref="E156:E157"/>
    <mergeCell ref="F156:F157"/>
    <mergeCell ref="G156:G157"/>
    <mergeCell ref="H156:H157"/>
    <mergeCell ref="A154:A155"/>
    <mergeCell ref="B154:B155"/>
    <mergeCell ref="C154:C155"/>
    <mergeCell ref="D154:D155"/>
    <mergeCell ref="E154:E155"/>
    <mergeCell ref="F154:F155"/>
    <mergeCell ref="G177:G178"/>
    <mergeCell ref="H177:H178"/>
    <mergeCell ref="A179:A180"/>
    <mergeCell ref="B179:B180"/>
    <mergeCell ref="C179:C180"/>
    <mergeCell ref="D179:D180"/>
    <mergeCell ref="E179:E180"/>
    <mergeCell ref="F179:F180"/>
    <mergeCell ref="G179:G180"/>
    <mergeCell ref="H179:H180"/>
    <mergeCell ref="A177:A178"/>
    <mergeCell ref="B177:B178"/>
    <mergeCell ref="C177:C178"/>
    <mergeCell ref="D177:D178"/>
    <mergeCell ref="E177:E178"/>
    <mergeCell ref="F177:F178"/>
    <mergeCell ref="G173:G174"/>
    <mergeCell ref="H173:H174"/>
    <mergeCell ref="A175:A176"/>
    <mergeCell ref="B175:B176"/>
    <mergeCell ref="C175:C176"/>
    <mergeCell ref="D175:D176"/>
    <mergeCell ref="E175:E176"/>
    <mergeCell ref="F175:F176"/>
    <mergeCell ref="G175:G176"/>
    <mergeCell ref="H175:H176"/>
    <mergeCell ref="A173:A174"/>
    <mergeCell ref="B173:B174"/>
    <mergeCell ref="C173:C174"/>
    <mergeCell ref="D173:D174"/>
    <mergeCell ref="E173:E174"/>
    <mergeCell ref="F173:F174"/>
    <mergeCell ref="G185:G186"/>
    <mergeCell ref="H185:H186"/>
    <mergeCell ref="A187:A188"/>
    <mergeCell ref="B187:B188"/>
    <mergeCell ref="C187:C188"/>
    <mergeCell ref="D187:D188"/>
    <mergeCell ref="E187:E188"/>
    <mergeCell ref="F187:F188"/>
    <mergeCell ref="G187:G188"/>
    <mergeCell ref="H187:H188"/>
    <mergeCell ref="A185:A186"/>
    <mergeCell ref="B185:B186"/>
    <mergeCell ref="C185:C186"/>
    <mergeCell ref="D185:D186"/>
    <mergeCell ref="E185:E186"/>
    <mergeCell ref="F185:F186"/>
    <mergeCell ref="G181:G182"/>
    <mergeCell ref="H181:H182"/>
    <mergeCell ref="A183:A184"/>
    <mergeCell ref="B183:B184"/>
    <mergeCell ref="C183:C184"/>
    <mergeCell ref="D183:D184"/>
    <mergeCell ref="E183:E184"/>
    <mergeCell ref="F183:F184"/>
    <mergeCell ref="G183:G184"/>
    <mergeCell ref="H183:H184"/>
    <mergeCell ref="A181:A182"/>
    <mergeCell ref="B181:B182"/>
    <mergeCell ref="C181:C182"/>
    <mergeCell ref="D181:D182"/>
    <mergeCell ref="E181:E182"/>
    <mergeCell ref="F181:F182"/>
    <mergeCell ref="G193:G194"/>
    <mergeCell ref="H193:H194"/>
    <mergeCell ref="A195:A196"/>
    <mergeCell ref="B195:B196"/>
    <mergeCell ref="C195:C196"/>
    <mergeCell ref="D195:D196"/>
    <mergeCell ref="E195:E196"/>
    <mergeCell ref="F195:F196"/>
    <mergeCell ref="G195:G196"/>
    <mergeCell ref="H195:H196"/>
    <mergeCell ref="A193:A194"/>
    <mergeCell ref="B193:B194"/>
    <mergeCell ref="C193:C194"/>
    <mergeCell ref="D193:D194"/>
    <mergeCell ref="E193:E194"/>
    <mergeCell ref="F193:F194"/>
    <mergeCell ref="G189:G190"/>
    <mergeCell ref="H189:H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A189:A190"/>
    <mergeCell ref="B189:B190"/>
    <mergeCell ref="C189:C190"/>
    <mergeCell ref="D189:D190"/>
    <mergeCell ref="E189:E190"/>
    <mergeCell ref="F189:F190"/>
    <mergeCell ref="G201:G202"/>
    <mergeCell ref="H201:H202"/>
    <mergeCell ref="A203:A204"/>
    <mergeCell ref="B203:B204"/>
    <mergeCell ref="C203:C204"/>
    <mergeCell ref="D203:D204"/>
    <mergeCell ref="E203:E204"/>
    <mergeCell ref="F203:F204"/>
    <mergeCell ref="G203:G204"/>
    <mergeCell ref="H203:H204"/>
    <mergeCell ref="A201:A202"/>
    <mergeCell ref="B201:B202"/>
    <mergeCell ref="C201:C202"/>
    <mergeCell ref="D201:D202"/>
    <mergeCell ref="E201:E202"/>
    <mergeCell ref="F201:F202"/>
    <mergeCell ref="G197:G198"/>
    <mergeCell ref="H197:H198"/>
    <mergeCell ref="A199:A200"/>
    <mergeCell ref="B199:B200"/>
    <mergeCell ref="C199:C200"/>
    <mergeCell ref="D199:D200"/>
    <mergeCell ref="E199:E200"/>
    <mergeCell ref="F199:F200"/>
    <mergeCell ref="G199:G200"/>
    <mergeCell ref="H199:H200"/>
    <mergeCell ref="A197:A198"/>
    <mergeCell ref="B197:B198"/>
    <mergeCell ref="C197:C198"/>
    <mergeCell ref="D197:D198"/>
    <mergeCell ref="E197:E198"/>
    <mergeCell ref="F197:F198"/>
    <mergeCell ref="G209:G210"/>
    <mergeCell ref="H209:H210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A209:A210"/>
    <mergeCell ref="B209:B210"/>
    <mergeCell ref="C209:C210"/>
    <mergeCell ref="D209:D210"/>
    <mergeCell ref="E209:E210"/>
    <mergeCell ref="F209:F210"/>
    <mergeCell ref="G205:G206"/>
    <mergeCell ref="H205:H206"/>
    <mergeCell ref="A207:A208"/>
    <mergeCell ref="B207:B208"/>
    <mergeCell ref="C207:C208"/>
    <mergeCell ref="D207:D208"/>
    <mergeCell ref="E207:E208"/>
    <mergeCell ref="F207:F208"/>
    <mergeCell ref="G207:G208"/>
    <mergeCell ref="H207:H208"/>
    <mergeCell ref="A205:A206"/>
    <mergeCell ref="B205:B206"/>
    <mergeCell ref="C205:C206"/>
    <mergeCell ref="D205:D206"/>
    <mergeCell ref="E205:E206"/>
    <mergeCell ref="F205:F206"/>
    <mergeCell ref="G217:G218"/>
    <mergeCell ref="H217:H218"/>
    <mergeCell ref="A219:A220"/>
    <mergeCell ref="B219:B220"/>
    <mergeCell ref="C219:C220"/>
    <mergeCell ref="D219:D220"/>
    <mergeCell ref="E219:E220"/>
    <mergeCell ref="F219:F220"/>
    <mergeCell ref="G219:G220"/>
    <mergeCell ref="H219:H220"/>
    <mergeCell ref="A217:A218"/>
    <mergeCell ref="B217:B218"/>
    <mergeCell ref="C217:C218"/>
    <mergeCell ref="D217:D218"/>
    <mergeCell ref="E217:E218"/>
    <mergeCell ref="F217:F218"/>
    <mergeCell ref="G213:G214"/>
    <mergeCell ref="H213:H214"/>
    <mergeCell ref="A215:A216"/>
    <mergeCell ref="B215:B216"/>
    <mergeCell ref="C215:C216"/>
    <mergeCell ref="D215:D216"/>
    <mergeCell ref="E215:E216"/>
    <mergeCell ref="F215:F216"/>
    <mergeCell ref="G215:G216"/>
    <mergeCell ref="H215:H216"/>
    <mergeCell ref="A213:A214"/>
    <mergeCell ref="B213:B214"/>
    <mergeCell ref="C213:C214"/>
    <mergeCell ref="D213:D214"/>
    <mergeCell ref="E213:E214"/>
    <mergeCell ref="F213:F214"/>
    <mergeCell ref="G225:G226"/>
    <mergeCell ref="H225:H226"/>
    <mergeCell ref="A227:A228"/>
    <mergeCell ref="B227:B228"/>
    <mergeCell ref="C227:C228"/>
    <mergeCell ref="D227:D228"/>
    <mergeCell ref="E227:E228"/>
    <mergeCell ref="F227:F228"/>
    <mergeCell ref="G227:G228"/>
    <mergeCell ref="H227:H228"/>
    <mergeCell ref="A225:A226"/>
    <mergeCell ref="B225:B226"/>
    <mergeCell ref="C225:C226"/>
    <mergeCell ref="D225:D226"/>
    <mergeCell ref="E225:E226"/>
    <mergeCell ref="F225:F226"/>
    <mergeCell ref="G221:G222"/>
    <mergeCell ref="H221:H222"/>
    <mergeCell ref="A223:A224"/>
    <mergeCell ref="B223:B224"/>
    <mergeCell ref="C223:C224"/>
    <mergeCell ref="D223:D224"/>
    <mergeCell ref="E223:E224"/>
    <mergeCell ref="F223:F224"/>
    <mergeCell ref="G223:G224"/>
    <mergeCell ref="H223:H224"/>
    <mergeCell ref="A221:A222"/>
    <mergeCell ref="B221:B222"/>
    <mergeCell ref="C221:C222"/>
    <mergeCell ref="D221:D222"/>
    <mergeCell ref="E221:E222"/>
    <mergeCell ref="F221:F222"/>
    <mergeCell ref="G233:G234"/>
    <mergeCell ref="H233:H234"/>
    <mergeCell ref="A235:A236"/>
    <mergeCell ref="B235:B236"/>
    <mergeCell ref="C235:C236"/>
    <mergeCell ref="D235:D236"/>
    <mergeCell ref="E235:E236"/>
    <mergeCell ref="F235:F236"/>
    <mergeCell ref="G235:G236"/>
    <mergeCell ref="H235:H236"/>
    <mergeCell ref="A233:A234"/>
    <mergeCell ref="B233:B234"/>
    <mergeCell ref="C233:C234"/>
    <mergeCell ref="D233:D234"/>
    <mergeCell ref="E233:E234"/>
    <mergeCell ref="F233:F234"/>
    <mergeCell ref="G229:G230"/>
    <mergeCell ref="H229:H230"/>
    <mergeCell ref="A231:A232"/>
    <mergeCell ref="B231:B232"/>
    <mergeCell ref="C231:C232"/>
    <mergeCell ref="D231:D232"/>
    <mergeCell ref="E231:E232"/>
    <mergeCell ref="F231:F232"/>
    <mergeCell ref="G231:G232"/>
    <mergeCell ref="H231:H232"/>
    <mergeCell ref="A229:A230"/>
    <mergeCell ref="B229:B230"/>
    <mergeCell ref="C229:C230"/>
    <mergeCell ref="D229:D230"/>
    <mergeCell ref="E229:E230"/>
    <mergeCell ref="F229:F230"/>
    <mergeCell ref="G241:G242"/>
    <mergeCell ref="H241:H242"/>
    <mergeCell ref="A243:A244"/>
    <mergeCell ref="B243:B244"/>
    <mergeCell ref="C243:C244"/>
    <mergeCell ref="D243:D244"/>
    <mergeCell ref="E243:E244"/>
    <mergeCell ref="F243:F244"/>
    <mergeCell ref="G243:G244"/>
    <mergeCell ref="H243:H244"/>
    <mergeCell ref="A241:A242"/>
    <mergeCell ref="B241:B242"/>
    <mergeCell ref="C241:C242"/>
    <mergeCell ref="D241:D242"/>
    <mergeCell ref="E241:E242"/>
    <mergeCell ref="F241:F242"/>
    <mergeCell ref="G237:G238"/>
    <mergeCell ref="H237:H238"/>
    <mergeCell ref="A239:A240"/>
    <mergeCell ref="B239:B240"/>
    <mergeCell ref="C239:C240"/>
    <mergeCell ref="D239:D240"/>
    <mergeCell ref="E239:E240"/>
    <mergeCell ref="F239:F240"/>
    <mergeCell ref="G239:G240"/>
    <mergeCell ref="H239:H240"/>
    <mergeCell ref="A237:A238"/>
    <mergeCell ref="B237:B238"/>
    <mergeCell ref="C237:C238"/>
    <mergeCell ref="D237:D238"/>
    <mergeCell ref="E237:E238"/>
    <mergeCell ref="F237:F238"/>
    <mergeCell ref="G249:G250"/>
    <mergeCell ref="H249:H250"/>
    <mergeCell ref="A257:A258"/>
    <mergeCell ref="B257:B258"/>
    <mergeCell ref="C257:C258"/>
    <mergeCell ref="D257:D258"/>
    <mergeCell ref="E257:E258"/>
    <mergeCell ref="F257:F258"/>
    <mergeCell ref="G257:G258"/>
    <mergeCell ref="H257:H258"/>
    <mergeCell ref="A249:A250"/>
    <mergeCell ref="B249:B250"/>
    <mergeCell ref="C249:C250"/>
    <mergeCell ref="D249:D250"/>
    <mergeCell ref="E249:E250"/>
    <mergeCell ref="F249:F250"/>
    <mergeCell ref="G245:G246"/>
    <mergeCell ref="H245:H246"/>
    <mergeCell ref="A247:A248"/>
    <mergeCell ref="B247:B248"/>
    <mergeCell ref="C247:C248"/>
    <mergeCell ref="D247:D248"/>
    <mergeCell ref="E247:E248"/>
    <mergeCell ref="F247:F248"/>
    <mergeCell ref="G247:G248"/>
    <mergeCell ref="H247:H248"/>
    <mergeCell ref="A245:A246"/>
    <mergeCell ref="B245:B246"/>
    <mergeCell ref="C245:C246"/>
    <mergeCell ref="D245:D246"/>
    <mergeCell ref="E245:E246"/>
    <mergeCell ref="F245:F246"/>
    <mergeCell ref="G263:G264"/>
    <mergeCell ref="H263:H264"/>
    <mergeCell ref="A265:A266"/>
    <mergeCell ref="B265:B266"/>
    <mergeCell ref="C265:C266"/>
    <mergeCell ref="D265:D266"/>
    <mergeCell ref="E265:E266"/>
    <mergeCell ref="F265:F266"/>
    <mergeCell ref="G265:G266"/>
    <mergeCell ref="H265:H266"/>
    <mergeCell ref="A263:A264"/>
    <mergeCell ref="B263:B264"/>
    <mergeCell ref="C263:C264"/>
    <mergeCell ref="D263:D264"/>
    <mergeCell ref="E263:E264"/>
    <mergeCell ref="F263:F264"/>
    <mergeCell ref="G259:G260"/>
    <mergeCell ref="H259:H260"/>
    <mergeCell ref="A261:A262"/>
    <mergeCell ref="B261:B262"/>
    <mergeCell ref="C261:C262"/>
    <mergeCell ref="D261:D262"/>
    <mergeCell ref="E261:E262"/>
    <mergeCell ref="F261:F262"/>
    <mergeCell ref="G261:G262"/>
    <mergeCell ref="H261:H262"/>
    <mergeCell ref="A259:A260"/>
    <mergeCell ref="B259:B260"/>
    <mergeCell ref="C259:C260"/>
    <mergeCell ref="D259:D260"/>
    <mergeCell ref="E259:E260"/>
    <mergeCell ref="F259:F260"/>
    <mergeCell ref="G271:G272"/>
    <mergeCell ref="H271:H272"/>
    <mergeCell ref="A273:A274"/>
    <mergeCell ref="B273:B274"/>
    <mergeCell ref="C273:C274"/>
    <mergeCell ref="D273:D274"/>
    <mergeCell ref="E273:E274"/>
    <mergeCell ref="F273:F274"/>
    <mergeCell ref="G273:G274"/>
    <mergeCell ref="H273:H274"/>
    <mergeCell ref="A271:A272"/>
    <mergeCell ref="B271:B272"/>
    <mergeCell ref="C271:C272"/>
    <mergeCell ref="D271:D272"/>
    <mergeCell ref="E271:E272"/>
    <mergeCell ref="F271:F272"/>
    <mergeCell ref="G267:G268"/>
    <mergeCell ref="H267:H268"/>
    <mergeCell ref="A269:A270"/>
    <mergeCell ref="B269:B270"/>
    <mergeCell ref="C269:C270"/>
    <mergeCell ref="D269:D270"/>
    <mergeCell ref="E269:E270"/>
    <mergeCell ref="F269:F270"/>
    <mergeCell ref="G269:G270"/>
    <mergeCell ref="H269:H270"/>
    <mergeCell ref="A267:A268"/>
    <mergeCell ref="B267:B268"/>
    <mergeCell ref="C267:C268"/>
    <mergeCell ref="D267:D268"/>
    <mergeCell ref="E267:E268"/>
    <mergeCell ref="F267:F268"/>
    <mergeCell ref="G279:G280"/>
    <mergeCell ref="H279:H280"/>
    <mergeCell ref="A281:A282"/>
    <mergeCell ref="B281:B282"/>
    <mergeCell ref="C281:C282"/>
    <mergeCell ref="D281:D282"/>
    <mergeCell ref="E281:E282"/>
    <mergeCell ref="F281:F282"/>
    <mergeCell ref="G281:G282"/>
    <mergeCell ref="H281:H282"/>
    <mergeCell ref="A279:A280"/>
    <mergeCell ref="B279:B280"/>
    <mergeCell ref="C279:C280"/>
    <mergeCell ref="D279:D280"/>
    <mergeCell ref="E279:E280"/>
    <mergeCell ref="F279:F280"/>
    <mergeCell ref="G275:G276"/>
    <mergeCell ref="H275:H276"/>
    <mergeCell ref="A277:A278"/>
    <mergeCell ref="B277:B278"/>
    <mergeCell ref="C277:C278"/>
    <mergeCell ref="D277:D278"/>
    <mergeCell ref="E277:E278"/>
    <mergeCell ref="F277:F278"/>
    <mergeCell ref="G277:G278"/>
    <mergeCell ref="H277:H278"/>
    <mergeCell ref="A275:A276"/>
    <mergeCell ref="B275:B276"/>
    <mergeCell ref="C275:C276"/>
    <mergeCell ref="D275:D276"/>
    <mergeCell ref="E275:E276"/>
    <mergeCell ref="F275:F276"/>
    <mergeCell ref="G287:G288"/>
    <mergeCell ref="H287:H288"/>
    <mergeCell ref="A289:A290"/>
    <mergeCell ref="B289:B290"/>
    <mergeCell ref="C289:C290"/>
    <mergeCell ref="D289:D290"/>
    <mergeCell ref="E289:E290"/>
    <mergeCell ref="F289:F290"/>
    <mergeCell ref="G289:G290"/>
    <mergeCell ref="H289:H290"/>
    <mergeCell ref="A287:A288"/>
    <mergeCell ref="B287:B288"/>
    <mergeCell ref="C287:C288"/>
    <mergeCell ref="D287:D288"/>
    <mergeCell ref="E287:E288"/>
    <mergeCell ref="F287:F288"/>
    <mergeCell ref="G283:G284"/>
    <mergeCell ref="H283:H284"/>
    <mergeCell ref="A285:A286"/>
    <mergeCell ref="B285:B286"/>
    <mergeCell ref="C285:C286"/>
    <mergeCell ref="D285:D286"/>
    <mergeCell ref="E285:E286"/>
    <mergeCell ref="F285:F286"/>
    <mergeCell ref="G285:G286"/>
    <mergeCell ref="H285:H286"/>
    <mergeCell ref="A283:A284"/>
    <mergeCell ref="B283:B284"/>
    <mergeCell ref="C283:C284"/>
    <mergeCell ref="D283:D284"/>
    <mergeCell ref="E283:E284"/>
    <mergeCell ref="F283:F284"/>
    <mergeCell ref="G297:G298"/>
    <mergeCell ref="H297:H298"/>
    <mergeCell ref="A295:A296"/>
    <mergeCell ref="B295:B296"/>
    <mergeCell ref="C295:C296"/>
    <mergeCell ref="D295:D296"/>
    <mergeCell ref="E295:E296"/>
    <mergeCell ref="F295:F296"/>
    <mergeCell ref="G291:G292"/>
    <mergeCell ref="H291:H292"/>
    <mergeCell ref="A293:A294"/>
    <mergeCell ref="B293:B294"/>
    <mergeCell ref="C293:C294"/>
    <mergeCell ref="D293:D294"/>
    <mergeCell ref="E293:E294"/>
    <mergeCell ref="F293:F294"/>
    <mergeCell ref="G293:G294"/>
    <mergeCell ref="H293:H294"/>
    <mergeCell ref="A291:A292"/>
    <mergeCell ref="B291:B292"/>
    <mergeCell ref="C291:C292"/>
    <mergeCell ref="D291:D292"/>
    <mergeCell ref="E291:E292"/>
    <mergeCell ref="F291:F292"/>
    <mergeCell ref="G326:G327"/>
    <mergeCell ref="H326:H327"/>
    <mergeCell ref="A328:A329"/>
    <mergeCell ref="B328:B329"/>
    <mergeCell ref="C328:C329"/>
    <mergeCell ref="D328:D329"/>
    <mergeCell ref="E328:E329"/>
    <mergeCell ref="F328:F329"/>
    <mergeCell ref="G328:G329"/>
    <mergeCell ref="H328:H329"/>
    <mergeCell ref="A326:A327"/>
    <mergeCell ref="B326:B327"/>
    <mergeCell ref="C326:C327"/>
    <mergeCell ref="D326:D327"/>
    <mergeCell ref="E326:E327"/>
    <mergeCell ref="F326:F327"/>
    <mergeCell ref="G303:G304"/>
    <mergeCell ref="H303:H304"/>
    <mergeCell ref="A324:A325"/>
    <mergeCell ref="B324:B325"/>
    <mergeCell ref="C324:C325"/>
    <mergeCell ref="D324:D325"/>
    <mergeCell ref="E324:E325"/>
    <mergeCell ref="F324:F325"/>
    <mergeCell ref="G324:G325"/>
    <mergeCell ref="H324:H325"/>
    <mergeCell ref="A303:A304"/>
    <mergeCell ref="B303:B304"/>
    <mergeCell ref="C303:C304"/>
    <mergeCell ref="D303:D304"/>
    <mergeCell ref="E303:E304"/>
    <mergeCell ref="F303:F304"/>
    <mergeCell ref="G334:G335"/>
    <mergeCell ref="H334:H335"/>
    <mergeCell ref="A336:A337"/>
    <mergeCell ref="B336:B337"/>
    <mergeCell ref="C336:C337"/>
    <mergeCell ref="D336:D337"/>
    <mergeCell ref="E336:E337"/>
    <mergeCell ref="F336:F337"/>
    <mergeCell ref="G336:G337"/>
    <mergeCell ref="H336:H337"/>
    <mergeCell ref="A334:A335"/>
    <mergeCell ref="B334:B335"/>
    <mergeCell ref="C334:C335"/>
    <mergeCell ref="D334:D335"/>
    <mergeCell ref="E334:E335"/>
    <mergeCell ref="F334:F335"/>
    <mergeCell ref="G330:G331"/>
    <mergeCell ref="H330:H331"/>
    <mergeCell ref="A332:A333"/>
    <mergeCell ref="B332:B333"/>
    <mergeCell ref="C332:C333"/>
    <mergeCell ref="D332:D333"/>
    <mergeCell ref="E332:E333"/>
    <mergeCell ref="F332:F333"/>
    <mergeCell ref="G332:G333"/>
    <mergeCell ref="H332:H333"/>
    <mergeCell ref="A330:A331"/>
    <mergeCell ref="B330:B331"/>
    <mergeCell ref="C330:C331"/>
    <mergeCell ref="D330:D331"/>
    <mergeCell ref="E330:E331"/>
    <mergeCell ref="F330:F331"/>
    <mergeCell ref="G342:G343"/>
    <mergeCell ref="H342:H343"/>
    <mergeCell ref="A344:A345"/>
    <mergeCell ref="B344:B345"/>
    <mergeCell ref="C344:C345"/>
    <mergeCell ref="D344:D345"/>
    <mergeCell ref="E344:E345"/>
    <mergeCell ref="F344:F345"/>
    <mergeCell ref="G344:G345"/>
    <mergeCell ref="H344:H345"/>
    <mergeCell ref="A342:A343"/>
    <mergeCell ref="B342:B343"/>
    <mergeCell ref="C342:C343"/>
    <mergeCell ref="D342:D343"/>
    <mergeCell ref="E342:E343"/>
    <mergeCell ref="F342:F343"/>
    <mergeCell ref="G338:G339"/>
    <mergeCell ref="H338:H339"/>
    <mergeCell ref="A340:A341"/>
    <mergeCell ref="B340:B341"/>
    <mergeCell ref="C340:C341"/>
    <mergeCell ref="D340:D341"/>
    <mergeCell ref="E340:E341"/>
    <mergeCell ref="F340:F341"/>
    <mergeCell ref="G340:G341"/>
    <mergeCell ref="H340:H341"/>
    <mergeCell ref="A338:A339"/>
    <mergeCell ref="B338:B339"/>
    <mergeCell ref="C338:C339"/>
    <mergeCell ref="D338:D339"/>
    <mergeCell ref="E338:E339"/>
    <mergeCell ref="F338:F339"/>
    <mergeCell ref="G350:G351"/>
    <mergeCell ref="H350:H351"/>
    <mergeCell ref="A354:A355"/>
    <mergeCell ref="B354:B355"/>
    <mergeCell ref="C354:C355"/>
    <mergeCell ref="D354:D355"/>
    <mergeCell ref="E354:E355"/>
    <mergeCell ref="F354:F355"/>
    <mergeCell ref="G354:G355"/>
    <mergeCell ref="H354:H355"/>
    <mergeCell ref="A350:A351"/>
    <mergeCell ref="B350:B351"/>
    <mergeCell ref="C350:C351"/>
    <mergeCell ref="D350:D351"/>
    <mergeCell ref="E350:E351"/>
    <mergeCell ref="F350:F351"/>
    <mergeCell ref="G346:G347"/>
    <mergeCell ref="H346:H347"/>
    <mergeCell ref="A348:A349"/>
    <mergeCell ref="B348:B349"/>
    <mergeCell ref="C348:C349"/>
    <mergeCell ref="D348:D349"/>
    <mergeCell ref="E348:E349"/>
    <mergeCell ref="F348:F349"/>
    <mergeCell ref="G348:G349"/>
    <mergeCell ref="H348:H349"/>
    <mergeCell ref="A346:A347"/>
    <mergeCell ref="B346:B347"/>
    <mergeCell ref="C346:C347"/>
    <mergeCell ref="D346:D347"/>
    <mergeCell ref="E346:E347"/>
    <mergeCell ref="F346:F347"/>
    <mergeCell ref="G360:G361"/>
    <mergeCell ref="H360:H361"/>
    <mergeCell ref="A362:A363"/>
    <mergeCell ref="B362:B363"/>
    <mergeCell ref="C362:C363"/>
    <mergeCell ref="D362:D363"/>
    <mergeCell ref="E362:E363"/>
    <mergeCell ref="F362:F363"/>
    <mergeCell ref="G362:G363"/>
    <mergeCell ref="H362:H363"/>
    <mergeCell ref="A360:A361"/>
    <mergeCell ref="B360:B361"/>
    <mergeCell ref="C360:C361"/>
    <mergeCell ref="D360:D361"/>
    <mergeCell ref="E360:E361"/>
    <mergeCell ref="F360:F361"/>
    <mergeCell ref="G356:G357"/>
    <mergeCell ref="H356:H357"/>
    <mergeCell ref="A358:A359"/>
    <mergeCell ref="B358:B359"/>
    <mergeCell ref="C358:C359"/>
    <mergeCell ref="D358:D359"/>
    <mergeCell ref="E358:E359"/>
    <mergeCell ref="F358:F359"/>
    <mergeCell ref="G358:G359"/>
    <mergeCell ref="H358:H359"/>
    <mergeCell ref="A356:A357"/>
    <mergeCell ref="B356:B357"/>
    <mergeCell ref="C356:C357"/>
    <mergeCell ref="D356:D357"/>
    <mergeCell ref="E356:E357"/>
    <mergeCell ref="F356:F357"/>
    <mergeCell ref="G370:G371"/>
    <mergeCell ref="H370:H371"/>
    <mergeCell ref="B372:B373"/>
    <mergeCell ref="C372:C373"/>
    <mergeCell ref="D372:D373"/>
    <mergeCell ref="E372:E373"/>
    <mergeCell ref="F372:F373"/>
    <mergeCell ref="G372:G373"/>
    <mergeCell ref="H372:H373"/>
    <mergeCell ref="B370:B371"/>
    <mergeCell ref="C370:C371"/>
    <mergeCell ref="D370:D371"/>
    <mergeCell ref="E370:E371"/>
    <mergeCell ref="F370:F371"/>
    <mergeCell ref="G364:G365"/>
    <mergeCell ref="H364:H365"/>
    <mergeCell ref="A368:A369"/>
    <mergeCell ref="B368:B369"/>
    <mergeCell ref="C368:C369"/>
    <mergeCell ref="D368:D369"/>
    <mergeCell ref="E368:E369"/>
    <mergeCell ref="F368:F369"/>
    <mergeCell ref="G368:G369"/>
    <mergeCell ref="H368:H369"/>
    <mergeCell ref="A364:A365"/>
    <mergeCell ref="B364:B365"/>
    <mergeCell ref="C364:C365"/>
    <mergeCell ref="D364:D365"/>
    <mergeCell ref="E364:E365"/>
    <mergeCell ref="F364:F365"/>
    <mergeCell ref="G378:G379"/>
    <mergeCell ref="H378:H379"/>
    <mergeCell ref="B380:B381"/>
    <mergeCell ref="C380:C381"/>
    <mergeCell ref="D380:D381"/>
    <mergeCell ref="E380:E381"/>
    <mergeCell ref="F380:F381"/>
    <mergeCell ref="G380:G381"/>
    <mergeCell ref="H380:H381"/>
    <mergeCell ref="B378:B379"/>
    <mergeCell ref="C378:C379"/>
    <mergeCell ref="D378:D379"/>
    <mergeCell ref="E378:E379"/>
    <mergeCell ref="F378:F379"/>
    <mergeCell ref="G374:G375"/>
    <mergeCell ref="H374:H375"/>
    <mergeCell ref="B376:B377"/>
    <mergeCell ref="C376:C377"/>
    <mergeCell ref="D376:D377"/>
    <mergeCell ref="E376:E377"/>
    <mergeCell ref="F376:F377"/>
    <mergeCell ref="G376:G377"/>
    <mergeCell ref="H376:H377"/>
    <mergeCell ref="B374:B375"/>
    <mergeCell ref="C374:C375"/>
    <mergeCell ref="D374:D375"/>
    <mergeCell ref="E374:E375"/>
    <mergeCell ref="F374:F375"/>
    <mergeCell ref="G386:G387"/>
    <mergeCell ref="H386:H387"/>
    <mergeCell ref="A388:A389"/>
    <mergeCell ref="B388:B389"/>
    <mergeCell ref="C388:C389"/>
    <mergeCell ref="D388:D389"/>
    <mergeCell ref="E388:E389"/>
    <mergeCell ref="F388:F389"/>
    <mergeCell ref="G388:G389"/>
    <mergeCell ref="H388:H389"/>
    <mergeCell ref="B386:B387"/>
    <mergeCell ref="C386:C387"/>
    <mergeCell ref="D386:D387"/>
    <mergeCell ref="E386:E387"/>
    <mergeCell ref="F386:F387"/>
    <mergeCell ref="G382:G383"/>
    <mergeCell ref="H382:H383"/>
    <mergeCell ref="B384:B385"/>
    <mergeCell ref="C384:C385"/>
    <mergeCell ref="D384:D385"/>
    <mergeCell ref="E384:E385"/>
    <mergeCell ref="F384:F385"/>
    <mergeCell ref="G384:G385"/>
    <mergeCell ref="H384:H385"/>
    <mergeCell ref="B382:B383"/>
    <mergeCell ref="C382:C383"/>
    <mergeCell ref="D382:D383"/>
    <mergeCell ref="E382:E383"/>
    <mergeCell ref="F382:F383"/>
    <mergeCell ref="A394:A395"/>
    <mergeCell ref="B394:B395"/>
    <mergeCell ref="C394:C395"/>
    <mergeCell ref="D394:D395"/>
    <mergeCell ref="E394:E395"/>
    <mergeCell ref="F394:F395"/>
    <mergeCell ref="G390:G391"/>
    <mergeCell ref="H390:H391"/>
    <mergeCell ref="A392:A393"/>
    <mergeCell ref="B392:B393"/>
    <mergeCell ref="C392:C393"/>
    <mergeCell ref="D392:D393"/>
    <mergeCell ref="E392:E393"/>
    <mergeCell ref="F392:F393"/>
    <mergeCell ref="G392:G393"/>
    <mergeCell ref="H392:H393"/>
    <mergeCell ref="A390:A391"/>
    <mergeCell ref="B390:B391"/>
    <mergeCell ref="C390:C391"/>
    <mergeCell ref="D390:D391"/>
    <mergeCell ref="E390:E391"/>
    <mergeCell ref="F390:F391"/>
    <mergeCell ref="A352:A353"/>
    <mergeCell ref="D352:D353"/>
    <mergeCell ref="E352:E353"/>
    <mergeCell ref="F352:F353"/>
    <mergeCell ref="G352:G353"/>
    <mergeCell ref="H352:H353"/>
    <mergeCell ref="C352:C353"/>
    <mergeCell ref="A397:D397"/>
    <mergeCell ref="Y399:AB399"/>
    <mergeCell ref="AC399:AF399"/>
    <mergeCell ref="AG399:AJ399"/>
    <mergeCell ref="E413:H413"/>
    <mergeCell ref="A386:A387"/>
    <mergeCell ref="A384:A385"/>
    <mergeCell ref="A382:A383"/>
    <mergeCell ref="A380:A381"/>
    <mergeCell ref="A378:A379"/>
    <mergeCell ref="A376:A377"/>
    <mergeCell ref="A374:A375"/>
    <mergeCell ref="A372:A373"/>
    <mergeCell ref="A370:A371"/>
    <mergeCell ref="A366:A367"/>
    <mergeCell ref="B366:B367"/>
    <mergeCell ref="C366:C367"/>
    <mergeCell ref="D366:D367"/>
    <mergeCell ref="E366:E367"/>
    <mergeCell ref="F366:F367"/>
    <mergeCell ref="G366:G367"/>
    <mergeCell ref="H366:H367"/>
    <mergeCell ref="B352:B353"/>
    <mergeCell ref="G394:G395"/>
    <mergeCell ref="H394:H395"/>
    <mergeCell ref="G72:G73"/>
    <mergeCell ref="H72:H73"/>
    <mergeCell ref="A74:A75"/>
    <mergeCell ref="B74:B75"/>
    <mergeCell ref="C74:C75"/>
    <mergeCell ref="D74:D75"/>
    <mergeCell ref="E74:E75"/>
    <mergeCell ref="F74:F75"/>
    <mergeCell ref="G74:G75"/>
    <mergeCell ref="H74:H75"/>
    <mergeCell ref="A72:A73"/>
    <mergeCell ref="B72:B73"/>
    <mergeCell ref="C72:C73"/>
    <mergeCell ref="D72:D73"/>
    <mergeCell ref="E72:E73"/>
    <mergeCell ref="F72:F73"/>
    <mergeCell ref="G310:G311"/>
    <mergeCell ref="H310:H311"/>
    <mergeCell ref="G299:G300"/>
    <mergeCell ref="H299:H300"/>
    <mergeCell ref="A301:A302"/>
    <mergeCell ref="B301:B302"/>
    <mergeCell ref="C301:C302"/>
    <mergeCell ref="D301:D302"/>
    <mergeCell ref="E301:E302"/>
    <mergeCell ref="F301:F302"/>
    <mergeCell ref="G301:G302"/>
    <mergeCell ref="H301:H302"/>
    <mergeCell ref="A299:A300"/>
    <mergeCell ref="B299:B300"/>
    <mergeCell ref="C299:C300"/>
    <mergeCell ref="D299:D300"/>
    <mergeCell ref="G80:G81"/>
    <mergeCell ref="H80:H81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A80:A81"/>
    <mergeCell ref="B80:B81"/>
    <mergeCell ref="C80:C81"/>
    <mergeCell ref="D80:D81"/>
    <mergeCell ref="E80:E81"/>
    <mergeCell ref="F80:F81"/>
    <mergeCell ref="G76:G77"/>
    <mergeCell ref="H76:H77"/>
    <mergeCell ref="A78:A79"/>
    <mergeCell ref="B78:B79"/>
    <mergeCell ref="C78:C79"/>
    <mergeCell ref="D78:D79"/>
    <mergeCell ref="E78:E79"/>
    <mergeCell ref="F78:F79"/>
    <mergeCell ref="G78:G79"/>
    <mergeCell ref="H78:H79"/>
    <mergeCell ref="A76:A77"/>
    <mergeCell ref="B76:B77"/>
    <mergeCell ref="C76:C77"/>
    <mergeCell ref="D76:D77"/>
    <mergeCell ref="E76:E77"/>
    <mergeCell ref="F76:F77"/>
    <mergeCell ref="G168:G169"/>
    <mergeCell ref="H168:H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A168:A169"/>
    <mergeCell ref="B168:B169"/>
    <mergeCell ref="C168:C169"/>
    <mergeCell ref="D168:D169"/>
    <mergeCell ref="E168:E169"/>
    <mergeCell ref="F168:F169"/>
    <mergeCell ref="G164:G165"/>
    <mergeCell ref="H164:H165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A164:A165"/>
    <mergeCell ref="B164:B165"/>
    <mergeCell ref="C164:C165"/>
    <mergeCell ref="D164:D165"/>
    <mergeCell ref="E164:E165"/>
    <mergeCell ref="F164:F165"/>
    <mergeCell ref="A310:A311"/>
    <mergeCell ref="B310:B311"/>
    <mergeCell ref="C310:C311"/>
    <mergeCell ref="D310:D311"/>
    <mergeCell ref="E310:E311"/>
    <mergeCell ref="F310:F311"/>
    <mergeCell ref="G252:G253"/>
    <mergeCell ref="H252:H253"/>
    <mergeCell ref="A254:A255"/>
    <mergeCell ref="B254:B255"/>
    <mergeCell ref="C254:C255"/>
    <mergeCell ref="D254:D255"/>
    <mergeCell ref="E254:E255"/>
    <mergeCell ref="F254:F255"/>
    <mergeCell ref="G254:G255"/>
    <mergeCell ref="H254:H255"/>
    <mergeCell ref="A252:A253"/>
    <mergeCell ref="B252:B253"/>
    <mergeCell ref="C252:C253"/>
    <mergeCell ref="D252:D253"/>
    <mergeCell ref="E252:E253"/>
    <mergeCell ref="F252:F253"/>
    <mergeCell ref="E299:E300"/>
    <mergeCell ref="F299:F300"/>
    <mergeCell ref="G295:G296"/>
    <mergeCell ref="H295:H296"/>
    <mergeCell ref="A297:A298"/>
    <mergeCell ref="B297:B298"/>
    <mergeCell ref="C297:C298"/>
    <mergeCell ref="D297:D298"/>
    <mergeCell ref="E297:E298"/>
    <mergeCell ref="F297:F298"/>
    <mergeCell ref="G314:G315"/>
    <mergeCell ref="H314:H315"/>
    <mergeCell ref="A316:A317"/>
    <mergeCell ref="B316:B317"/>
    <mergeCell ref="C316:C317"/>
    <mergeCell ref="D316:D317"/>
    <mergeCell ref="E316:E317"/>
    <mergeCell ref="F316:F317"/>
    <mergeCell ref="G316:G317"/>
    <mergeCell ref="H316:H317"/>
    <mergeCell ref="A314:A315"/>
    <mergeCell ref="B314:B315"/>
    <mergeCell ref="C314:C315"/>
    <mergeCell ref="D314:D315"/>
    <mergeCell ref="E314:E315"/>
    <mergeCell ref="F314:F315"/>
    <mergeCell ref="A312:A313"/>
    <mergeCell ref="B312:B313"/>
    <mergeCell ref="C312:C313"/>
    <mergeCell ref="D312:D313"/>
    <mergeCell ref="E312:E313"/>
    <mergeCell ref="F312:F313"/>
    <mergeCell ref="G312:G313"/>
    <mergeCell ref="H312:H313"/>
    <mergeCell ref="G320:G321"/>
    <mergeCell ref="H320:H321"/>
    <mergeCell ref="A322:A323"/>
    <mergeCell ref="B322:B323"/>
    <mergeCell ref="C322:C323"/>
    <mergeCell ref="D322:D323"/>
    <mergeCell ref="E322:E323"/>
    <mergeCell ref="F322:F323"/>
    <mergeCell ref="G322:G323"/>
    <mergeCell ref="H322:H323"/>
    <mergeCell ref="A320:A321"/>
    <mergeCell ref="B320:B321"/>
    <mergeCell ref="C320:C321"/>
    <mergeCell ref="D320:D321"/>
    <mergeCell ref="E320:E321"/>
    <mergeCell ref="F320:F321"/>
    <mergeCell ref="I316:I317"/>
    <mergeCell ref="A318:A319"/>
    <mergeCell ref="B318:B319"/>
    <mergeCell ref="C318:C319"/>
    <mergeCell ref="D318:D319"/>
    <mergeCell ref="E318:E319"/>
    <mergeCell ref="F318:F319"/>
    <mergeCell ref="G318:G319"/>
    <mergeCell ref="H318:H319"/>
    <mergeCell ref="CG399:CJ399"/>
    <mergeCell ref="E410:H410"/>
    <mergeCell ref="I410:L410"/>
    <mergeCell ref="M410:P410"/>
    <mergeCell ref="Q410:T410"/>
    <mergeCell ref="U410:X410"/>
    <mergeCell ref="Y410:AB410"/>
    <mergeCell ref="AC410:AF410"/>
    <mergeCell ref="AG410:AJ410"/>
    <mergeCell ref="AK410:AN410"/>
    <mergeCell ref="BI399:BL399"/>
    <mergeCell ref="BM399:BP399"/>
    <mergeCell ref="BQ399:BT399"/>
    <mergeCell ref="BU399:BX399"/>
    <mergeCell ref="BY399:CB399"/>
    <mergeCell ref="CC399:CF399"/>
    <mergeCell ref="AK399:AN399"/>
    <mergeCell ref="AO399:AR399"/>
    <mergeCell ref="AS399:AV399"/>
    <mergeCell ref="AW399:AZ399"/>
    <mergeCell ref="BA399:BD399"/>
    <mergeCell ref="BE399:BH399"/>
    <mergeCell ref="E399:H399"/>
    <mergeCell ref="I399:L399"/>
    <mergeCell ref="M399:P399"/>
    <mergeCell ref="Q399:T399"/>
    <mergeCell ref="U399:X399"/>
    <mergeCell ref="AW411:AZ411"/>
    <mergeCell ref="BA411:BD411"/>
    <mergeCell ref="I411:L411"/>
    <mergeCell ref="M411:P411"/>
    <mergeCell ref="Q411:T411"/>
    <mergeCell ref="U411:X411"/>
    <mergeCell ref="Y411:AB411"/>
    <mergeCell ref="AC411:AF411"/>
    <mergeCell ref="BM410:BP410"/>
    <mergeCell ref="BQ410:BT410"/>
    <mergeCell ref="BU410:BX410"/>
    <mergeCell ref="BY410:CB410"/>
    <mergeCell ref="CC410:CF410"/>
    <mergeCell ref="CG410:CJ410"/>
    <mergeCell ref="AO410:AR410"/>
    <mergeCell ref="AS410:AV410"/>
    <mergeCell ref="AW410:AZ410"/>
    <mergeCell ref="BA410:BD410"/>
    <mergeCell ref="BE410:BH410"/>
    <mergeCell ref="BI410:BL410"/>
    <mergeCell ref="CG413:CJ413"/>
    <mergeCell ref="BI413:BL413"/>
    <mergeCell ref="BM413:BP413"/>
    <mergeCell ref="BQ413:BT413"/>
    <mergeCell ref="BU413:BX413"/>
    <mergeCell ref="BY413:CB413"/>
    <mergeCell ref="CC413:CF413"/>
    <mergeCell ref="AK413:AN413"/>
    <mergeCell ref="AO413:AR413"/>
    <mergeCell ref="AS413:AV413"/>
    <mergeCell ref="AW413:AZ413"/>
    <mergeCell ref="BA413:BD413"/>
    <mergeCell ref="BE413:BH413"/>
    <mergeCell ref="CC411:CF411"/>
    <mergeCell ref="CG411:CJ411"/>
    <mergeCell ref="I413:L413"/>
    <mergeCell ref="M413:P413"/>
    <mergeCell ref="Q413:T413"/>
    <mergeCell ref="U413:X413"/>
    <mergeCell ref="Y413:AB413"/>
    <mergeCell ref="AC413:AF413"/>
    <mergeCell ref="AG413:AJ413"/>
    <mergeCell ref="BE411:BH411"/>
    <mergeCell ref="BI411:BL411"/>
    <mergeCell ref="BM411:BP411"/>
    <mergeCell ref="BQ411:BT411"/>
    <mergeCell ref="BU411:BX411"/>
    <mergeCell ref="BY411:CB411"/>
    <mergeCell ref="AG411:AJ411"/>
    <mergeCell ref="AK411:AN411"/>
    <mergeCell ref="AO411:AR411"/>
    <mergeCell ref="AS411:AV411"/>
    <mergeCell ref="DC1:DC2"/>
    <mergeCell ref="DD1:DD2"/>
    <mergeCell ref="DE1:DE2"/>
    <mergeCell ref="CW410:CZ410"/>
    <mergeCell ref="CS410:CV410"/>
    <mergeCell ref="CO410:CR410"/>
    <mergeCell ref="CK410:CN410"/>
    <mergeCell ref="CK399:CN399"/>
    <mergeCell ref="CO399:CR399"/>
    <mergeCell ref="CS399:CV399"/>
    <mergeCell ref="CW399:CZ399"/>
    <mergeCell ref="CW411:CZ411"/>
    <mergeCell ref="CW413:CZ413"/>
    <mergeCell ref="CS411:CV411"/>
    <mergeCell ref="CS413:CV413"/>
    <mergeCell ref="CO411:CR411"/>
    <mergeCell ref="CO413:CR413"/>
    <mergeCell ref="CK411:CN411"/>
    <mergeCell ref="CK413:CN413"/>
  </mergeCells>
  <phoneticPr fontId="3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31"/>
  <sheetViews>
    <sheetView zoomScaleNormal="100" workbookViewId="0">
      <selection activeCell="L2" sqref="L2"/>
    </sheetView>
  </sheetViews>
  <sheetFormatPr defaultRowHeight="14.25"/>
  <cols>
    <col min="1" max="1" width="14.75" style="279" customWidth="1"/>
    <col min="2" max="4" width="12.625" style="276" customWidth="1"/>
    <col min="5" max="5" width="3.625" style="276" customWidth="1"/>
    <col min="6" max="8" width="12.625" style="276" customWidth="1"/>
    <col min="9" max="9" width="3.625" style="276" customWidth="1"/>
    <col min="10" max="10" width="9.625" style="278" customWidth="1"/>
    <col min="11" max="12" width="9" style="276"/>
    <col min="13" max="13" width="10.625" style="276" customWidth="1"/>
    <col min="14" max="16384" width="9" style="276"/>
  </cols>
  <sheetData>
    <row r="1" spans="1:16" s="273" customFormat="1" ht="18" customHeight="1">
      <c r="A1" s="7"/>
      <c r="B1" s="29" t="s">
        <v>782</v>
      </c>
      <c r="C1" s="29" t="s">
        <v>783</v>
      </c>
      <c r="D1" s="30" t="s">
        <v>785</v>
      </c>
      <c r="E1" s="29"/>
      <c r="F1" s="29" t="s">
        <v>786</v>
      </c>
      <c r="G1" s="29" t="s">
        <v>789</v>
      </c>
      <c r="H1" s="30" t="s">
        <v>787</v>
      </c>
      <c r="I1" s="29"/>
      <c r="J1" s="30" t="s">
        <v>788</v>
      </c>
      <c r="K1" s="273" t="s">
        <v>1161</v>
      </c>
      <c r="L1" s="273" t="s">
        <v>1162</v>
      </c>
    </row>
    <row r="2" spans="1:16" s="275" customFormat="1" ht="24.95" customHeight="1">
      <c r="A2" s="26" t="s">
        <v>768</v>
      </c>
      <c r="B2" s="27">
        <f>前3年整理!M16</f>
        <v>6.2E-2</v>
      </c>
      <c r="C2" s="107">
        <f>K2</f>
        <v>3.1200000000000002E-2</v>
      </c>
      <c r="D2" s="27">
        <f>B2*B3+C2*C3</f>
        <v>5.5840000000000001E-2</v>
      </c>
      <c r="E2" s="28"/>
      <c r="F2" s="107">
        <f>前3年整理!E47</f>
        <v>0.94399999999999995</v>
      </c>
      <c r="G2" s="107">
        <f>1-L2</f>
        <v>0.92800000000000005</v>
      </c>
      <c r="H2" s="27">
        <f>F2*F3+G2*G3</f>
        <v>0.94079999999999997</v>
      </c>
      <c r="I2" s="28"/>
      <c r="J2" s="27">
        <v>0</v>
      </c>
      <c r="K2" s="274">
        <f>0.78%*4</f>
        <v>3.1200000000000002E-2</v>
      </c>
      <c r="L2" s="274">
        <v>7.1999999999999995E-2</v>
      </c>
    </row>
    <row r="3" spans="1:16">
      <c r="A3" s="8" t="s">
        <v>784</v>
      </c>
      <c r="B3" s="9">
        <v>0.8</v>
      </c>
      <c r="C3" s="9">
        <f>1-B3</f>
        <v>0.19999999999999996</v>
      </c>
      <c r="D3" s="10"/>
      <c r="E3" s="9"/>
      <c r="F3" s="9">
        <v>0.8</v>
      </c>
      <c r="G3" s="9">
        <f>1-F3</f>
        <v>0.19999999999999996</v>
      </c>
      <c r="H3" s="10"/>
      <c r="I3" s="9"/>
      <c r="J3" s="10"/>
    </row>
    <row r="4" spans="1:16" s="275" customFormat="1" ht="24.95" customHeight="1">
      <c r="A4" s="26" t="s">
        <v>769</v>
      </c>
      <c r="B4" s="27">
        <v>0</v>
      </c>
      <c r="C4" s="108">
        <v>5.0000000000000001E-3</v>
      </c>
      <c r="D4" s="27">
        <f>B4*B5+C4*C5</f>
        <v>9.999999999999998E-4</v>
      </c>
      <c r="E4" s="28"/>
      <c r="F4" s="107">
        <f>$F$2</f>
        <v>0.94399999999999995</v>
      </c>
      <c r="G4" s="107">
        <f>$G$2</f>
        <v>0.92800000000000005</v>
      </c>
      <c r="H4" s="27">
        <f>F4*F5+G4*G5</f>
        <v>0.94079999999999997</v>
      </c>
      <c r="I4" s="28"/>
      <c r="J4" s="27">
        <f>ROUND(地下车库现金流!I8/地下车库现金流!H8,2)</f>
        <v>0.02</v>
      </c>
    </row>
    <row r="5" spans="1:16">
      <c r="A5" s="8" t="s">
        <v>784</v>
      </c>
      <c r="B5" s="9">
        <f>B3</f>
        <v>0.8</v>
      </c>
      <c r="C5" s="9">
        <f>1-B5</f>
        <v>0.19999999999999996</v>
      </c>
      <c r="D5" s="10"/>
      <c r="E5" s="9"/>
      <c r="F5" s="9">
        <f>$F$3</f>
        <v>0.8</v>
      </c>
      <c r="G5" s="9">
        <f>1-F5</f>
        <v>0.19999999999999996</v>
      </c>
      <c r="H5" s="10"/>
      <c r="I5" s="9"/>
      <c r="J5" s="10"/>
    </row>
    <row r="6" spans="1:16" s="275" customFormat="1" ht="24.95" customHeight="1">
      <c r="A6" s="26" t="s">
        <v>770</v>
      </c>
      <c r="B6" s="27">
        <f>前3年整理!M14</f>
        <v>0.06</v>
      </c>
      <c r="C6" s="107">
        <f>$C$2</f>
        <v>3.1200000000000002E-2</v>
      </c>
      <c r="D6" s="27">
        <f>B6*B7+C6*C7</f>
        <v>5.4239999999999997E-2</v>
      </c>
      <c r="E6" s="28"/>
      <c r="F6" s="107">
        <f>$F$2</f>
        <v>0.94399999999999995</v>
      </c>
      <c r="G6" s="107">
        <f>$G$2</f>
        <v>0.92800000000000005</v>
      </c>
      <c r="H6" s="27">
        <f>F6*F7+G6*G7</f>
        <v>0.94079999999999997</v>
      </c>
      <c r="I6" s="28"/>
      <c r="J6" s="27">
        <f>ROUND(地下仓储现金流!I82/地下仓储现金流!H82,2)</f>
        <v>0.2</v>
      </c>
    </row>
    <row r="7" spans="1:16">
      <c r="A7" s="8" t="s">
        <v>784</v>
      </c>
      <c r="B7" s="9">
        <f>B3</f>
        <v>0.8</v>
      </c>
      <c r="C7" s="9">
        <f>1-B7</f>
        <v>0.19999999999999996</v>
      </c>
      <c r="D7" s="10"/>
      <c r="E7" s="9"/>
      <c r="F7" s="9">
        <f>$F$3</f>
        <v>0.8</v>
      </c>
      <c r="G7" s="9">
        <f>1-F7</f>
        <v>0.19999999999999996</v>
      </c>
      <c r="H7" s="10"/>
      <c r="I7" s="9"/>
      <c r="J7" s="10"/>
      <c r="O7" s="276" t="s">
        <v>1234</v>
      </c>
    </row>
    <row r="8" spans="1:16" s="275" customFormat="1" ht="24.95" customHeight="1">
      <c r="A8" s="26" t="s">
        <v>771</v>
      </c>
      <c r="B8" s="27">
        <f>前3年整理!M19</f>
        <v>0.08</v>
      </c>
      <c r="C8" s="107">
        <f>$C$2</f>
        <v>3.1200000000000002E-2</v>
      </c>
      <c r="D8" s="27">
        <f>B8*B9+C8*C9</f>
        <v>7.0239999999999997E-2</v>
      </c>
      <c r="E8" s="28"/>
      <c r="F8" s="107">
        <f>$F$2</f>
        <v>0.94399999999999995</v>
      </c>
      <c r="G8" s="107">
        <f>$G$2</f>
        <v>0.92800000000000005</v>
      </c>
      <c r="H8" s="27">
        <f>F8*F9+G8*G9</f>
        <v>0.94079999999999997</v>
      </c>
      <c r="I8" s="28"/>
      <c r="J8" s="27">
        <f>ROUND(地上商业现金流!I397/地上商业现金流!H397,2)</f>
        <v>0.21</v>
      </c>
      <c r="M8" s="275" t="s">
        <v>1219</v>
      </c>
      <c r="N8" s="275">
        <v>1500.7800000000002</v>
      </c>
    </row>
    <row r="9" spans="1:16">
      <c r="A9" s="8" t="s">
        <v>784</v>
      </c>
      <c r="B9" s="9">
        <f>B3</f>
        <v>0.8</v>
      </c>
      <c r="C9" s="9">
        <f>1-B9</f>
        <v>0.19999999999999996</v>
      </c>
      <c r="D9" s="10"/>
      <c r="E9" s="9"/>
      <c r="F9" s="9">
        <f>$F$3</f>
        <v>0.8</v>
      </c>
      <c r="G9" s="9">
        <f>1-F9</f>
        <v>0.19999999999999996</v>
      </c>
      <c r="H9" s="10"/>
      <c r="I9" s="9"/>
      <c r="J9" s="10"/>
      <c r="M9" s="276" t="s">
        <v>1220</v>
      </c>
      <c r="N9" s="276">
        <v>23898.16</v>
      </c>
    </row>
    <row r="10" spans="1:16" s="275" customFormat="1" ht="24.95" customHeight="1">
      <c r="A10" s="26" t="s">
        <v>772</v>
      </c>
      <c r="B10" s="27">
        <f>前3年整理!M4</f>
        <v>7.9000000000000001E-2</v>
      </c>
      <c r="C10" s="107">
        <f>$C$2</f>
        <v>3.1200000000000002E-2</v>
      </c>
      <c r="D10" s="27">
        <f>B10*B11+C10*C11</f>
        <v>6.9440000000000002E-2</v>
      </c>
      <c r="E10" s="28"/>
      <c r="F10" s="107">
        <f>$F$2</f>
        <v>0.94399999999999995</v>
      </c>
      <c r="G10" s="107">
        <f>$G$2</f>
        <v>0.92800000000000005</v>
      </c>
      <c r="H10" s="27">
        <f>F10*F11+G10*G11</f>
        <v>0.94079999999999997</v>
      </c>
      <c r="I10" s="28"/>
      <c r="J10" s="27"/>
      <c r="M10" s="275" t="s">
        <v>1221</v>
      </c>
      <c r="N10" s="275">
        <v>1263.2</v>
      </c>
    </row>
    <row r="11" spans="1:16">
      <c r="A11" s="8" t="s">
        <v>784</v>
      </c>
      <c r="B11" s="9">
        <f>B3</f>
        <v>0.8</v>
      </c>
      <c r="C11" s="9">
        <f>1-B11</f>
        <v>0.19999999999999996</v>
      </c>
      <c r="D11" s="10"/>
      <c r="E11" s="9"/>
      <c r="F11" s="9">
        <f>$F$3</f>
        <v>0.8</v>
      </c>
      <c r="G11" s="9">
        <f>1-F11</f>
        <v>0.19999999999999996</v>
      </c>
      <c r="H11" s="10"/>
      <c r="I11" s="9"/>
      <c r="J11" s="10"/>
      <c r="M11" s="276" t="s">
        <v>1222</v>
      </c>
      <c r="N11" s="276">
        <v>13672.09</v>
      </c>
      <c r="O11" s="277">
        <f>D6</f>
        <v>5.4239999999999997E-2</v>
      </c>
      <c r="P11" s="278"/>
    </row>
    <row r="12" spans="1:16" s="275" customFormat="1" ht="24.95" customHeight="1">
      <c r="A12" s="26" t="s">
        <v>773</v>
      </c>
      <c r="B12" s="27">
        <f>前3年整理!M5</f>
        <v>0.19400000000000001</v>
      </c>
      <c r="C12" s="107">
        <f>$C$2</f>
        <v>3.1200000000000002E-2</v>
      </c>
      <c r="D12" s="27">
        <f>B12*B13+C12*C13</f>
        <v>0.16144</v>
      </c>
      <c r="E12" s="28"/>
      <c r="F12" s="107">
        <f>$F$2</f>
        <v>0.94399999999999995</v>
      </c>
      <c r="G12" s="107">
        <f>$G$2</f>
        <v>0.92800000000000005</v>
      </c>
      <c r="H12" s="27">
        <f>F12*F13+G12*G13</f>
        <v>0.94079999999999997</v>
      </c>
      <c r="I12" s="28"/>
      <c r="J12" s="27"/>
      <c r="M12" s="275" t="s">
        <v>1223</v>
      </c>
      <c r="N12" s="275">
        <v>10943.6</v>
      </c>
      <c r="O12" s="274">
        <f>D8</f>
        <v>7.0239999999999997E-2</v>
      </c>
    </row>
    <row r="13" spans="1:16">
      <c r="A13" s="8" t="s">
        <v>784</v>
      </c>
      <c r="B13" s="9">
        <f>B3</f>
        <v>0.8</v>
      </c>
      <c r="C13" s="9">
        <f>1-B13</f>
        <v>0.19999999999999996</v>
      </c>
      <c r="D13" s="10"/>
      <c r="E13" s="9"/>
      <c r="F13" s="9">
        <f>$F$3</f>
        <v>0.8</v>
      </c>
      <c r="G13" s="9">
        <f>1-F13</f>
        <v>0.19999999999999996</v>
      </c>
      <c r="H13" s="10"/>
      <c r="I13" s="9"/>
      <c r="J13" s="10"/>
      <c r="M13" s="276" t="s">
        <v>1224</v>
      </c>
      <c r="N13" s="276">
        <v>10674.84</v>
      </c>
      <c r="O13" s="278">
        <f>D10</f>
        <v>6.9440000000000002E-2</v>
      </c>
    </row>
    <row r="14" spans="1:16" s="275" customFormat="1" ht="24.95" customHeight="1">
      <c r="A14" s="26" t="s">
        <v>774</v>
      </c>
      <c r="B14" s="27">
        <f>前3年整理!M6</f>
        <v>5.5E-2</v>
      </c>
      <c r="C14" s="107">
        <f>$C$2</f>
        <v>3.1200000000000002E-2</v>
      </c>
      <c r="D14" s="27">
        <f>B14*B15+C14*C15</f>
        <v>5.0240000000000007E-2</v>
      </c>
      <c r="E14" s="28"/>
      <c r="F14" s="107">
        <f>$F$2</f>
        <v>0.94399999999999995</v>
      </c>
      <c r="G14" s="107">
        <f>$G$2</f>
        <v>0.92800000000000005</v>
      </c>
      <c r="H14" s="27">
        <f>F14*F15+G14*G15</f>
        <v>0.94079999999999997</v>
      </c>
      <c r="I14" s="28"/>
      <c r="J14" s="27"/>
      <c r="M14" s="275" t="s">
        <v>1225</v>
      </c>
      <c r="N14" s="275">
        <v>11059.21</v>
      </c>
      <c r="O14" s="274">
        <f>D12</f>
        <v>0.16144</v>
      </c>
    </row>
    <row r="15" spans="1:16">
      <c r="A15" s="8" t="s">
        <v>784</v>
      </c>
      <c r="B15" s="9">
        <f>B3</f>
        <v>0.8</v>
      </c>
      <c r="C15" s="9">
        <f>1-B15</f>
        <v>0.19999999999999996</v>
      </c>
      <c r="D15" s="10"/>
      <c r="E15" s="9"/>
      <c r="F15" s="9">
        <f>$F$3</f>
        <v>0.8</v>
      </c>
      <c r="G15" s="9">
        <f>1-F15</f>
        <v>0.19999999999999996</v>
      </c>
      <c r="H15" s="10"/>
      <c r="I15" s="9"/>
      <c r="J15" s="10"/>
      <c r="M15" s="276" t="s">
        <v>1226</v>
      </c>
      <c r="N15" s="276">
        <v>8046.58</v>
      </c>
      <c r="O15" s="278">
        <f>D14</f>
        <v>5.0240000000000007E-2</v>
      </c>
    </row>
    <row r="16" spans="1:16" s="275" customFormat="1" ht="24.95" customHeight="1">
      <c r="A16" s="26" t="s">
        <v>775</v>
      </c>
      <c r="B16" s="27">
        <f>前3年整理!M7</f>
        <v>6.8000000000000005E-2</v>
      </c>
      <c r="C16" s="107">
        <f>$C$2</f>
        <v>3.1200000000000002E-2</v>
      </c>
      <c r="D16" s="27">
        <f>B16*B17+C16*C17</f>
        <v>6.0639999999999999E-2</v>
      </c>
      <c r="E16" s="28"/>
      <c r="F16" s="107">
        <f>$F$2</f>
        <v>0.94399999999999995</v>
      </c>
      <c r="G16" s="107">
        <f>$G$2</f>
        <v>0.92800000000000005</v>
      </c>
      <c r="H16" s="27">
        <f>F16*F17+G16*G17</f>
        <v>0.94079999999999997</v>
      </c>
      <c r="I16" s="28"/>
      <c r="J16" s="27"/>
      <c r="M16" s="275" t="s">
        <v>1227</v>
      </c>
      <c r="N16" s="275">
        <v>6074.51</v>
      </c>
      <c r="O16" s="274">
        <f>D16</f>
        <v>6.0639999999999999E-2</v>
      </c>
    </row>
    <row r="17" spans="1:15">
      <c r="A17" s="8" t="s">
        <v>784</v>
      </c>
      <c r="B17" s="9">
        <f>B3</f>
        <v>0.8</v>
      </c>
      <c r="C17" s="9">
        <f>1-B17</f>
        <v>0.19999999999999996</v>
      </c>
      <c r="D17" s="10"/>
      <c r="E17" s="9"/>
      <c r="F17" s="9">
        <f>$F$3</f>
        <v>0.8</v>
      </c>
      <c r="G17" s="9">
        <f>1-F17</f>
        <v>0.19999999999999996</v>
      </c>
      <c r="H17" s="10"/>
      <c r="I17" s="9"/>
      <c r="J17" s="10"/>
      <c r="M17" s="276" t="s">
        <v>1228</v>
      </c>
      <c r="N17" s="276">
        <v>4780.24</v>
      </c>
      <c r="O17" s="278">
        <f>D18</f>
        <v>1.609E-2</v>
      </c>
    </row>
    <row r="18" spans="1:15" s="275" customFormat="1" ht="24.95" customHeight="1">
      <c r="A18" s="26" t="s">
        <v>776</v>
      </c>
      <c r="B18" s="309">
        <f>前3年整理!T23</f>
        <v>1.2312500000000001E-2</v>
      </c>
      <c r="C18" s="107">
        <f>$C$2</f>
        <v>3.1200000000000002E-2</v>
      </c>
      <c r="D18" s="27">
        <f>B18*B19+C18*C19</f>
        <v>1.609E-2</v>
      </c>
      <c r="E18" s="28"/>
      <c r="F18" s="107">
        <f>$F$2</f>
        <v>0.94399999999999995</v>
      </c>
      <c r="G18" s="311">
        <f>$G$2</f>
        <v>0.92800000000000005</v>
      </c>
      <c r="H18" s="27">
        <f>F18*F19+G18*G19</f>
        <v>0.94079999999999997</v>
      </c>
      <c r="I18" s="28"/>
      <c r="J18" s="27"/>
      <c r="M18" s="275" t="s">
        <v>1229</v>
      </c>
      <c r="N18" s="275">
        <v>1694.06</v>
      </c>
      <c r="O18" s="274">
        <f>D20</f>
        <v>7.9039999999999999E-2</v>
      </c>
    </row>
    <row r="19" spans="1:15">
      <c r="A19" s="8" t="s">
        <v>784</v>
      </c>
      <c r="B19" s="9">
        <f>B3</f>
        <v>0.8</v>
      </c>
      <c r="C19" s="9">
        <f>1-B19</f>
        <v>0.19999999999999996</v>
      </c>
      <c r="D19" s="10"/>
      <c r="E19" s="9"/>
      <c r="F19" s="9">
        <f>$F$3</f>
        <v>0.8</v>
      </c>
      <c r="G19" s="9">
        <f>1-F19</f>
        <v>0.19999999999999996</v>
      </c>
      <c r="H19" s="10"/>
      <c r="I19" s="9"/>
      <c r="J19" s="10"/>
      <c r="M19" s="276" t="s">
        <v>1230</v>
      </c>
      <c r="N19" s="276">
        <v>1694.06</v>
      </c>
      <c r="O19" s="278">
        <f>D22</f>
        <v>6.239999999999999E-3</v>
      </c>
    </row>
    <row r="20" spans="1:15" s="275" customFormat="1" ht="24.95" customHeight="1">
      <c r="A20" s="26" t="s">
        <v>777</v>
      </c>
      <c r="B20" s="27">
        <f>前3年整理!M9</f>
        <v>9.0999999999999998E-2</v>
      </c>
      <c r="C20" s="107">
        <f>$C$2</f>
        <v>3.1200000000000002E-2</v>
      </c>
      <c r="D20" s="27">
        <f>B20*B21+C20*C21</f>
        <v>7.9039999999999999E-2</v>
      </c>
      <c r="E20" s="28"/>
      <c r="F20" s="107">
        <f>$F$2</f>
        <v>0.94399999999999995</v>
      </c>
      <c r="G20" s="107">
        <f>$G$2</f>
        <v>0.92800000000000005</v>
      </c>
      <c r="H20" s="27">
        <f>F20*F21+G20*G21</f>
        <v>0.94079999999999997</v>
      </c>
      <c r="I20" s="28"/>
      <c r="J20" s="27"/>
      <c r="M20" s="275" t="s">
        <v>1231</v>
      </c>
      <c r="N20" s="275">
        <v>1675.14</v>
      </c>
      <c r="O20" s="274">
        <f>D24</f>
        <v>3.6639999999999999E-2</v>
      </c>
    </row>
    <row r="21" spans="1:15">
      <c r="A21" s="8" t="s">
        <v>784</v>
      </c>
      <c r="B21" s="9">
        <f>B3</f>
        <v>0.8</v>
      </c>
      <c r="C21" s="9">
        <f>1-B21</f>
        <v>0.19999999999999996</v>
      </c>
      <c r="D21" s="10"/>
      <c r="E21" s="9"/>
      <c r="F21" s="9">
        <f>$F$3</f>
        <v>0.8</v>
      </c>
      <c r="G21" s="9">
        <f>1-F21</f>
        <v>0.19999999999999996</v>
      </c>
      <c r="H21" s="10"/>
      <c r="I21" s="9"/>
      <c r="J21" s="10"/>
      <c r="M21" s="276" t="s">
        <v>1232</v>
      </c>
      <c r="N21" s="276">
        <v>1675.14</v>
      </c>
      <c r="O21" s="278">
        <f>D26</f>
        <v>3.3439999999999998E-2</v>
      </c>
    </row>
    <row r="22" spans="1:15" s="275" customFormat="1" ht="24.95" customHeight="1">
      <c r="A22" s="26" t="s">
        <v>778</v>
      </c>
      <c r="B22" s="27">
        <f>前3年整理!M10</f>
        <v>0</v>
      </c>
      <c r="C22" s="107">
        <f>$C$2</f>
        <v>3.1200000000000002E-2</v>
      </c>
      <c r="D22" s="27">
        <f>B22*B23+C22*C23</f>
        <v>6.239999999999999E-3</v>
      </c>
      <c r="E22" s="28"/>
      <c r="F22" s="107">
        <f>$F$2</f>
        <v>0.94399999999999995</v>
      </c>
      <c r="G22" s="107">
        <f>$G$2</f>
        <v>0.92800000000000005</v>
      </c>
      <c r="H22" s="27">
        <f>F22*F23+G22*G23</f>
        <v>0.94079999999999997</v>
      </c>
      <c r="I22" s="28"/>
      <c r="J22" s="27"/>
      <c r="M22" s="275" t="s">
        <v>1233</v>
      </c>
      <c r="N22" s="275">
        <v>1675.14</v>
      </c>
      <c r="O22" s="274">
        <f>D28</f>
        <v>4.5440000000000008E-2</v>
      </c>
    </row>
    <row r="23" spans="1:15">
      <c r="A23" s="8" t="s">
        <v>784</v>
      </c>
      <c r="B23" s="9">
        <f>B3</f>
        <v>0.8</v>
      </c>
      <c r="C23" s="9">
        <f>1-B23</f>
        <v>0.19999999999999996</v>
      </c>
      <c r="D23" s="10"/>
      <c r="E23" s="9"/>
      <c r="F23" s="9">
        <f>$F$3</f>
        <v>0.8</v>
      </c>
      <c r="G23" s="9">
        <f>1-F23</f>
        <v>0.19999999999999996</v>
      </c>
      <c r="H23" s="10"/>
      <c r="I23" s="9"/>
      <c r="J23" s="10"/>
      <c r="M23" s="276" t="s">
        <v>797</v>
      </c>
      <c r="N23" s="276">
        <f>SUM(N8:N22)</f>
        <v>100326.75</v>
      </c>
    </row>
    <row r="24" spans="1:15" s="275" customFormat="1" ht="24.95" customHeight="1">
      <c r="A24" s="26" t="s">
        <v>779</v>
      </c>
      <c r="B24" s="27">
        <f>前3年整理!M11</f>
        <v>3.7999999999999999E-2</v>
      </c>
      <c r="C24" s="107">
        <f>$C$2</f>
        <v>3.1200000000000002E-2</v>
      </c>
      <c r="D24" s="27">
        <f>B24*B25+C24*C25</f>
        <v>3.6639999999999999E-2</v>
      </c>
      <c r="E24" s="28"/>
      <c r="F24" s="107">
        <f>$F$2</f>
        <v>0.94399999999999995</v>
      </c>
      <c r="G24" s="107">
        <f>$G$2</f>
        <v>0.92800000000000005</v>
      </c>
      <c r="H24" s="27">
        <f>F24*F25+G24*G25</f>
        <v>0.94079999999999997</v>
      </c>
      <c r="I24" s="28"/>
      <c r="J24" s="27"/>
      <c r="O24" s="274">
        <f>ROUND((O12*N12+O13*N13+O14*N14+O15*N15+O16*N16+O17*N17+O18*N18+O19*N19+O20*N20+O21*N21+O22*N22)/(N23-N11-N10-N9-N8),3)</f>
        <v>7.4999999999999997E-2</v>
      </c>
    </row>
    <row r="25" spans="1:15">
      <c r="A25" s="8" t="s">
        <v>784</v>
      </c>
      <c r="B25" s="9">
        <f>B3</f>
        <v>0.8</v>
      </c>
      <c r="C25" s="9">
        <f>1-B25</f>
        <v>0.19999999999999996</v>
      </c>
      <c r="D25" s="10"/>
      <c r="E25" s="9"/>
      <c r="F25" s="9">
        <f>$F$3</f>
        <v>0.8</v>
      </c>
      <c r="G25" s="9">
        <f>1-F25</f>
        <v>0.19999999999999996</v>
      </c>
      <c r="H25" s="10"/>
      <c r="I25" s="9"/>
      <c r="J25" s="10"/>
    </row>
    <row r="26" spans="1:15" s="275" customFormat="1" ht="24.95" customHeight="1">
      <c r="A26" s="26" t="s">
        <v>780</v>
      </c>
      <c r="B26" s="27">
        <f>前3年整理!M12</f>
        <v>3.4000000000000002E-2</v>
      </c>
      <c r="C26" s="107">
        <f>$C$2</f>
        <v>3.1200000000000002E-2</v>
      </c>
      <c r="D26" s="27">
        <f>B26*B27+C26*C27</f>
        <v>3.3439999999999998E-2</v>
      </c>
      <c r="E26" s="28"/>
      <c r="F26" s="107">
        <f>$F$2</f>
        <v>0.94399999999999995</v>
      </c>
      <c r="G26" s="107">
        <f>$G$2</f>
        <v>0.92800000000000005</v>
      </c>
      <c r="H26" s="27">
        <f>F26*F27+G26*G27</f>
        <v>0.94079999999999997</v>
      </c>
      <c r="I26" s="28"/>
      <c r="J26" s="27"/>
    </row>
    <row r="27" spans="1:15">
      <c r="A27" s="8" t="s">
        <v>784</v>
      </c>
      <c r="B27" s="9">
        <f>B3</f>
        <v>0.8</v>
      </c>
      <c r="C27" s="9">
        <f>1-B27</f>
        <v>0.19999999999999996</v>
      </c>
      <c r="D27" s="10"/>
      <c r="E27" s="9"/>
      <c r="F27" s="9">
        <f>$F$3</f>
        <v>0.8</v>
      </c>
      <c r="G27" s="9">
        <f>1-F27</f>
        <v>0.19999999999999996</v>
      </c>
      <c r="H27" s="10"/>
      <c r="I27" s="9"/>
      <c r="J27" s="10"/>
    </row>
    <row r="28" spans="1:15" s="275" customFormat="1" ht="24.95" customHeight="1">
      <c r="A28" s="26" t="s">
        <v>781</v>
      </c>
      <c r="B28" s="27">
        <f>前3年整理!M13</f>
        <v>4.9000000000000002E-2</v>
      </c>
      <c r="C28" s="107">
        <f>$C$2</f>
        <v>3.1200000000000002E-2</v>
      </c>
      <c r="D28" s="27">
        <f>B28*B29+C28*C29</f>
        <v>4.5440000000000008E-2</v>
      </c>
      <c r="E28" s="28"/>
      <c r="F28" s="107">
        <f>$F$2</f>
        <v>0.94399999999999995</v>
      </c>
      <c r="G28" s="107">
        <f>$G$2</f>
        <v>0.92800000000000005</v>
      </c>
      <c r="H28" s="27">
        <f>F28*F29+G28*G29</f>
        <v>0.94079999999999997</v>
      </c>
      <c r="I28" s="28"/>
      <c r="J28" s="27"/>
    </row>
    <row r="29" spans="1:15">
      <c r="A29" s="8" t="s">
        <v>784</v>
      </c>
      <c r="B29" s="9">
        <f>B5</f>
        <v>0.8</v>
      </c>
      <c r="C29" s="9">
        <f>1-B29</f>
        <v>0.19999999999999996</v>
      </c>
      <c r="D29" s="10"/>
      <c r="E29" s="9"/>
      <c r="F29" s="9">
        <f>$F$3</f>
        <v>0.8</v>
      </c>
      <c r="G29" s="9">
        <f>1-F29</f>
        <v>0.19999999999999996</v>
      </c>
      <c r="H29" s="10"/>
      <c r="I29" s="9"/>
      <c r="J29" s="10"/>
    </row>
    <row r="30" spans="1:15">
      <c r="A30" s="110" t="s">
        <v>1236</v>
      </c>
      <c r="B30" s="27">
        <v>0</v>
      </c>
      <c r="C30" s="109">
        <f>C28</f>
        <v>3.1200000000000002E-2</v>
      </c>
      <c r="D30" s="27">
        <f>B30*B31+C30*C31</f>
        <v>6.239999999999999E-3</v>
      </c>
      <c r="E30" s="110"/>
      <c r="F30" s="111">
        <f>F2</f>
        <v>0.94399999999999995</v>
      </c>
      <c r="G30" s="111">
        <f>G2</f>
        <v>0.92800000000000005</v>
      </c>
      <c r="H30" s="27">
        <f>F30*F31+G30*G31</f>
        <v>0.94079999999999997</v>
      </c>
      <c r="I30" s="110"/>
    </row>
    <row r="31" spans="1:15">
      <c r="A31" s="8" t="s">
        <v>784</v>
      </c>
      <c r="B31" s="9">
        <f>B7</f>
        <v>0.8</v>
      </c>
      <c r="C31" s="9">
        <f>1-B31</f>
        <v>0.19999999999999996</v>
      </c>
      <c r="D31" s="110"/>
      <c r="E31" s="110"/>
      <c r="F31" s="110">
        <f>F3</f>
        <v>0.8</v>
      </c>
      <c r="G31" s="110">
        <f>1-F31</f>
        <v>0.19999999999999996</v>
      </c>
      <c r="H31" s="110"/>
      <c r="I31" s="110"/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35"/>
  <sheetViews>
    <sheetView workbookViewId="0">
      <selection activeCell="I24" sqref="I24"/>
    </sheetView>
  </sheetViews>
  <sheetFormatPr defaultRowHeight="14.25"/>
  <cols>
    <col min="1" max="1" width="9" style="276"/>
    <col min="2" max="2" width="12.5" style="276" customWidth="1"/>
    <col min="3" max="5" width="9" style="276"/>
    <col min="6" max="6" width="13.625" style="276" customWidth="1"/>
    <col min="7" max="7" width="9" style="276"/>
    <col min="8" max="8" width="12.375" style="279" customWidth="1"/>
    <col min="9" max="9" width="9" style="276"/>
    <col min="10" max="10" width="10" style="276" bestFit="1" customWidth="1"/>
    <col min="11" max="16384" width="9" style="276"/>
  </cols>
  <sheetData>
    <row r="1" spans="1:11">
      <c r="A1" s="549" t="s">
        <v>594</v>
      </c>
      <c r="B1" s="549"/>
      <c r="C1" s="549"/>
      <c r="D1" s="549"/>
      <c r="E1" s="549"/>
    </row>
    <row r="2" spans="1:11">
      <c r="A2" s="9" t="s">
        <v>578</v>
      </c>
      <c r="B2" s="9" t="s">
        <v>579</v>
      </c>
      <c r="C2" s="9" t="s">
        <v>580</v>
      </c>
      <c r="D2" s="9" t="s">
        <v>581</v>
      </c>
      <c r="E2" s="9" t="s">
        <v>582</v>
      </c>
    </row>
    <row r="3" spans="1:11">
      <c r="A3" s="280">
        <v>1</v>
      </c>
      <c r="B3" s="280" t="s">
        <v>612</v>
      </c>
      <c r="C3" s="280">
        <v>18.329999999999998</v>
      </c>
      <c r="D3" s="548" t="s">
        <v>583</v>
      </c>
      <c r="E3" s="548">
        <v>-3</v>
      </c>
      <c r="F3" s="281" t="s">
        <v>595</v>
      </c>
      <c r="G3" s="281">
        <f>C3+C5+C8+C12+C17+C20+C27</f>
        <v>1500.7800000000002</v>
      </c>
      <c r="H3" s="282" t="s">
        <v>610</v>
      </c>
    </row>
    <row r="4" spans="1:11">
      <c r="A4" s="280">
        <v>2</v>
      </c>
      <c r="B4" s="280">
        <v>-301</v>
      </c>
      <c r="C4" s="280">
        <v>7660.9</v>
      </c>
      <c r="D4" s="548"/>
      <c r="E4" s="548"/>
      <c r="F4" s="283" t="s">
        <v>596</v>
      </c>
      <c r="G4" s="281">
        <f>C4+C6+C7</f>
        <v>23898.16</v>
      </c>
      <c r="H4" s="282" t="s">
        <v>611</v>
      </c>
      <c r="J4" s="303">
        <f>ROUND(G4/35,0)</f>
        <v>683</v>
      </c>
    </row>
    <row r="5" spans="1:11">
      <c r="A5" s="280">
        <v>3</v>
      </c>
      <c r="B5" s="280" t="s">
        <v>584</v>
      </c>
      <c r="C5" s="280">
        <v>48.08</v>
      </c>
      <c r="D5" s="548" t="s">
        <v>583</v>
      </c>
      <c r="E5" s="548">
        <v>-2</v>
      </c>
      <c r="F5" s="282" t="s">
        <v>613</v>
      </c>
      <c r="G5" s="281">
        <f>C9</f>
        <v>1263.2</v>
      </c>
      <c r="H5" s="550" t="s">
        <v>614</v>
      </c>
    </row>
    <row r="6" spans="1:11">
      <c r="A6" s="280">
        <v>4</v>
      </c>
      <c r="B6" s="280">
        <v>-201</v>
      </c>
      <c r="C6" s="280">
        <v>8316.48</v>
      </c>
      <c r="D6" s="548"/>
      <c r="E6" s="548"/>
      <c r="F6" s="282" t="s">
        <v>597</v>
      </c>
      <c r="G6" s="281">
        <f>C10+C11</f>
        <v>13672.09</v>
      </c>
      <c r="H6" s="550"/>
      <c r="J6" s="353">
        <v>51980</v>
      </c>
      <c r="K6" s="276">
        <v>24.27</v>
      </c>
    </row>
    <row r="7" spans="1:11">
      <c r="A7" s="280">
        <v>5</v>
      </c>
      <c r="B7" s="280">
        <v>-202</v>
      </c>
      <c r="C7" s="280">
        <v>7920.78</v>
      </c>
      <c r="D7" s="280"/>
      <c r="E7" s="548"/>
      <c r="F7" s="282" t="s">
        <v>598</v>
      </c>
      <c r="G7" s="281">
        <f>C13+C14+C15+C16</f>
        <v>10943.6</v>
      </c>
      <c r="H7" s="282" t="s">
        <v>622</v>
      </c>
      <c r="J7" s="353">
        <v>55633</v>
      </c>
      <c r="K7" s="276">
        <v>34.270000000000003</v>
      </c>
    </row>
    <row r="8" spans="1:11">
      <c r="A8" s="280">
        <v>6</v>
      </c>
      <c r="B8" s="280" t="s">
        <v>585</v>
      </c>
      <c r="C8" s="280">
        <v>1210.6300000000001</v>
      </c>
      <c r="D8" s="280"/>
      <c r="E8" s="548">
        <v>-1</v>
      </c>
      <c r="F8" s="282" t="s">
        <v>599</v>
      </c>
      <c r="G8" s="281">
        <f>C18+C19</f>
        <v>10674.84</v>
      </c>
      <c r="H8" s="282" t="s">
        <v>622</v>
      </c>
    </row>
    <row r="9" spans="1:11">
      <c r="A9" s="280">
        <v>7</v>
      </c>
      <c r="B9" s="280">
        <v>-101</v>
      </c>
      <c r="C9" s="280">
        <v>1263.2</v>
      </c>
      <c r="D9" s="280" t="s">
        <v>586</v>
      </c>
      <c r="E9" s="548"/>
      <c r="F9" s="282" t="s">
        <v>600</v>
      </c>
      <c r="G9" s="281">
        <f>C21+C22</f>
        <v>11059.21</v>
      </c>
      <c r="H9" s="282" t="s">
        <v>622</v>
      </c>
    </row>
    <row r="10" spans="1:11">
      <c r="A10" s="280">
        <v>8</v>
      </c>
      <c r="B10" s="280">
        <v>-102</v>
      </c>
      <c r="C10" s="280">
        <v>4706.78</v>
      </c>
      <c r="D10" s="548" t="s">
        <v>587</v>
      </c>
      <c r="E10" s="548"/>
      <c r="F10" s="282" t="s">
        <v>601</v>
      </c>
      <c r="G10" s="281">
        <f>C23+C24</f>
        <v>8046.58</v>
      </c>
      <c r="H10" s="282" t="s">
        <v>621</v>
      </c>
    </row>
    <row r="11" spans="1:11">
      <c r="A11" s="280">
        <v>9</v>
      </c>
      <c r="B11" s="280">
        <v>-103</v>
      </c>
      <c r="C11" s="280">
        <v>8965.31</v>
      </c>
      <c r="D11" s="548"/>
      <c r="E11" s="548"/>
      <c r="F11" s="282" t="s">
        <v>602</v>
      </c>
      <c r="G11" s="281">
        <f>C25+C26</f>
        <v>6074.51</v>
      </c>
      <c r="H11" s="282" t="s">
        <v>620</v>
      </c>
    </row>
    <row r="12" spans="1:11">
      <c r="A12" s="280">
        <v>10</v>
      </c>
      <c r="B12" s="280" t="s">
        <v>588</v>
      </c>
      <c r="C12" s="280">
        <v>77.739999999999995</v>
      </c>
      <c r="D12" s="548" t="s">
        <v>589</v>
      </c>
      <c r="E12" s="548">
        <v>1</v>
      </c>
      <c r="F12" s="282" t="s">
        <v>603</v>
      </c>
      <c r="G12" s="281">
        <f>C28+C29</f>
        <v>4780.24</v>
      </c>
      <c r="H12" s="282" t="s">
        <v>620</v>
      </c>
    </row>
    <row r="13" spans="1:11">
      <c r="A13" s="280">
        <v>11</v>
      </c>
      <c r="B13" s="280">
        <v>101</v>
      </c>
      <c r="C13" s="280">
        <v>2603.7600000000002</v>
      </c>
      <c r="D13" s="548"/>
      <c r="E13" s="548"/>
      <c r="F13" s="282" t="s">
        <v>604</v>
      </c>
      <c r="G13" s="281">
        <f>C30</f>
        <v>1694.06</v>
      </c>
      <c r="H13" s="282" t="s">
        <v>619</v>
      </c>
    </row>
    <row r="14" spans="1:11">
      <c r="A14" s="280">
        <v>12</v>
      </c>
      <c r="B14" s="280">
        <v>102</v>
      </c>
      <c r="C14" s="280">
        <v>8182.27</v>
      </c>
      <c r="D14" s="548"/>
      <c r="E14" s="548"/>
      <c r="F14" s="282" t="s">
        <v>605</v>
      </c>
      <c r="G14" s="281">
        <f>C31</f>
        <v>1694.06</v>
      </c>
      <c r="H14" s="282" t="s">
        <v>618</v>
      </c>
    </row>
    <row r="15" spans="1:11">
      <c r="A15" s="280">
        <v>13</v>
      </c>
      <c r="B15" s="280">
        <v>103</v>
      </c>
      <c r="C15" s="280">
        <v>83.01</v>
      </c>
      <c r="D15" s="548"/>
      <c r="E15" s="548"/>
      <c r="F15" s="282" t="s">
        <v>606</v>
      </c>
      <c r="G15" s="281">
        <f>C32</f>
        <v>1675.14</v>
      </c>
      <c r="H15" s="282" t="s">
        <v>617</v>
      </c>
    </row>
    <row r="16" spans="1:11">
      <c r="A16" s="280">
        <v>14</v>
      </c>
      <c r="B16" s="280">
        <v>104</v>
      </c>
      <c r="C16" s="280">
        <v>74.56</v>
      </c>
      <c r="D16" s="548"/>
      <c r="E16" s="548"/>
      <c r="F16" s="282" t="s">
        <v>607</v>
      </c>
      <c r="G16" s="281">
        <f>C33</f>
        <v>1675.14</v>
      </c>
      <c r="H16" s="282" t="s">
        <v>616</v>
      </c>
    </row>
    <row r="17" spans="1:10">
      <c r="A17" s="280">
        <v>15</v>
      </c>
      <c r="B17" s="280" t="s">
        <v>590</v>
      </c>
      <c r="C17" s="280">
        <v>12.33</v>
      </c>
      <c r="D17" s="548"/>
      <c r="E17" s="548">
        <v>2</v>
      </c>
      <c r="F17" s="282" t="s">
        <v>608</v>
      </c>
      <c r="G17" s="281">
        <f>C34</f>
        <v>1675.14</v>
      </c>
      <c r="H17" s="282" t="s">
        <v>615</v>
      </c>
    </row>
    <row r="18" spans="1:10">
      <c r="A18" s="280">
        <v>16</v>
      </c>
      <c r="B18" s="280">
        <v>201</v>
      </c>
      <c r="C18" s="280">
        <v>2949.96</v>
      </c>
      <c r="D18" s="548"/>
      <c r="E18" s="548"/>
      <c r="F18" s="282" t="s">
        <v>609</v>
      </c>
      <c r="G18" s="281">
        <f>SUM(G3:G17)</f>
        <v>100326.75</v>
      </c>
      <c r="H18" s="282"/>
    </row>
    <row r="19" spans="1:10">
      <c r="A19" s="280">
        <v>17</v>
      </c>
      <c r="B19" s="280">
        <v>202</v>
      </c>
      <c r="C19" s="280">
        <v>7724.88</v>
      </c>
      <c r="D19" s="548"/>
      <c r="E19" s="548"/>
      <c r="F19" s="279"/>
    </row>
    <row r="20" spans="1:10">
      <c r="A20" s="280">
        <v>18</v>
      </c>
      <c r="B20" s="280" t="s">
        <v>591</v>
      </c>
      <c r="C20" s="280">
        <v>7.48</v>
      </c>
      <c r="D20" s="548"/>
      <c r="E20" s="548">
        <v>3</v>
      </c>
      <c r="F20" s="279"/>
    </row>
    <row r="21" spans="1:10">
      <c r="A21" s="280">
        <v>19</v>
      </c>
      <c r="B21" s="280">
        <v>301</v>
      </c>
      <c r="C21" s="280">
        <v>2986.66</v>
      </c>
      <c r="D21" s="548"/>
      <c r="E21" s="548"/>
      <c r="F21" s="279"/>
    </row>
    <row r="22" spans="1:10">
      <c r="A22" s="280">
        <v>20</v>
      </c>
      <c r="B22" s="280">
        <v>302</v>
      </c>
      <c r="C22" s="280">
        <v>8072.55</v>
      </c>
      <c r="D22" s="548"/>
      <c r="E22" s="548"/>
      <c r="F22" s="279"/>
    </row>
    <row r="23" spans="1:10">
      <c r="A23" s="280">
        <v>21</v>
      </c>
      <c r="B23" s="280">
        <v>501</v>
      </c>
      <c r="C23" s="280">
        <v>2994.27</v>
      </c>
      <c r="D23" s="548"/>
      <c r="E23" s="548">
        <v>4</v>
      </c>
      <c r="F23" s="551" t="s">
        <v>631</v>
      </c>
      <c r="G23" s="552"/>
      <c r="H23" s="552"/>
    </row>
    <row r="24" spans="1:10">
      <c r="A24" s="280">
        <v>22</v>
      </c>
      <c r="B24" s="280">
        <v>502</v>
      </c>
      <c r="C24" s="280">
        <v>5052.3100000000004</v>
      </c>
      <c r="D24" s="548"/>
      <c r="E24" s="548"/>
      <c r="F24" s="284" t="s">
        <v>623</v>
      </c>
      <c r="G24" s="284" t="s">
        <v>624</v>
      </c>
      <c r="H24" s="110" t="s">
        <v>625</v>
      </c>
    </row>
    <row r="25" spans="1:10">
      <c r="A25" s="280">
        <v>23</v>
      </c>
      <c r="B25" s="280">
        <v>601</v>
      </c>
      <c r="C25" s="280">
        <v>2367.5700000000002</v>
      </c>
      <c r="D25" s="548"/>
      <c r="E25" s="548">
        <v>5</v>
      </c>
      <c r="F25" s="284" t="s">
        <v>626</v>
      </c>
      <c r="G25" s="284" t="s">
        <v>627</v>
      </c>
      <c r="H25" s="285">
        <f>626.45+85.41</f>
        <v>711.86</v>
      </c>
    </row>
    <row r="26" spans="1:10">
      <c r="A26" s="280">
        <v>24</v>
      </c>
      <c r="B26" s="280">
        <v>602</v>
      </c>
      <c r="C26" s="280">
        <v>3706.94</v>
      </c>
      <c r="D26" s="548"/>
      <c r="E26" s="548"/>
      <c r="F26" s="284" t="s">
        <v>628</v>
      </c>
      <c r="G26" s="284" t="s">
        <v>614</v>
      </c>
      <c r="H26" s="285">
        <f>11207.71-4767.24</f>
        <v>6440.4699999999993</v>
      </c>
      <c r="J26" s="276">
        <f>4767+4927+1685</f>
        <v>11379</v>
      </c>
    </row>
    <row r="27" spans="1:10">
      <c r="A27" s="280">
        <v>25</v>
      </c>
      <c r="B27" s="280" t="s">
        <v>592</v>
      </c>
      <c r="C27" s="280">
        <v>126.19</v>
      </c>
      <c r="D27" s="548"/>
      <c r="E27" s="548">
        <v>6</v>
      </c>
      <c r="F27" s="284" t="s">
        <v>629</v>
      </c>
      <c r="G27" s="284" t="s">
        <v>630</v>
      </c>
      <c r="H27" s="286">
        <f>49755.44-4929.01-1685</f>
        <v>43141.43</v>
      </c>
    </row>
    <row r="28" spans="1:10">
      <c r="A28" s="280">
        <v>26</v>
      </c>
      <c r="B28" s="280">
        <v>701</v>
      </c>
      <c r="C28" s="280">
        <v>2263.92</v>
      </c>
      <c r="D28" s="548"/>
      <c r="E28" s="548"/>
      <c r="H28" s="287">
        <f>SUM(H25:H27)</f>
        <v>50293.760000000002</v>
      </c>
    </row>
    <row r="29" spans="1:10">
      <c r="A29" s="280">
        <v>27</v>
      </c>
      <c r="B29" s="280">
        <v>702</v>
      </c>
      <c r="C29" s="280">
        <v>2516.3200000000002</v>
      </c>
      <c r="D29" s="548"/>
      <c r="E29" s="548"/>
      <c r="F29" s="288" t="s">
        <v>632</v>
      </c>
      <c r="G29" s="351">
        <v>1003</v>
      </c>
    </row>
    <row r="30" spans="1:10">
      <c r="A30" s="280">
        <v>28</v>
      </c>
      <c r="B30" s="280">
        <v>801</v>
      </c>
      <c r="C30" s="280">
        <v>1694.06</v>
      </c>
      <c r="D30" s="548" t="s">
        <v>593</v>
      </c>
      <c r="E30" s="280">
        <v>7</v>
      </c>
      <c r="H30" s="287"/>
    </row>
    <row r="31" spans="1:10">
      <c r="A31" s="280">
        <v>29</v>
      </c>
      <c r="B31" s="280">
        <v>901</v>
      </c>
      <c r="C31" s="280">
        <v>1694.06</v>
      </c>
      <c r="D31" s="548"/>
      <c r="E31" s="280">
        <v>8</v>
      </c>
    </row>
    <row r="32" spans="1:10">
      <c r="A32" s="280">
        <v>30</v>
      </c>
      <c r="B32" s="280">
        <v>1001</v>
      </c>
      <c r="C32" s="280">
        <v>1675.14</v>
      </c>
      <c r="D32" s="548"/>
      <c r="E32" s="280">
        <v>9</v>
      </c>
    </row>
    <row r="33" spans="1:5">
      <c r="A33" s="280">
        <v>31</v>
      </c>
      <c r="B33" s="280">
        <v>1101</v>
      </c>
      <c r="C33" s="280">
        <v>1675.14</v>
      </c>
      <c r="D33" s="548"/>
      <c r="E33" s="280">
        <v>10</v>
      </c>
    </row>
    <row r="34" spans="1:5">
      <c r="A34" s="280">
        <v>32</v>
      </c>
      <c r="B34" s="280">
        <v>1201</v>
      </c>
      <c r="C34" s="280">
        <v>1675.14</v>
      </c>
      <c r="D34" s="548"/>
      <c r="E34" s="280">
        <v>11</v>
      </c>
    </row>
    <row r="35" spans="1:5">
      <c r="A35" s="289"/>
      <c r="B35" s="289"/>
      <c r="C35" s="289">
        <f>SUM(C3:C34)</f>
        <v>100326.75000000001</v>
      </c>
      <c r="D35" s="289"/>
      <c r="E35" s="289"/>
    </row>
  </sheetData>
  <mergeCells count="17">
    <mergeCell ref="H5:H6"/>
    <mergeCell ref="F23:H23"/>
    <mergeCell ref="D12:D29"/>
    <mergeCell ref="E12:E16"/>
    <mergeCell ref="E17:E19"/>
    <mergeCell ref="E20:E22"/>
    <mergeCell ref="E23:E24"/>
    <mergeCell ref="E25:E26"/>
    <mergeCell ref="E27:E29"/>
    <mergeCell ref="D5:D6"/>
    <mergeCell ref="E5:E7"/>
    <mergeCell ref="E8:E11"/>
    <mergeCell ref="D10:D11"/>
    <mergeCell ref="D30:D34"/>
    <mergeCell ref="A1:E1"/>
    <mergeCell ref="D3:D4"/>
    <mergeCell ref="E3:E4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47"/>
  <sheetViews>
    <sheetView topLeftCell="A19" workbookViewId="0">
      <selection activeCell="E51" sqref="E51"/>
    </sheetView>
  </sheetViews>
  <sheetFormatPr defaultColWidth="8.875" defaultRowHeight="14.25"/>
  <cols>
    <col min="1" max="1" width="12" style="276" customWidth="1"/>
    <col min="2" max="3" width="12.625" style="276" customWidth="1"/>
    <col min="4" max="4" width="8.875" style="276"/>
    <col min="5" max="5" width="10.625" style="276" customWidth="1"/>
    <col min="6" max="6" width="11.75" style="276" customWidth="1"/>
    <col min="7" max="8" width="10.625" style="276" customWidth="1"/>
    <col min="9" max="9" width="10.375" style="276" customWidth="1"/>
    <col min="10" max="10" width="10.625" style="276" customWidth="1"/>
    <col min="11" max="12" width="10.25" style="276" customWidth="1"/>
    <col min="13" max="13" width="11.625" style="276" bestFit="1" customWidth="1"/>
    <col min="14" max="16384" width="8.875" style="276"/>
  </cols>
  <sheetData>
    <row r="1" spans="1:13">
      <c r="A1" s="555" t="s">
        <v>1137</v>
      </c>
      <c r="B1" s="555">
        <v>2017</v>
      </c>
      <c r="C1" s="555"/>
      <c r="D1" s="555"/>
      <c r="E1" s="555">
        <v>2016</v>
      </c>
      <c r="F1" s="555"/>
      <c r="G1" s="555"/>
      <c r="H1" s="555">
        <v>2015</v>
      </c>
      <c r="I1" s="555"/>
      <c r="J1" s="555"/>
      <c r="K1" s="555" t="s">
        <v>1138</v>
      </c>
      <c r="L1" s="555" t="s">
        <v>1139</v>
      </c>
    </row>
    <row r="2" spans="1:13">
      <c r="A2" s="555"/>
      <c r="B2" s="110" t="s">
        <v>1140</v>
      </c>
      <c r="C2" s="110" t="s">
        <v>1141</v>
      </c>
      <c r="D2" s="110" t="s">
        <v>1142</v>
      </c>
      <c r="E2" s="110" t="s">
        <v>1143</v>
      </c>
      <c r="F2" s="110" t="s">
        <v>1141</v>
      </c>
      <c r="G2" s="110" t="s">
        <v>1142</v>
      </c>
      <c r="H2" s="110" t="s">
        <v>1140</v>
      </c>
      <c r="I2" s="110" t="s">
        <v>1141</v>
      </c>
      <c r="J2" s="110" t="s">
        <v>1142</v>
      </c>
      <c r="K2" s="555"/>
      <c r="L2" s="555"/>
    </row>
    <row r="3" spans="1:13">
      <c r="A3" s="110" t="s">
        <v>1144</v>
      </c>
      <c r="B3" s="110">
        <v>13206.11</v>
      </c>
      <c r="C3" s="110">
        <v>4382940.33</v>
      </c>
      <c r="D3" s="290">
        <f>C3/30/B3</f>
        <v>11.062910349830494</v>
      </c>
      <c r="E3" s="110">
        <v>13084.04</v>
      </c>
      <c r="F3" s="110">
        <v>4009619.48</v>
      </c>
      <c r="G3" s="290">
        <f>F3/30/E3</f>
        <v>10.215039289597607</v>
      </c>
      <c r="H3" s="110">
        <v>13070.04</v>
      </c>
      <c r="I3" s="110">
        <v>3775274.33</v>
      </c>
      <c r="J3" s="290">
        <f>I3/30/H3</f>
        <v>9.6283161846992567</v>
      </c>
      <c r="K3" s="291">
        <f>D3/G3-1</f>
        <v>8.3002231924482972E-2</v>
      </c>
      <c r="L3" s="291">
        <f>G3/J3-1</f>
        <v>6.0937249425889739E-2</v>
      </c>
      <c r="M3" s="278">
        <f>ROUND(AVERAGE(K3:L3),3)</f>
        <v>7.1999999999999995E-2</v>
      </c>
    </row>
    <row r="4" spans="1:13">
      <c r="A4" s="110" t="s">
        <v>1145</v>
      </c>
      <c r="B4" s="110">
        <v>6342.54</v>
      </c>
      <c r="C4" s="110">
        <v>3700048.6</v>
      </c>
      <c r="D4" s="290">
        <f>C4/30/B4</f>
        <v>19.445672133456522</v>
      </c>
      <c r="E4" s="110">
        <v>5967.49</v>
      </c>
      <c r="F4" s="110">
        <v>3281784.04</v>
      </c>
      <c r="G4" s="290">
        <f>F4/30/E4</f>
        <v>18.331459513687218</v>
      </c>
      <c r="H4" s="110">
        <v>7130.4</v>
      </c>
      <c r="I4" s="110">
        <v>3575509.54</v>
      </c>
      <c r="J4" s="290">
        <f>I4/30/H4</f>
        <v>16.714861905830436</v>
      </c>
      <c r="K4" s="291">
        <f t="shared" ref="K4:K16" si="0">D4/G4-1</f>
        <v>6.0781446176578324E-2</v>
      </c>
      <c r="L4" s="291">
        <f t="shared" ref="L4:L16" si="1">G4/J4-1</f>
        <v>9.6716180903228643E-2</v>
      </c>
      <c r="M4" s="278">
        <f>ROUND(AVERAGE(K4:L4),3)</f>
        <v>7.9000000000000001E-2</v>
      </c>
    </row>
    <row r="5" spans="1:13">
      <c r="A5" s="110" t="s">
        <v>1146</v>
      </c>
      <c r="B5" s="110">
        <v>7043.49</v>
      </c>
      <c r="C5" s="110">
        <v>2951029.2</v>
      </c>
      <c r="D5" s="290">
        <f t="shared" ref="D5:D16" si="2">C5/30/B5</f>
        <v>13.965752773128095</v>
      </c>
      <c r="E5" s="110">
        <v>6655.96</v>
      </c>
      <c r="F5" s="110">
        <v>2666389.9900000002</v>
      </c>
      <c r="G5" s="290">
        <f>F5/30/E5</f>
        <v>13.353395503178104</v>
      </c>
      <c r="H5" s="110">
        <v>7474.41</v>
      </c>
      <c r="I5" s="110">
        <v>2230998.0499999998</v>
      </c>
      <c r="J5" s="290">
        <f t="shared" ref="J5:J16" si="3">I5/30/H5</f>
        <v>9.9494945643424231</v>
      </c>
      <c r="K5" s="291">
        <f t="shared" si="0"/>
        <v>4.5857794731253954E-2</v>
      </c>
      <c r="L5" s="291">
        <f>G5/J5-1</f>
        <v>0.34211797562408641</v>
      </c>
      <c r="M5" s="278">
        <f>ROUND(AVERAGE(K5:L5),3)</f>
        <v>0.19400000000000001</v>
      </c>
    </row>
    <row r="6" spans="1:13">
      <c r="A6" s="110" t="s">
        <v>1147</v>
      </c>
      <c r="B6" s="110">
        <v>5783.03</v>
      </c>
      <c r="C6" s="110">
        <v>1648732.61</v>
      </c>
      <c r="D6" s="290">
        <f t="shared" si="2"/>
        <v>9.503280056763785</v>
      </c>
      <c r="E6" s="110">
        <v>4534.6499999999996</v>
      </c>
      <c r="F6" s="110">
        <v>1249354</v>
      </c>
      <c r="G6" s="290">
        <f t="shared" ref="G6:G16" si="4">F6/30/E6</f>
        <v>9.1837591287824498</v>
      </c>
      <c r="H6" s="110">
        <v>4503.1499999999996</v>
      </c>
      <c r="I6" s="110">
        <v>1154006.47</v>
      </c>
      <c r="J6" s="290">
        <f t="shared" si="3"/>
        <v>8.5422165225083191</v>
      </c>
      <c r="K6" s="291">
        <f t="shared" si="0"/>
        <v>3.4791954307679784E-2</v>
      </c>
      <c r="L6" s="291">
        <f t="shared" si="1"/>
        <v>7.5102592469260987E-2</v>
      </c>
      <c r="M6" s="278">
        <f t="shared" ref="M6:M7" si="5">ROUND(AVERAGE(K6:L6),3)</f>
        <v>5.5E-2</v>
      </c>
    </row>
    <row r="7" spans="1:13">
      <c r="A7" s="110" t="s">
        <v>1148</v>
      </c>
      <c r="B7" s="110">
        <v>3820.57</v>
      </c>
      <c r="C7" s="110">
        <v>865046.74</v>
      </c>
      <c r="D7" s="290">
        <f t="shared" si="2"/>
        <v>7.5472747085731529</v>
      </c>
      <c r="E7" s="110">
        <v>3805.59</v>
      </c>
      <c r="F7" s="110">
        <v>837535</v>
      </c>
      <c r="G7" s="290">
        <f t="shared" si="4"/>
        <v>7.3360065938089312</v>
      </c>
      <c r="H7" s="110">
        <v>3816.78</v>
      </c>
      <c r="I7" s="110">
        <v>758383.9</v>
      </c>
      <c r="J7" s="290">
        <f t="shared" si="3"/>
        <v>6.6232435019396796</v>
      </c>
      <c r="K7" s="291">
        <f t="shared" si="0"/>
        <v>2.8798790194997537E-2</v>
      </c>
      <c r="L7" s="291">
        <f t="shared" si="1"/>
        <v>0.10761541405815933</v>
      </c>
      <c r="M7" s="278">
        <f t="shared" si="5"/>
        <v>6.8000000000000005E-2</v>
      </c>
    </row>
    <row r="8" spans="1:13">
      <c r="A8" s="110" t="s">
        <v>1149</v>
      </c>
      <c r="B8" s="110"/>
      <c r="C8" s="110"/>
      <c r="D8" s="290"/>
      <c r="E8" s="110"/>
      <c r="F8" s="110"/>
      <c r="G8" s="290"/>
      <c r="H8" s="110"/>
      <c r="I8" s="110"/>
      <c r="J8" s="290"/>
      <c r="K8" s="291"/>
      <c r="L8" s="291"/>
      <c r="M8" s="278"/>
    </row>
    <row r="9" spans="1:13">
      <c r="A9" s="110" t="s">
        <v>1150</v>
      </c>
      <c r="B9" s="110">
        <v>1285.57</v>
      </c>
      <c r="C9" s="110">
        <v>254167.9</v>
      </c>
      <c r="D9" s="290">
        <f t="shared" si="2"/>
        <v>6.5902777237593693</v>
      </c>
      <c r="E9" s="110">
        <v>1285.57</v>
      </c>
      <c r="F9" s="110">
        <v>254167.9</v>
      </c>
      <c r="G9" s="290">
        <f t="shared" si="4"/>
        <v>6.5902777237593693</v>
      </c>
      <c r="H9" s="110">
        <v>1285.57</v>
      </c>
      <c r="I9" s="110">
        <v>215065.1</v>
      </c>
      <c r="J9" s="290">
        <f t="shared" si="3"/>
        <v>5.5763876464655118</v>
      </c>
      <c r="K9" s="291">
        <f t="shared" si="0"/>
        <v>0</v>
      </c>
      <c r="L9" s="291">
        <f t="shared" si="1"/>
        <v>0.18181843544117537</v>
      </c>
      <c r="M9" s="278">
        <f>ROUND(AVERAGE(K9:L9),3)</f>
        <v>9.0999999999999998E-2</v>
      </c>
    </row>
    <row r="10" spans="1:13">
      <c r="A10" s="110" t="s">
        <v>1151</v>
      </c>
      <c r="B10" s="110">
        <v>1285.57</v>
      </c>
      <c r="C10" s="110">
        <v>273719.28000000003</v>
      </c>
      <c r="D10" s="290">
        <f t="shared" si="2"/>
        <v>7.0972222438295862</v>
      </c>
      <c r="E10" s="110">
        <v>1285.57</v>
      </c>
      <c r="F10" s="110">
        <v>273719.28000000003</v>
      </c>
      <c r="G10" s="290">
        <f t="shared" si="4"/>
        <v>7.0972222438295862</v>
      </c>
      <c r="H10" s="110">
        <v>1285.57</v>
      </c>
      <c r="I10" s="110">
        <v>273719.28000000003</v>
      </c>
      <c r="J10" s="290">
        <f t="shared" si="3"/>
        <v>7.0972222438295862</v>
      </c>
      <c r="K10" s="291">
        <f t="shared" si="0"/>
        <v>0</v>
      </c>
      <c r="L10" s="291">
        <f t="shared" si="1"/>
        <v>0</v>
      </c>
      <c r="M10" s="278">
        <f t="shared" ref="M10:M13" si="6">ROUND(AVERAGE(K10:L10),3)</f>
        <v>0</v>
      </c>
    </row>
    <row r="11" spans="1:13">
      <c r="A11" s="110" t="s">
        <v>1152</v>
      </c>
      <c r="B11" s="110">
        <v>1271.17</v>
      </c>
      <c r="C11" s="110">
        <v>270653.28000000003</v>
      </c>
      <c r="D11" s="290">
        <f t="shared" si="2"/>
        <v>7.0972222440743575</v>
      </c>
      <c r="E11" s="110">
        <v>1271.17</v>
      </c>
      <c r="F11" s="110">
        <v>251320.9</v>
      </c>
      <c r="G11" s="290">
        <f t="shared" si="4"/>
        <v>6.590277723147441</v>
      </c>
      <c r="H11" s="110">
        <v>1271.17</v>
      </c>
      <c r="I11" s="110">
        <v>251320.9</v>
      </c>
      <c r="J11" s="290">
        <f t="shared" si="3"/>
        <v>6.590277723147441</v>
      </c>
      <c r="K11" s="291">
        <f>D11/G11-1</f>
        <v>7.692308916608237E-2</v>
      </c>
      <c r="L11" s="291">
        <f t="shared" si="1"/>
        <v>0</v>
      </c>
      <c r="M11" s="278">
        <f t="shared" si="6"/>
        <v>3.7999999999999999E-2</v>
      </c>
    </row>
    <row r="12" spans="1:13">
      <c r="A12" s="110" t="s">
        <v>1153</v>
      </c>
      <c r="B12" s="110">
        <v>1277.49</v>
      </c>
      <c r="C12" s="110">
        <v>252570.42</v>
      </c>
      <c r="D12" s="290">
        <f t="shared" si="2"/>
        <v>6.59027781039382</v>
      </c>
      <c r="E12" s="110">
        <v>2554.98</v>
      </c>
      <c r="F12" s="110">
        <v>520684</v>
      </c>
      <c r="G12" s="290">
        <f t="shared" si="4"/>
        <v>6.7930603501136346</v>
      </c>
      <c r="H12" s="110">
        <v>2554.98</v>
      </c>
      <c r="I12" s="110">
        <v>474055</v>
      </c>
      <c r="J12" s="290">
        <f t="shared" si="3"/>
        <v>6.1847189932341289</v>
      </c>
      <c r="K12" s="291">
        <f>D12/G12-1</f>
        <v>-2.9851426200920295E-2</v>
      </c>
      <c r="L12" s="291">
        <f t="shared" si="1"/>
        <v>9.8362004408771186E-2</v>
      </c>
      <c r="M12" s="278">
        <f t="shared" si="6"/>
        <v>3.4000000000000002E-2</v>
      </c>
    </row>
    <row r="13" spans="1:13">
      <c r="A13" s="110" t="s">
        <v>1154</v>
      </c>
      <c r="B13" s="110">
        <v>1277.49</v>
      </c>
      <c r="C13" s="110">
        <v>260341.82</v>
      </c>
      <c r="D13" s="290">
        <f>C13/30/B13</f>
        <v>6.7930556534036795</v>
      </c>
      <c r="E13" s="110"/>
      <c r="F13" s="110"/>
      <c r="G13" s="290">
        <f>G12</f>
        <v>6.7930603501136346</v>
      </c>
      <c r="H13" s="110"/>
      <c r="I13" s="110"/>
      <c r="J13" s="290">
        <f>J12</f>
        <v>6.1847189932341289</v>
      </c>
      <c r="K13" s="291">
        <f>D13/G13-1</f>
        <v>-6.9139823777319975E-7</v>
      </c>
      <c r="L13" s="291">
        <f t="shared" si="1"/>
        <v>9.8362004408771186E-2</v>
      </c>
      <c r="M13" s="278">
        <f t="shared" si="6"/>
        <v>4.9000000000000002E-2</v>
      </c>
    </row>
    <row r="14" spans="1:13">
      <c r="A14" s="110" t="s">
        <v>1155</v>
      </c>
      <c r="B14" s="110">
        <v>6440.47</v>
      </c>
      <c r="C14" s="110">
        <v>2854097.55</v>
      </c>
      <c r="D14" s="290">
        <f t="shared" si="2"/>
        <v>14.771683588309546</v>
      </c>
      <c r="E14" s="110">
        <v>6303.44</v>
      </c>
      <c r="F14" s="110">
        <v>2666173.8199999998</v>
      </c>
      <c r="G14" s="290">
        <f t="shared" si="4"/>
        <v>14.099041264240903</v>
      </c>
      <c r="H14" s="110">
        <v>6328.5</v>
      </c>
      <c r="I14" s="110">
        <v>2498539.8199999998</v>
      </c>
      <c r="J14" s="290">
        <f t="shared" si="3"/>
        <v>13.16025292986753</v>
      </c>
      <c r="K14" s="291">
        <f>D14/G14-1</f>
        <v>4.7708373318592345E-2</v>
      </c>
      <c r="L14" s="291">
        <f t="shared" si="1"/>
        <v>7.1335128540179316E-2</v>
      </c>
      <c r="M14" s="278">
        <f>ROUND(AVERAGE(K14:L14),3)</f>
        <v>0.06</v>
      </c>
    </row>
    <row r="15" spans="1:13">
      <c r="A15" s="110" t="s">
        <v>1156</v>
      </c>
      <c r="B15" s="110"/>
      <c r="C15" s="110"/>
      <c r="D15" s="290"/>
      <c r="E15" s="110"/>
      <c r="F15" s="110"/>
      <c r="G15" s="290"/>
      <c r="H15" s="110"/>
      <c r="I15" s="110"/>
      <c r="J15" s="290"/>
      <c r="K15" s="291"/>
      <c r="L15" s="291"/>
    </row>
    <row r="16" spans="1:13">
      <c r="A16" s="110" t="s">
        <v>1157</v>
      </c>
      <c r="B16" s="110">
        <v>626.45000000000005</v>
      </c>
      <c r="C16" s="110">
        <v>58780</v>
      </c>
      <c r="D16" s="290">
        <f t="shared" si="2"/>
        <v>3.1276771224093434</v>
      </c>
      <c r="E16" s="110">
        <v>648.1</v>
      </c>
      <c r="F16" s="110">
        <v>58735.4</v>
      </c>
      <c r="G16" s="290">
        <f t="shared" si="4"/>
        <v>3.0209021241577947</v>
      </c>
      <c r="H16" s="110">
        <v>578.01</v>
      </c>
      <c r="I16" s="110">
        <v>48159.1</v>
      </c>
      <c r="J16" s="290">
        <f t="shared" si="3"/>
        <v>2.7772933570930145</v>
      </c>
      <c r="K16" s="291">
        <f t="shared" si="0"/>
        <v>3.5345401427501422E-2</v>
      </c>
      <c r="L16" s="291">
        <f t="shared" si="1"/>
        <v>8.7714452793623776E-2</v>
      </c>
      <c r="M16" s="278">
        <f>ROUND(AVERAGE(K16:L16),3)</f>
        <v>6.2E-2</v>
      </c>
    </row>
    <row r="17" spans="1:20">
      <c r="K17" s="278"/>
      <c r="L17" s="278"/>
    </row>
    <row r="18" spans="1:20">
      <c r="K18" s="278"/>
      <c r="L18" s="278"/>
    </row>
    <row r="19" spans="1:20">
      <c r="A19" s="285" t="s">
        <v>1158</v>
      </c>
      <c r="B19" s="292">
        <f>B3-B22</f>
        <v>8373.3100000000013</v>
      </c>
      <c r="C19" s="292">
        <f>C3-B23</f>
        <v>3899607</v>
      </c>
      <c r="D19" s="290">
        <f>C19/30/B19</f>
        <v>15.523956475993362</v>
      </c>
      <c r="E19" s="292">
        <f>E3-B22</f>
        <v>8251.2400000000016</v>
      </c>
      <c r="F19" s="292">
        <f>F3-B23</f>
        <v>3526286.15</v>
      </c>
      <c r="G19" s="290">
        <f>F19/30/E19</f>
        <v>14.245479669318385</v>
      </c>
      <c r="H19" s="110">
        <f>H3-B22</f>
        <v>8237.2400000000016</v>
      </c>
      <c r="I19" s="110">
        <f>I3-B23</f>
        <v>3291941</v>
      </c>
      <c r="J19" s="290">
        <f>I19/30/H19</f>
        <v>13.321375444525914</v>
      </c>
      <c r="K19" s="291">
        <f>D19/G19-1</f>
        <v>8.9746139572157269E-2</v>
      </c>
      <c r="L19" s="291">
        <f t="shared" ref="L19" si="7">G19/J19-1</f>
        <v>6.937003079304449E-2</v>
      </c>
      <c r="M19" s="278">
        <f>ROUND(AVERAGE(K19:L19),3)</f>
        <v>0.08</v>
      </c>
    </row>
    <row r="21" spans="1:20">
      <c r="D21" s="301">
        <v>1</v>
      </c>
      <c r="E21" s="301">
        <v>2</v>
      </c>
      <c r="F21" s="301">
        <v>3</v>
      </c>
      <c r="G21" s="301">
        <v>4</v>
      </c>
      <c r="H21" s="301">
        <v>5</v>
      </c>
      <c r="I21" s="301">
        <v>6</v>
      </c>
      <c r="J21" s="301">
        <v>7</v>
      </c>
      <c r="K21" s="301">
        <v>8</v>
      </c>
      <c r="L21" s="301">
        <v>9</v>
      </c>
      <c r="M21" s="301">
        <v>10</v>
      </c>
      <c r="N21" s="301">
        <v>11</v>
      </c>
      <c r="O21" s="301">
        <v>12</v>
      </c>
      <c r="P21" s="301">
        <v>13</v>
      </c>
      <c r="Q21" s="301">
        <v>14</v>
      </c>
      <c r="R21" s="301">
        <v>15</v>
      </c>
      <c r="S21" s="301">
        <v>16</v>
      </c>
      <c r="T21" s="301">
        <v>17</v>
      </c>
    </row>
    <row r="22" spans="1:20">
      <c r="A22" s="110" t="s">
        <v>1159</v>
      </c>
      <c r="B22" s="292">
        <f>[2]楼盘租金明细表!F286</f>
        <v>4832.8</v>
      </c>
      <c r="D22" s="301">
        <v>530</v>
      </c>
      <c r="E22" s="301">
        <f>D22</f>
        <v>530</v>
      </c>
      <c r="F22" s="301">
        <f>E22</f>
        <v>530</v>
      </c>
      <c r="G22" s="301">
        <v>580</v>
      </c>
      <c r="H22" s="301">
        <f>G22</f>
        <v>580</v>
      </c>
      <c r="I22" s="301">
        <f>H22</f>
        <v>580</v>
      </c>
      <c r="J22" s="301">
        <v>640</v>
      </c>
      <c r="K22" s="301">
        <f t="shared" ref="K22:T22" si="8">J22</f>
        <v>640</v>
      </c>
      <c r="L22" s="301">
        <f t="shared" si="8"/>
        <v>640</v>
      </c>
      <c r="M22" s="301">
        <f t="shared" si="8"/>
        <v>640</v>
      </c>
      <c r="N22" s="301">
        <f t="shared" si="8"/>
        <v>640</v>
      </c>
      <c r="O22" s="301">
        <f t="shared" si="8"/>
        <v>640</v>
      </c>
      <c r="P22" s="301">
        <f t="shared" si="8"/>
        <v>640</v>
      </c>
      <c r="Q22" s="301">
        <f t="shared" si="8"/>
        <v>640</v>
      </c>
      <c r="R22" s="301">
        <f t="shared" si="8"/>
        <v>640</v>
      </c>
      <c r="S22" s="301">
        <f t="shared" si="8"/>
        <v>640</v>
      </c>
      <c r="T22" s="301">
        <f t="shared" si="8"/>
        <v>640</v>
      </c>
    </row>
    <row r="23" spans="1:20">
      <c r="A23" s="110" t="s">
        <v>1160</v>
      </c>
      <c r="B23" s="292">
        <f>[2]楼盘租金明细表!G286</f>
        <v>483333.33</v>
      </c>
      <c r="C23" s="305"/>
      <c r="D23" s="310">
        <f>ROUND((E22-D22)/D22,3)</f>
        <v>0</v>
      </c>
      <c r="E23" s="310">
        <f>ROUND((F22-E22)/E22,3)</f>
        <v>0</v>
      </c>
      <c r="F23" s="310">
        <f t="shared" ref="F23:O23" si="9">ROUND((G22-F22)/F22,3)</f>
        <v>9.4E-2</v>
      </c>
      <c r="G23" s="310">
        <f t="shared" si="9"/>
        <v>0</v>
      </c>
      <c r="H23" s="310">
        <f t="shared" si="9"/>
        <v>0</v>
      </c>
      <c r="I23" s="310">
        <f t="shared" si="9"/>
        <v>0.10299999999999999</v>
      </c>
      <c r="J23" s="310">
        <f t="shared" si="9"/>
        <v>0</v>
      </c>
      <c r="K23" s="310">
        <f t="shared" si="9"/>
        <v>0</v>
      </c>
      <c r="L23" s="310">
        <f t="shared" si="9"/>
        <v>0</v>
      </c>
      <c r="M23" s="310">
        <f t="shared" si="9"/>
        <v>0</v>
      </c>
      <c r="N23" s="310">
        <f t="shared" si="9"/>
        <v>0</v>
      </c>
      <c r="O23" s="310">
        <f t="shared" si="9"/>
        <v>0</v>
      </c>
      <c r="P23" s="310">
        <f>ROUND((Q22-P22)/P22,3)</f>
        <v>0</v>
      </c>
      <c r="Q23" s="310">
        <f t="shared" ref="Q23" si="10">ROUND((R22-Q22)/Q22,3)</f>
        <v>0</v>
      </c>
      <c r="R23" s="310">
        <f t="shared" ref="R23" si="11">ROUND((S22-R22)/R22,3)</f>
        <v>0</v>
      </c>
      <c r="S23" s="310">
        <f t="shared" ref="S23" si="12">ROUND((T22-S22)/S22,3)</f>
        <v>0</v>
      </c>
      <c r="T23" s="293">
        <f>AVERAGE(D23:S23)</f>
        <v>1.2312500000000001E-2</v>
      </c>
    </row>
    <row r="24" spans="1:20">
      <c r="B24" s="276">
        <f>B23/B22/30</f>
        <v>3.3337011670253269</v>
      </c>
      <c r="E24" s="304"/>
      <c r="F24" s="304"/>
      <c r="G24" s="304"/>
      <c r="H24" s="304"/>
    </row>
    <row r="25" spans="1:20" s="303" customFormat="1"/>
    <row r="26" spans="1:20">
      <c r="A26" s="556" t="s">
        <v>1241</v>
      </c>
      <c r="B26" s="556"/>
      <c r="C26" s="556"/>
      <c r="D26" s="556"/>
      <c r="F26" s="553" t="s">
        <v>1289</v>
      </c>
      <c r="G26" s="553"/>
      <c r="H26" s="553"/>
      <c r="I26" s="553"/>
    </row>
    <row r="27" spans="1:20">
      <c r="A27" s="110"/>
      <c r="B27" s="110">
        <v>2017</v>
      </c>
      <c r="C27" s="110">
        <v>2016</v>
      </c>
      <c r="D27" s="110">
        <v>2015</v>
      </c>
      <c r="F27" s="301"/>
      <c r="G27" s="301">
        <v>2017</v>
      </c>
      <c r="H27" s="301">
        <v>2016</v>
      </c>
      <c r="I27" s="301">
        <v>2015</v>
      </c>
    </row>
    <row r="28" spans="1:20" ht="28.5">
      <c r="A28" s="110" t="s">
        <v>1242</v>
      </c>
      <c r="B28" s="308">
        <f>15016437.228/10000</f>
        <v>1501.6437228</v>
      </c>
      <c r="C28" s="110">
        <f>21915135.02/10000</f>
        <v>2191.5135019999998</v>
      </c>
      <c r="D28" s="110">
        <f>25030578.57/10000</f>
        <v>2503.0578570000002</v>
      </c>
      <c r="F28" s="294" t="s">
        <v>1264</v>
      </c>
      <c r="G28" s="301">
        <f>208738749.008/10000</f>
        <v>20873.874900799998</v>
      </c>
      <c r="H28" s="301">
        <f>201120779.99/10000</f>
        <v>20112.077999000001</v>
      </c>
      <c r="I28" s="308">
        <f>164972889.631333/10000</f>
        <v>16497.288963133298</v>
      </c>
    </row>
    <row r="29" spans="1:20">
      <c r="A29" s="110" t="s">
        <v>1243</v>
      </c>
      <c r="B29" s="110">
        <f>ROUND(AVERAGE(B28:D28),0)</f>
        <v>2065</v>
      </c>
      <c r="C29" s="110"/>
      <c r="D29" s="110"/>
      <c r="F29" s="294" t="s">
        <v>1266</v>
      </c>
      <c r="G29" s="301">
        <f>(G28-H28)/H28</f>
        <v>3.7877582905052089E-2</v>
      </c>
      <c r="H29" s="301">
        <f>(H28-I28)/I28</f>
        <v>0.21911412499015553</v>
      </c>
      <c r="I29" s="301"/>
      <c r="J29" s="276">
        <v>61278</v>
      </c>
    </row>
    <row r="30" spans="1:20">
      <c r="F30" s="301" t="s">
        <v>1265</v>
      </c>
      <c r="G30" s="301">
        <f>10697104.38/10000</f>
        <v>1069.7104380000001</v>
      </c>
      <c r="H30" s="301">
        <f>7424261.59/10000</f>
        <v>742.42615899999998</v>
      </c>
      <c r="I30" s="301">
        <f>12023258.19/10000</f>
        <v>1202.3258189999999</v>
      </c>
    </row>
    <row r="31" spans="1:20">
      <c r="A31" s="294"/>
      <c r="B31" s="294" t="s">
        <v>1244</v>
      </c>
      <c r="C31" s="294" t="s">
        <v>1245</v>
      </c>
      <c r="F31" s="301" t="s">
        <v>1267</v>
      </c>
      <c r="G31" s="301">
        <f>ROUND(G30/($J$29+基础资料!$G$18-基础资料!$G$3)*(基础资料!$G$18-基础资料!$G$3),0)</f>
        <v>660</v>
      </c>
      <c r="H31" s="302">
        <f>ROUND(H30/($J$29+基础资料!$G$18-基础资料!$G$3)*(基础资料!$G$18-基础资料!$G$3),0)</f>
        <v>458</v>
      </c>
      <c r="I31" s="302">
        <f>ROUND(I30/($J$29+基础资料!$G$18-基础资料!$G$3)*(基础资料!$G$18-基础资料!$G$3),0)</f>
        <v>742</v>
      </c>
      <c r="K31" s="276">
        <v>2017</v>
      </c>
      <c r="L31" s="276">
        <v>2016</v>
      </c>
      <c r="M31" s="276">
        <v>2015</v>
      </c>
    </row>
    <row r="32" spans="1:20">
      <c r="A32" s="295" t="s">
        <v>1246</v>
      </c>
      <c r="B32" s="296">
        <f>地下仓储现金流!F82</f>
        <v>6440.47</v>
      </c>
      <c r="C32" s="294">
        <f>ROUND(B32/B34*B28,0)</f>
        <v>195</v>
      </c>
      <c r="F32" s="301" t="s">
        <v>1268</v>
      </c>
      <c r="G32" s="293">
        <f>G31/G28</f>
        <v>3.1618470606753768E-2</v>
      </c>
      <c r="H32" s="293">
        <f>H31/H28</f>
        <v>2.277238582819599E-2</v>
      </c>
      <c r="I32" s="293">
        <f>I31/I28</f>
        <v>4.4977086941870074E-2</v>
      </c>
      <c r="J32" s="276" t="s">
        <v>1290</v>
      </c>
      <c r="K32" s="306">
        <f>11555451.22/10000</f>
        <v>1155.545122</v>
      </c>
      <c r="L32" s="306"/>
    </row>
    <row r="33" spans="1:14">
      <c r="A33" s="295" t="s">
        <v>1247</v>
      </c>
      <c r="B33" s="294">
        <f>地上商业现金流!F397</f>
        <v>43141.430005479444</v>
      </c>
      <c r="C33" s="294">
        <f>ROUND(B28-C32,0)</f>
        <v>1307</v>
      </c>
      <c r="G33" s="276" t="s">
        <v>1293</v>
      </c>
      <c r="H33" s="278">
        <f>AVERAGE(G32:I32)</f>
        <v>3.312264779227328E-2</v>
      </c>
    </row>
    <row r="34" spans="1:14">
      <c r="A34" s="294" t="s">
        <v>1248</v>
      </c>
      <c r="B34" s="294">
        <f>B32+B33</f>
        <v>49581.900005479445</v>
      </c>
      <c r="C34" s="294">
        <f>C32+C33</f>
        <v>1502</v>
      </c>
    </row>
    <row r="37" spans="1:14">
      <c r="A37" s="554" t="s">
        <v>1284</v>
      </c>
      <c r="B37" s="554"/>
      <c r="C37" s="554"/>
      <c r="D37" s="554"/>
      <c r="E37" s="554"/>
      <c r="F37" s="554"/>
      <c r="G37" s="554"/>
      <c r="H37" s="554"/>
      <c r="I37" s="554"/>
      <c r="J37" s="554"/>
      <c r="K37" s="554"/>
      <c r="L37" s="554"/>
      <c r="M37" s="554"/>
      <c r="N37" s="554"/>
    </row>
    <row r="38" spans="1:14">
      <c r="A38" s="301"/>
      <c r="B38" s="301" t="s">
        <v>1270</v>
      </c>
      <c r="C38" s="301" t="s">
        <v>1271</v>
      </c>
      <c r="D38" s="301" t="s">
        <v>1272</v>
      </c>
      <c r="E38" s="301" t="s">
        <v>1273</v>
      </c>
      <c r="F38" s="301" t="s">
        <v>1274</v>
      </c>
      <c r="G38" s="301" t="s">
        <v>1275</v>
      </c>
      <c r="H38" s="301" t="s">
        <v>1276</v>
      </c>
      <c r="I38" s="301" t="s">
        <v>1277</v>
      </c>
      <c r="J38" s="301" t="s">
        <v>1278</v>
      </c>
      <c r="K38" s="301" t="s">
        <v>1279</v>
      </c>
      <c r="L38" s="301" t="s">
        <v>1280</v>
      </c>
      <c r="M38" s="301" t="s">
        <v>1281</v>
      </c>
      <c r="N38" s="301"/>
    </row>
    <row r="39" spans="1:14">
      <c r="A39" s="301" t="s">
        <v>1269</v>
      </c>
      <c r="B39" s="301">
        <v>46671.309999999983</v>
      </c>
      <c r="C39" s="301">
        <v>46951.989999999983</v>
      </c>
      <c r="D39" s="301">
        <v>46811.819999999985</v>
      </c>
      <c r="E39" s="301">
        <v>46657.289999999986</v>
      </c>
      <c r="F39" s="301">
        <v>46349.169999999984</v>
      </c>
      <c r="G39" s="301">
        <v>46169.289999999986</v>
      </c>
      <c r="H39" s="301">
        <v>48167.409999999996</v>
      </c>
      <c r="I39" s="301">
        <v>49216.389999999978</v>
      </c>
      <c r="J39" s="301">
        <v>49553.439999999981</v>
      </c>
      <c r="K39" s="301">
        <v>48139.969999999987</v>
      </c>
      <c r="L39" s="301">
        <v>49602.229999999981</v>
      </c>
      <c r="M39" s="301">
        <v>49298.58</v>
      </c>
      <c r="N39" s="301">
        <f>AVERAGE(B39:M39)</f>
        <v>47799.074166666651</v>
      </c>
    </row>
    <row r="40" spans="1:14">
      <c r="A40" s="301" t="s">
        <v>1282</v>
      </c>
      <c r="B40" s="301">
        <v>46494.04</v>
      </c>
      <c r="C40" s="301">
        <v>46728.18</v>
      </c>
      <c r="D40" s="301">
        <v>46861.549999999996</v>
      </c>
      <c r="E40" s="301">
        <v>47010.919999999991</v>
      </c>
      <c r="F40" s="301">
        <v>46935.729999999996</v>
      </c>
      <c r="G40" s="301">
        <v>46874.39</v>
      </c>
      <c r="H40" s="301">
        <v>46892.56</v>
      </c>
      <c r="I40" s="301">
        <v>47475.219999999994</v>
      </c>
      <c r="J40" s="301">
        <v>47204.29</v>
      </c>
      <c r="K40" s="301">
        <v>47431.049999999996</v>
      </c>
      <c r="L40" s="301">
        <v>47569.539999999994</v>
      </c>
      <c r="M40" s="301">
        <v>47396.56</v>
      </c>
      <c r="N40" s="301">
        <f>AVERAGE(B40:M40)</f>
        <v>47072.835833333324</v>
      </c>
    </row>
    <row r="41" spans="1:14">
      <c r="A41" s="301" t="s">
        <v>1283</v>
      </c>
      <c r="B41" s="301">
        <v>47618.239999999998</v>
      </c>
      <c r="C41" s="301">
        <v>47618.239999999998</v>
      </c>
      <c r="D41" s="301">
        <v>47499.28</v>
      </c>
      <c r="E41" s="301">
        <v>47450.89</v>
      </c>
      <c r="F41" s="301">
        <v>46287.12</v>
      </c>
      <c r="G41" s="301">
        <v>46386.45</v>
      </c>
      <c r="H41" s="301">
        <v>46475.53</v>
      </c>
      <c r="I41" s="301">
        <v>47985.17</v>
      </c>
      <c r="J41" s="301">
        <v>47882.64</v>
      </c>
      <c r="K41" s="301">
        <v>47895.24</v>
      </c>
      <c r="L41" s="301">
        <v>48904.03</v>
      </c>
      <c r="M41" s="285">
        <v>49659.95</v>
      </c>
      <c r="N41" s="301">
        <f>AVERAGE(B41:M41)</f>
        <v>47638.564999999995</v>
      </c>
    </row>
    <row r="43" spans="1:14">
      <c r="A43" s="556" t="s">
        <v>1240</v>
      </c>
      <c r="B43" s="556"/>
      <c r="C43" s="556"/>
      <c r="D43" s="556"/>
      <c r="E43" s="556"/>
    </row>
    <row r="44" spans="1:14">
      <c r="A44" s="110"/>
      <c r="B44" s="110">
        <v>2017</v>
      </c>
      <c r="C44" s="110">
        <v>2016</v>
      </c>
      <c r="D44" s="110">
        <v>2015</v>
      </c>
      <c r="E44" s="110"/>
      <c r="G44" s="302">
        <v>2017</v>
      </c>
      <c r="H44" s="302">
        <v>2016</v>
      </c>
      <c r="I44" s="302">
        <v>2015</v>
      </c>
    </row>
    <row r="45" spans="1:14">
      <c r="A45" s="110" t="s">
        <v>1163</v>
      </c>
      <c r="B45" s="110">
        <f>N41</f>
        <v>47638.564999999995</v>
      </c>
      <c r="C45" s="110">
        <f>N40</f>
        <v>47072.835833333324</v>
      </c>
      <c r="D45" s="110">
        <f>N39</f>
        <v>47799.074166666651</v>
      </c>
      <c r="E45" s="110"/>
      <c r="G45" s="302">
        <f>(G28+B28)/B45/365*10000</f>
        <v>12.868311786803201</v>
      </c>
      <c r="H45" s="302">
        <f>(H28+C28)/C45/365*10000</f>
        <v>12.981102382715532</v>
      </c>
      <c r="I45" s="308">
        <f>(I28+D28)/D45/365*10000</f>
        <v>10.89053409929763</v>
      </c>
    </row>
    <row r="46" spans="1:14">
      <c r="A46" s="110" t="s">
        <v>1164</v>
      </c>
      <c r="B46" s="110">
        <f>基础资料!H28</f>
        <v>50293.760000000002</v>
      </c>
      <c r="C46" s="110">
        <f>B46</f>
        <v>50293.760000000002</v>
      </c>
      <c r="D46" s="110">
        <f>C46</f>
        <v>50293.760000000002</v>
      </c>
      <c r="E46" s="110"/>
      <c r="G46" s="293">
        <f>(G45-H45)/H45</f>
        <v>-8.688830315560352E-3</v>
      </c>
      <c r="H46" s="293">
        <f>(H45-I45)/I45</f>
        <v>0.19196196112665678</v>
      </c>
      <c r="I46" s="302"/>
      <c r="J46" s="278">
        <f>AVERAGE(G46:H46)</f>
        <v>9.1636565405548209E-2</v>
      </c>
    </row>
    <row r="47" spans="1:14">
      <c r="A47" s="110" t="s">
        <v>1165</v>
      </c>
      <c r="B47" s="293">
        <f>ROUND(B45/B46,3)</f>
        <v>0.94699999999999995</v>
      </c>
      <c r="C47" s="293">
        <f>ROUND(C45/C46,3)</f>
        <v>0.93600000000000005</v>
      </c>
      <c r="D47" s="293">
        <f>ROUND(D45/D46,3)</f>
        <v>0.95</v>
      </c>
      <c r="E47" s="293">
        <f>ROUND(AVERAGE(B47:D47),3)</f>
        <v>0.94399999999999995</v>
      </c>
    </row>
  </sheetData>
  <mergeCells count="10">
    <mergeCell ref="F26:I26"/>
    <mergeCell ref="A37:N37"/>
    <mergeCell ref="K1:K2"/>
    <mergeCell ref="L1:L2"/>
    <mergeCell ref="A43:E43"/>
    <mergeCell ref="A26:D26"/>
    <mergeCell ref="A1:A2"/>
    <mergeCell ref="B1:D1"/>
    <mergeCell ref="E1:G1"/>
    <mergeCell ref="H1:J1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I17"/>
  <sheetViews>
    <sheetView workbookViewId="0">
      <selection activeCell="G32" sqref="G32"/>
    </sheetView>
  </sheetViews>
  <sheetFormatPr defaultRowHeight="13.5"/>
  <cols>
    <col min="1" max="1" width="21.75" style="112" customWidth="1"/>
    <col min="2" max="2" width="9" style="112"/>
    <col min="3" max="86" width="11.625" style="112" customWidth="1"/>
    <col min="87" max="87" width="12.125" style="112" customWidth="1"/>
    <col min="88" max="16384" width="9" style="112"/>
  </cols>
  <sheetData>
    <row r="1" spans="1:87" ht="25.5">
      <c r="A1" s="560" t="s">
        <v>1258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  <c r="P1" s="560"/>
      <c r="Q1" s="560"/>
      <c r="R1" s="560"/>
      <c r="S1" s="560"/>
      <c r="T1" s="560"/>
      <c r="U1" s="560"/>
      <c r="V1" s="560"/>
      <c r="W1" s="560"/>
      <c r="X1" s="560"/>
      <c r="Y1" s="560"/>
      <c r="Z1" s="560"/>
      <c r="AA1" s="560"/>
      <c r="AB1" s="560"/>
      <c r="AC1" s="560"/>
      <c r="AD1" s="560"/>
      <c r="AE1" s="560"/>
      <c r="AF1" s="560"/>
      <c r="AG1" s="560"/>
      <c r="AH1" s="560"/>
      <c r="AI1" s="560"/>
      <c r="AJ1" s="560"/>
      <c r="AK1" s="560"/>
      <c r="AL1" s="560"/>
      <c r="AM1" s="560"/>
      <c r="AN1" s="560"/>
      <c r="AO1" s="560"/>
      <c r="AP1" s="560"/>
      <c r="AQ1" s="560"/>
      <c r="AR1" s="560"/>
      <c r="AS1" s="560"/>
      <c r="AT1" s="560"/>
      <c r="AU1" s="560"/>
      <c r="AV1" s="560"/>
      <c r="AW1" s="560"/>
      <c r="AX1" s="560"/>
      <c r="AY1" s="560"/>
      <c r="AZ1" s="560"/>
      <c r="BA1" s="560"/>
      <c r="BB1" s="560"/>
      <c r="BC1" s="560"/>
      <c r="BD1" s="560"/>
      <c r="BE1" s="560"/>
      <c r="BF1" s="560"/>
      <c r="BG1" s="560"/>
      <c r="BH1" s="560"/>
      <c r="BI1" s="560"/>
      <c r="BJ1" s="560"/>
      <c r="BK1" s="560"/>
      <c r="BL1" s="560"/>
      <c r="BM1" s="560"/>
      <c r="BN1" s="560"/>
      <c r="BO1" s="560"/>
      <c r="BP1" s="560"/>
      <c r="BQ1" s="560"/>
      <c r="BR1" s="560"/>
      <c r="BS1" s="560"/>
      <c r="BT1" s="560"/>
      <c r="BU1" s="560"/>
      <c r="BV1" s="560"/>
      <c r="BW1" s="560"/>
      <c r="BX1" s="560"/>
      <c r="BY1" s="560"/>
      <c r="BZ1" s="560"/>
      <c r="CA1" s="560"/>
      <c r="CB1" s="560"/>
      <c r="CC1" s="560"/>
      <c r="CD1" s="560"/>
      <c r="CE1" s="560"/>
      <c r="CF1" s="560"/>
      <c r="CG1" s="560"/>
      <c r="CH1" s="560"/>
      <c r="CI1" s="560"/>
    </row>
    <row r="2" spans="1:87">
      <c r="A2" s="312"/>
      <c r="B2" s="313"/>
      <c r="C2" s="561" t="s">
        <v>1182</v>
      </c>
      <c r="D2" s="561"/>
      <c r="E2" s="561"/>
      <c r="F2" s="561"/>
      <c r="G2" s="561" t="s">
        <v>1183</v>
      </c>
      <c r="H2" s="561"/>
      <c r="I2" s="561"/>
      <c r="J2" s="561"/>
      <c r="K2" s="561" t="s">
        <v>1184</v>
      </c>
      <c r="L2" s="561"/>
      <c r="M2" s="561"/>
      <c r="N2" s="561"/>
      <c r="O2" s="561" t="s">
        <v>1185</v>
      </c>
      <c r="P2" s="561"/>
      <c r="Q2" s="561"/>
      <c r="R2" s="561"/>
      <c r="S2" s="561" t="s">
        <v>1186</v>
      </c>
      <c r="T2" s="561"/>
      <c r="U2" s="561"/>
      <c r="V2" s="561"/>
      <c r="W2" s="561" t="s">
        <v>1187</v>
      </c>
      <c r="X2" s="561"/>
      <c r="Y2" s="561"/>
      <c r="Z2" s="561"/>
      <c r="AA2" s="561" t="s">
        <v>1188</v>
      </c>
      <c r="AB2" s="561"/>
      <c r="AC2" s="561"/>
      <c r="AD2" s="561"/>
      <c r="AE2" s="561" t="s">
        <v>1189</v>
      </c>
      <c r="AF2" s="561"/>
      <c r="AG2" s="561"/>
      <c r="AH2" s="561"/>
      <c r="AI2" s="561" t="s">
        <v>1190</v>
      </c>
      <c r="AJ2" s="561"/>
      <c r="AK2" s="561"/>
      <c r="AL2" s="561"/>
      <c r="AM2" s="561" t="s">
        <v>1191</v>
      </c>
      <c r="AN2" s="561"/>
      <c r="AO2" s="561"/>
      <c r="AP2" s="561"/>
      <c r="AQ2" s="561" t="s">
        <v>1192</v>
      </c>
      <c r="AR2" s="561"/>
      <c r="AS2" s="561"/>
      <c r="AT2" s="561"/>
      <c r="AU2" s="561" t="s">
        <v>1193</v>
      </c>
      <c r="AV2" s="561"/>
      <c r="AW2" s="561"/>
      <c r="AX2" s="561"/>
      <c r="AY2" s="561" t="s">
        <v>1194</v>
      </c>
      <c r="AZ2" s="561"/>
      <c r="BA2" s="561"/>
      <c r="BB2" s="561"/>
      <c r="BC2" s="561" t="s">
        <v>1195</v>
      </c>
      <c r="BD2" s="561"/>
      <c r="BE2" s="561"/>
      <c r="BF2" s="561"/>
      <c r="BG2" s="561" t="s">
        <v>1196</v>
      </c>
      <c r="BH2" s="561"/>
      <c r="BI2" s="561"/>
      <c r="BJ2" s="561"/>
      <c r="BK2" s="561" t="s">
        <v>1197</v>
      </c>
      <c r="BL2" s="561"/>
      <c r="BM2" s="561"/>
      <c r="BN2" s="561"/>
      <c r="BO2" s="561" t="s">
        <v>1198</v>
      </c>
      <c r="BP2" s="561"/>
      <c r="BQ2" s="561"/>
      <c r="BR2" s="561"/>
      <c r="BS2" s="561" t="s">
        <v>1199</v>
      </c>
      <c r="BT2" s="561"/>
      <c r="BU2" s="561"/>
      <c r="BV2" s="561"/>
      <c r="BW2" s="561" t="s">
        <v>1200</v>
      </c>
      <c r="BX2" s="561"/>
      <c r="BY2" s="561"/>
      <c r="BZ2" s="561"/>
      <c r="CA2" s="561" t="s">
        <v>1201</v>
      </c>
      <c r="CB2" s="561"/>
      <c r="CC2" s="561"/>
      <c r="CD2" s="561"/>
      <c r="CE2" s="561" t="s">
        <v>1202</v>
      </c>
      <c r="CF2" s="561"/>
      <c r="CG2" s="561"/>
      <c r="CH2" s="561"/>
      <c r="CI2" s="314"/>
    </row>
    <row r="3" spans="1:87">
      <c r="A3" s="315" t="s">
        <v>1249</v>
      </c>
      <c r="B3" s="316" t="s">
        <v>1250</v>
      </c>
      <c r="C3" s="317" t="str">
        <f>地上商业现金流!J1</f>
        <v>2018年2季度</v>
      </c>
      <c r="D3" s="317" t="str">
        <f>地上商业现金流!K1</f>
        <v>2018年3季度</v>
      </c>
      <c r="E3" s="317" t="str">
        <f>地上商业现金流!L1</f>
        <v>2018年4季度</v>
      </c>
      <c r="F3" s="317" t="str">
        <f>地上商业现金流!M1</f>
        <v>2019年1季度</v>
      </c>
      <c r="G3" s="317" t="str">
        <f>地上商业现金流!N1</f>
        <v>2019年2季度</v>
      </c>
      <c r="H3" s="317" t="str">
        <f>地上商业现金流!O1</f>
        <v>2019年3季度</v>
      </c>
      <c r="I3" s="317" t="str">
        <f>地上商业现金流!P1</f>
        <v>2019年4季度</v>
      </c>
      <c r="J3" s="317" t="str">
        <f>地上商业现金流!Q1</f>
        <v>2020年1季度</v>
      </c>
      <c r="K3" s="317" t="str">
        <f>地上商业现金流!R1</f>
        <v>2020年2季度</v>
      </c>
      <c r="L3" s="317" t="str">
        <f>地上商业现金流!S1</f>
        <v>2020年3季度</v>
      </c>
      <c r="M3" s="317" t="str">
        <f>地上商业现金流!T1</f>
        <v>2020年4季度</v>
      </c>
      <c r="N3" s="317" t="str">
        <f>地上商业现金流!U1</f>
        <v>2021年1季度</v>
      </c>
      <c r="O3" s="317" t="str">
        <f>地上商业现金流!V1</f>
        <v>2021年2季度</v>
      </c>
      <c r="P3" s="317" t="str">
        <f>地上商业现金流!W1</f>
        <v>2021年3季度</v>
      </c>
      <c r="Q3" s="317" t="str">
        <f>地上商业现金流!X1</f>
        <v>2021年4季度</v>
      </c>
      <c r="R3" s="317" t="str">
        <f>地上商业现金流!Y1</f>
        <v>2022年1季度</v>
      </c>
      <c r="S3" s="317" t="str">
        <f>地上商业现金流!Z1</f>
        <v>2022年2季度</v>
      </c>
      <c r="T3" s="317" t="str">
        <f>地上商业现金流!AA1</f>
        <v>2022年3季度</v>
      </c>
      <c r="U3" s="317" t="str">
        <f>地上商业现金流!AB1</f>
        <v>2022年4季度</v>
      </c>
      <c r="V3" s="317" t="str">
        <f>地上商业现金流!AC1</f>
        <v>2023年1季度</v>
      </c>
      <c r="W3" s="317" t="str">
        <f>地上商业现金流!AD1</f>
        <v>2023年2季度</v>
      </c>
      <c r="X3" s="317" t="str">
        <f>地上商业现金流!AE1</f>
        <v>2023年3季度</v>
      </c>
      <c r="Y3" s="317" t="str">
        <f>地上商业现金流!AF1</f>
        <v>2023年4季度</v>
      </c>
      <c r="Z3" s="317" t="str">
        <f>地上商业现金流!AG1</f>
        <v>2024年1季度</v>
      </c>
      <c r="AA3" s="317" t="str">
        <f>地上商业现金流!AH1</f>
        <v>2024年2季度</v>
      </c>
      <c r="AB3" s="317" t="str">
        <f>地上商业现金流!AI1</f>
        <v>2024年3季度</v>
      </c>
      <c r="AC3" s="317" t="str">
        <f>地上商业现金流!AJ1</f>
        <v>2024年4季度</v>
      </c>
      <c r="AD3" s="317" t="str">
        <f>地上商业现金流!AK1</f>
        <v>2025年1季度</v>
      </c>
      <c r="AE3" s="317" t="str">
        <f>地上商业现金流!AL1</f>
        <v>2025年2季度</v>
      </c>
      <c r="AF3" s="317" t="str">
        <f>地上商业现金流!AM1</f>
        <v>2025年3季度</v>
      </c>
      <c r="AG3" s="317" t="str">
        <f>地上商业现金流!AN1</f>
        <v>2025年4季度</v>
      </c>
      <c r="AH3" s="317" t="str">
        <f>地上商业现金流!AO1</f>
        <v>2026年1季度</v>
      </c>
      <c r="AI3" s="317" t="str">
        <f>地上商业现金流!AP1</f>
        <v>2026年2季度</v>
      </c>
      <c r="AJ3" s="317" t="str">
        <f>地上商业现金流!AQ1</f>
        <v>2026年3季度</v>
      </c>
      <c r="AK3" s="317" t="str">
        <f>地上商业现金流!AR1</f>
        <v>2026年4季度</v>
      </c>
      <c r="AL3" s="317" t="str">
        <f>地上商业现金流!AS1</f>
        <v>2027年1季度</v>
      </c>
      <c r="AM3" s="317" t="str">
        <f>地上商业现金流!AT1</f>
        <v>2027年2季度</v>
      </c>
      <c r="AN3" s="317" t="str">
        <f>地上商业现金流!AU1</f>
        <v>2027年3季度</v>
      </c>
      <c r="AO3" s="317" t="str">
        <f>地上商业现金流!AV1</f>
        <v>2027年4季度</v>
      </c>
      <c r="AP3" s="317" t="str">
        <f>地上商业现金流!AW1</f>
        <v>2028年1季度</v>
      </c>
      <c r="AQ3" s="317" t="str">
        <f>地上商业现金流!AX1</f>
        <v>2028年2季度</v>
      </c>
      <c r="AR3" s="317" t="str">
        <f>地上商业现金流!AY1</f>
        <v>2028年3季度</v>
      </c>
      <c r="AS3" s="317" t="str">
        <f>地上商业现金流!AZ1</f>
        <v>2028年4季度</v>
      </c>
      <c r="AT3" s="317" t="str">
        <f>地上商业现金流!BA1</f>
        <v>2029年1季度</v>
      </c>
      <c r="AU3" s="317" t="str">
        <f>地上商业现金流!BB1</f>
        <v>2029年2季度</v>
      </c>
      <c r="AV3" s="317" t="str">
        <f>地上商业现金流!BC1</f>
        <v>2029年3季度</v>
      </c>
      <c r="AW3" s="317" t="str">
        <f>地上商业现金流!BD1</f>
        <v>2029年4季度</v>
      </c>
      <c r="AX3" s="317" t="str">
        <f>地上商业现金流!BE1</f>
        <v>2030年1季度</v>
      </c>
      <c r="AY3" s="317" t="str">
        <f>地上商业现金流!BF1</f>
        <v>2030年2季度</v>
      </c>
      <c r="AZ3" s="317" t="str">
        <f>地上商业现金流!BG1</f>
        <v>2030年3季度</v>
      </c>
      <c r="BA3" s="317" t="str">
        <f>地上商业现金流!BH1</f>
        <v>2030年4季度</v>
      </c>
      <c r="BB3" s="317" t="str">
        <f>地上商业现金流!BI1</f>
        <v>2031年1季度</v>
      </c>
      <c r="BC3" s="317" t="str">
        <f>地上商业现金流!BJ1</f>
        <v>2031年2季度</v>
      </c>
      <c r="BD3" s="317" t="str">
        <f>地上商业现金流!BK1</f>
        <v>2031年3季度</v>
      </c>
      <c r="BE3" s="317" t="str">
        <f>地上商业现金流!BL1</f>
        <v>2031年4季度</v>
      </c>
      <c r="BF3" s="317" t="str">
        <f>地上商业现金流!BM1</f>
        <v>2032年1季度</v>
      </c>
      <c r="BG3" s="317" t="str">
        <f>地上商业现金流!BN1</f>
        <v>2032年2季度</v>
      </c>
      <c r="BH3" s="317" t="str">
        <f>地上商业现金流!BO1</f>
        <v>2032年3季度</v>
      </c>
      <c r="BI3" s="317" t="str">
        <f>地上商业现金流!BP1</f>
        <v>2032年4季度</v>
      </c>
      <c r="BJ3" s="317" t="str">
        <f>地上商业现金流!BQ1</f>
        <v>2033年1季度</v>
      </c>
      <c r="BK3" s="317" t="str">
        <f>地上商业现金流!BR1</f>
        <v>2033年2季度</v>
      </c>
      <c r="BL3" s="317" t="str">
        <f>地上商业现金流!BS1</f>
        <v>2033年3季度</v>
      </c>
      <c r="BM3" s="317" t="str">
        <f>地上商业现金流!BT1</f>
        <v>2033年4季度</v>
      </c>
      <c r="BN3" s="317" t="str">
        <f>地上商业现金流!BU1</f>
        <v>2034年1季度</v>
      </c>
      <c r="BO3" s="317" t="str">
        <f>地上商业现金流!BV1</f>
        <v>2034年2季度</v>
      </c>
      <c r="BP3" s="317" t="str">
        <f>地上商业现金流!BW1</f>
        <v>2034年3季度</v>
      </c>
      <c r="BQ3" s="317" t="str">
        <f>地上商业现金流!BX1</f>
        <v>2034年4季度</v>
      </c>
      <c r="BR3" s="317" t="str">
        <f>地上商业现金流!BY1</f>
        <v>2035年1季度</v>
      </c>
      <c r="BS3" s="317" t="str">
        <f>地上商业现金流!BZ1</f>
        <v>2035年2季度</v>
      </c>
      <c r="BT3" s="317" t="str">
        <f>地上商业现金流!CA1</f>
        <v>2035年3季度</v>
      </c>
      <c r="BU3" s="317" t="str">
        <f>地上商业现金流!CB1</f>
        <v>2035年4季度</v>
      </c>
      <c r="BV3" s="317" t="str">
        <f>地上商业现金流!CC1</f>
        <v>2036年1季度</v>
      </c>
      <c r="BW3" s="317" t="str">
        <f>地上商业现金流!CD1</f>
        <v>2036年2季度</v>
      </c>
      <c r="BX3" s="317" t="str">
        <f>地上商业现金流!CE1</f>
        <v>2036年3季度</v>
      </c>
      <c r="BY3" s="317" t="str">
        <f>地上商业现金流!CF1</f>
        <v>2036年4季度</v>
      </c>
      <c r="BZ3" s="317" t="str">
        <f>地上商业现金流!CG1</f>
        <v>2037年1季度</v>
      </c>
      <c r="CA3" s="317" t="str">
        <f>地上商业现金流!CH1</f>
        <v>2037年2季度</v>
      </c>
      <c r="CB3" s="317" t="str">
        <f>地上商业现金流!CI1</f>
        <v>2037年3季度</v>
      </c>
      <c r="CC3" s="317" t="str">
        <f>地上商业现金流!CJ1</f>
        <v>2037年4季度</v>
      </c>
      <c r="CD3" s="317" t="str">
        <f>地上商业现金流!CK1</f>
        <v>2038年1季度</v>
      </c>
      <c r="CE3" s="317" t="str">
        <f>地上商业现金流!CL1</f>
        <v>2038年2季度</v>
      </c>
      <c r="CF3" s="317" t="str">
        <f>地上商业现金流!CM1</f>
        <v>2038年3季度</v>
      </c>
      <c r="CG3" s="317" t="str">
        <f>地上商业现金流!CN1</f>
        <v>2038年4季度</v>
      </c>
      <c r="CH3" s="317" t="str">
        <f>地上商业现金流!CO1</f>
        <v>2039年1季度</v>
      </c>
      <c r="CI3" s="317" t="s">
        <v>609</v>
      </c>
    </row>
    <row r="4" spans="1:87" ht="24.75" customHeight="1">
      <c r="A4" s="318" t="s">
        <v>1251</v>
      </c>
      <c r="B4" s="319"/>
      <c r="C4" s="320">
        <f>仓储现金流!E78+地下仓储现金流!E86+地下车库现金流!E13+地上商业现金流!E401</f>
        <v>57336700</v>
      </c>
      <c r="D4" s="320">
        <f>仓储现金流!F78+地下仓储现金流!F86+地下车库现金流!F13+地上商业现金流!F401</f>
        <v>57488141</v>
      </c>
      <c r="E4" s="320">
        <f>仓储现金流!G78+地下仓储现金流!G86+地下车库现金流!G13+地上商业现金流!G401</f>
        <v>57721858</v>
      </c>
      <c r="F4" s="320">
        <f>仓储现金流!H78+地下仓储现金流!H86+地下车库现金流!H13+地上商业现金流!H401</f>
        <v>57925251</v>
      </c>
      <c r="G4" s="320">
        <f>仓储现金流!I78+地下仓储现金流!I86+地下车库现金流!I13+地上商业现金流!I401</f>
        <v>58062054</v>
      </c>
      <c r="H4" s="320">
        <f>仓储现金流!J78+地下仓储现金流!J86+地下车库现金流!J13+地上商业现金流!J401</f>
        <v>58234684</v>
      </c>
      <c r="I4" s="320">
        <f>仓储现金流!K78+地下仓储现金流!K86+地下车库现金流!K13+地上商业现金流!K401</f>
        <v>58466691</v>
      </c>
      <c r="J4" s="320">
        <f>仓储现金流!L78+地下仓储现金流!L86+地下车库现金流!L13+地上商业现金流!L401</f>
        <v>58564073</v>
      </c>
      <c r="K4" s="320">
        <f>仓储现金流!M78+地下仓储现金流!M86+地下车库现金流!M13+地上商业现金流!M401</f>
        <v>58949792</v>
      </c>
      <c r="L4" s="320">
        <f>仓储现金流!N78+地下仓储现金流!N86+地下车库现金流!N13+地上商业现金流!N401</f>
        <v>58950314</v>
      </c>
      <c r="M4" s="320">
        <f>仓储现金流!O78+地下仓储现金流!O86+地下车库现金流!O13+地上商业现金流!O401</f>
        <v>59009862</v>
      </c>
      <c r="N4" s="320">
        <f>仓储现金流!P78+地下仓储现金流!P86+地下车库现金流!P13+地上商业现金流!P401</f>
        <v>59009862</v>
      </c>
      <c r="O4" s="320">
        <f>仓储现金流!Q78+地下仓储现金流!Q86+地下车库现金流!Q13+地上商业现金流!Q401</f>
        <v>59623619</v>
      </c>
      <c r="P4" s="320">
        <f>仓储现金流!R78+地下仓储现金流!R86+地下车库现金流!R13+地上商业现金流!R401</f>
        <v>59626751</v>
      </c>
      <c r="Q4" s="320">
        <f>仓储现金流!S78+地下仓储现金流!S86+地下车库现金流!S13+地上商业现金流!S401</f>
        <v>59627291</v>
      </c>
      <c r="R4" s="320">
        <f>仓储现金流!T78+地下仓储现金流!T86+地下车库现金流!T13+地上商业现金流!T401</f>
        <v>59627291</v>
      </c>
      <c r="S4" s="320">
        <f>仓储现金流!U78+地下仓储现金流!U86+地下车库现金流!U13+地上商业现金流!U401</f>
        <v>60343013</v>
      </c>
      <c r="T4" s="320">
        <f>仓储现金流!V78+地下仓储现金流!V86+地下车库现金流!V13+地上商业现金流!V401</f>
        <v>60343013</v>
      </c>
      <c r="U4" s="320">
        <f>仓储现金流!W78+地下仓储现金流!W86+地下车库现金流!W13+地上商业现金流!W401</f>
        <v>60392496</v>
      </c>
      <c r="V4" s="320">
        <f>仓储现金流!X78+地下仓储现金流!X86+地下车库现金流!X13+地上商业现金流!X401</f>
        <v>60393052</v>
      </c>
      <c r="W4" s="320">
        <f>仓储现金流!Y78+地下仓储现金流!Y86+地下车库现金流!Y13+地上商业现金流!Y401</f>
        <v>61223088</v>
      </c>
      <c r="X4" s="320">
        <f>仓储现金流!Z78+地下仓储现金流!Z86+地下车库现金流!Z13+地上商业现金流!Z401</f>
        <v>61223088</v>
      </c>
      <c r="Y4" s="320">
        <f>仓储现金流!AA78+地下仓储现金流!AA86+地下车库现金流!AA13+地上商业现金流!AA401</f>
        <v>61223088</v>
      </c>
      <c r="Z4" s="320">
        <f>仓储现金流!AB78+地下仓储现金流!AB86+地下车库现金流!AB13+地上商业现金流!AB401</f>
        <v>61226258</v>
      </c>
      <c r="AA4" s="320">
        <f>仓储现金流!AC78+地下仓储现金流!AC86+地下车库现金流!AC13+地上商业现金流!AC401</f>
        <v>62176735</v>
      </c>
      <c r="AB4" s="320">
        <f>仓储现金流!AD78+地下仓储现金流!AD86+地下车库现金流!AD13+地上商业现金流!AD401</f>
        <v>62176735</v>
      </c>
      <c r="AC4" s="320">
        <f>仓储现金流!AE78+地下仓储现金流!AE86+地下车库现金流!AE13+地上商业现金流!AE401</f>
        <v>62176735</v>
      </c>
      <c r="AD4" s="320">
        <f>仓储现金流!AF78+地下仓储现金流!AF86+地下车库现金流!AF13+地上商业现金流!AF401</f>
        <v>62176735</v>
      </c>
      <c r="AE4" s="320">
        <f>仓储现金流!AG78+地下仓储现金流!AG86+地下车库现金流!AG13+地上商业现金流!AG401</f>
        <v>63256676</v>
      </c>
      <c r="AF4" s="320">
        <f>仓储现金流!AH78+地下仓储现金流!AH86+地下车库现金流!AH13+地上商业现金流!AH401</f>
        <v>63257264</v>
      </c>
      <c r="AG4" s="320">
        <f>仓储现金流!AI78+地下仓储现金流!AI86+地下车库现金流!AI13+地上商业现金流!AI401</f>
        <v>63257264</v>
      </c>
      <c r="AH4" s="320">
        <f>仓储现金流!AJ78+地下仓储现金流!AJ86+地下车库现金流!AJ13+地上商业现金流!AJ401</f>
        <v>63257264</v>
      </c>
      <c r="AI4" s="320">
        <f>仓储现金流!AK78+地下仓储现金流!AK86+地下车库现金流!AK13+地上商业现金流!AK401</f>
        <v>64451496</v>
      </c>
      <c r="AJ4" s="320">
        <f>仓储现金流!AL78+地下仓储现金流!AL86+地下车库现金流!AL13+地上商业现金流!AL401</f>
        <v>64454705</v>
      </c>
      <c r="AK4" s="320">
        <f>仓储现金流!AM78+地下仓储现金流!AM86+地下车库现金流!AM13+地上商业现金流!AM401</f>
        <v>64455310</v>
      </c>
      <c r="AL4" s="320">
        <f>仓储现金流!AN78+地下仓储现金流!AN86+地下车库现金流!AN13+地上商业现金流!AN401</f>
        <v>64455310</v>
      </c>
      <c r="AM4" s="320">
        <f>仓储现金流!AO78+地下仓储现金流!AO86+地下车库现金流!AO13+地上商业现金流!AO401</f>
        <v>65798097</v>
      </c>
      <c r="AN4" s="320">
        <f>仓储现金流!AP78+地下仓储现金流!AP86+地下车库现金流!AP13+地上商业现金流!AP401</f>
        <v>65798097</v>
      </c>
      <c r="AO4" s="320">
        <f>仓储现金流!AQ78+地下仓储现金流!AQ86+地下车库现金流!AQ13+地上商业现金流!AQ401</f>
        <v>65801326</v>
      </c>
      <c r="AP4" s="320">
        <f>仓储现金流!AR78+地下仓储现金流!AR86+地下车库现金流!AR13+地上商业现金流!AR401</f>
        <v>65801947</v>
      </c>
      <c r="AQ4" s="320">
        <f>仓储现金流!AS78+地下仓储现金流!AS86+地下车库现金流!AS13+地上商业现金流!AS401</f>
        <v>67233961</v>
      </c>
      <c r="AR4" s="320">
        <f>仓储现金流!AT78+地下仓储现金流!AT86+地下车库现金流!AT13+地上商业现金流!AT401</f>
        <v>67233961</v>
      </c>
      <c r="AS4" s="320">
        <f>仓储现金流!AU78+地下仓储现金流!AU86+地下车库现金流!AU13+地上商业现金流!AU401</f>
        <v>67233961</v>
      </c>
      <c r="AT4" s="320">
        <f>仓储现金流!AV78+地下仓储现金流!AV86+地下车库现金流!AV13+地上商业现金流!AV401</f>
        <v>67237209</v>
      </c>
      <c r="AU4" s="320">
        <f>仓储现金流!AW78+地下仓储现金流!AW86+地下车库现金流!AW13+地上商业现金流!AW401</f>
        <v>68845484</v>
      </c>
      <c r="AV4" s="320">
        <f>仓储现金流!AX78+地下仓储现金流!AX86+地下车库现金流!AX13+地上商业现金流!AX401</f>
        <v>68845484</v>
      </c>
      <c r="AW4" s="320">
        <f>仓储现金流!AY78+地下仓储现金流!AY86+地下车库现金流!AY13+地上商业现金流!AY401</f>
        <v>68845484</v>
      </c>
      <c r="AX4" s="320">
        <f>仓储现金流!AZ78+地下仓储现金流!AZ86+地下车库现金流!AZ13+地上商业现金流!AZ401</f>
        <v>68845484</v>
      </c>
      <c r="AY4" s="320">
        <f>仓储现金流!BA78+地下仓储现金流!BA86+地下车库现金流!BA13+地上商业现金流!BA401</f>
        <v>70645686</v>
      </c>
      <c r="AZ4" s="320">
        <f>仓储现金流!BB78+地下仓储现金流!BB86+地下车库现金流!BB13+地上商业现金流!BB401</f>
        <v>70646341</v>
      </c>
      <c r="BA4" s="320">
        <f>仓储现金流!BC78+地下仓储现金流!BC86+地下车库现金流!BC13+地上商业现金流!BC401</f>
        <v>70646341</v>
      </c>
      <c r="BB4" s="320">
        <f>仓储现金流!BD78+地下仓储现金流!BD86+地下车库现金流!BD13+地上商业现金流!BD401</f>
        <v>70646341</v>
      </c>
      <c r="BC4" s="320">
        <f>仓储现金流!BE78+地下仓储现金流!BE86+地下车库现金流!BE13+地上商业现金流!BE401</f>
        <v>72647674</v>
      </c>
      <c r="BD4" s="320">
        <f>仓储现金流!BF78+地下仓储现金流!BF86+地下车库现金流!BF13+地上商业现金流!BF401</f>
        <v>72650963</v>
      </c>
      <c r="BE4" s="320">
        <f>仓储现金流!BG78+地下仓储现金流!BG86+地下车库现金流!BG13+地上商业现金流!BG401</f>
        <v>72651634</v>
      </c>
      <c r="BF4" s="320">
        <f>仓储现金流!BH78+地下仓储现金流!BH86+地下车库现金流!BH13+地上商业现金流!BH401</f>
        <v>72651634</v>
      </c>
      <c r="BG4" s="320">
        <f>仓储现金流!BI78+地下仓储现金流!BI86+地下车库现金流!BI13+地上商业现金流!BI401</f>
        <v>74873955</v>
      </c>
      <c r="BH4" s="320">
        <f>仓储现金流!BJ78+地下仓储现金流!BJ86+地下车库现金流!BJ13+地上商业现金流!BJ401</f>
        <v>74873955</v>
      </c>
      <c r="BI4" s="320">
        <f>仓储现金流!BK78+地下仓储现金流!BK86+地下车库现金流!BK13+地上商业现金流!BK401</f>
        <v>74877263</v>
      </c>
      <c r="BJ4" s="320">
        <f>仓储现金流!BL78+地下仓储现金流!BL86+地下车库现金流!BL13+地上商业现金流!BL401</f>
        <v>74877950</v>
      </c>
      <c r="BK4" s="320">
        <f>仓储现金流!BM78+地下仓储现金流!BM86+地下车库现金流!BM13+地上商业现金流!BM401</f>
        <v>77339501</v>
      </c>
      <c r="BL4" s="320">
        <f>仓储现金流!BN78+地下仓储现金流!BN86+地下车库现金流!BN13+地上商业现金流!BN401</f>
        <v>77339501</v>
      </c>
      <c r="BM4" s="320">
        <f>仓储现金流!BO78+地下仓储现金流!BO86+地下车库现金流!BO13+地上商业现金流!BO401</f>
        <v>77339501</v>
      </c>
      <c r="BN4" s="320">
        <f>仓储现金流!BP78+地下仓储现金流!BP86+地下车库现金流!BP13+地上商业现金流!BP401</f>
        <v>77342830</v>
      </c>
      <c r="BO4" s="320">
        <f>仓储现金流!BQ78+地下仓储现金流!BQ86+地下车库现金流!BQ13+地上商业现金流!BQ401</f>
        <v>80064410</v>
      </c>
      <c r="BP4" s="320">
        <f>仓储现金流!BR78+地下仓储现金流!BR86+地下车库现金流!BR13+地上商业现金流!BR401</f>
        <v>80064410</v>
      </c>
      <c r="BQ4" s="320">
        <f>仓储现金流!BS78+地下仓储现金流!BS86+地下车库现金流!BS13+地上商业现金流!BS401</f>
        <v>80064410</v>
      </c>
      <c r="BR4" s="320">
        <f>仓储现金流!BT78+地下仓储现金流!BT86+地下车库现金流!BT13+地上商业现金流!BT401</f>
        <v>80064410</v>
      </c>
      <c r="BS4" s="320">
        <f>仓储现金流!BU78+地下仓储现金流!BU86+地下车库现金流!BU13+地上商业现金流!BU401</f>
        <v>83069934</v>
      </c>
      <c r="BT4" s="320">
        <f>仓储现金流!BV78+地下仓储现金流!BV86+地下车库现金流!BV13+地上商业现金流!BV401</f>
        <v>83070653</v>
      </c>
      <c r="BU4" s="320">
        <f>仓储现金流!BW78+地下仓储现金流!BW86+地下车库现金流!BW13+地上商业现金流!BW401</f>
        <v>83070653</v>
      </c>
      <c r="BV4" s="320">
        <f>仓储现金流!BX78+地下仓储现金流!BX86+地下车库现金流!BX13+地上商业现金流!BX401</f>
        <v>83070653</v>
      </c>
      <c r="BW4" s="320">
        <f>仓储现金流!BY78+地下仓储现金流!BY86+地下车库现金流!BY13+地上商业现金流!BY401</f>
        <v>86378294</v>
      </c>
      <c r="BX4" s="320">
        <f>仓储现金流!BZ78+地下仓储现金流!BZ86+地下车库现金流!BZ13+地上商业现金流!BZ401</f>
        <v>86381663</v>
      </c>
      <c r="BY4" s="320">
        <f>仓储现金流!CA78+地下仓储现金流!CA86+地下车库现金流!CA13+地上商业现金流!CA401</f>
        <v>86382398</v>
      </c>
      <c r="BZ4" s="320">
        <f>仓储现金流!CB78+地下仓储现金流!CB86+地下车库现金流!CB13+地上商业现金流!CB401</f>
        <v>86382398</v>
      </c>
      <c r="CA4" s="320">
        <f>仓储现金流!CC78+地下仓储现金流!CC86+地下车库现金流!CC13+地上商业现金流!CC401</f>
        <v>90021945</v>
      </c>
      <c r="CB4" s="320">
        <f>仓储现金流!CD78+地下仓储现金流!CD86+地下车库现金流!CD13+地上商业现金流!CD401</f>
        <v>90021945</v>
      </c>
      <c r="CC4" s="320">
        <f>仓储现金流!CE78+地下仓储现金流!CE86+地下车库现金流!CE13+地上商业现金流!CE401</f>
        <v>90025335</v>
      </c>
      <c r="CD4" s="320">
        <f>仓储现金流!CF78+地下仓储现金流!CF86+地下车库现金流!CF13+地上商业现金流!CF401</f>
        <v>90026087</v>
      </c>
      <c r="CE4" s="320">
        <f>仓储现金流!CG78+地下仓储现金流!CG86+地下车库现金流!CG13+地上商业现金流!CG401</f>
        <v>94026555</v>
      </c>
      <c r="CF4" s="320">
        <f>仓储现金流!CH78+地下仓储现金流!CH86+地下车库现金流!CH13+地上商业现金流!CH401</f>
        <v>94026555</v>
      </c>
      <c r="CG4" s="320">
        <f>仓储现金流!CI78+地下仓储现金流!CI86+地下车库现金流!CI13+地上商业现金流!CI401</f>
        <v>94026555</v>
      </c>
      <c r="CH4" s="320">
        <f>仓储现金流!CJ78+地下仓储现金流!CJ86+地下车库现金流!CJ13+地上商业现金流!CJ401</f>
        <v>94029966</v>
      </c>
      <c r="CI4" s="321">
        <f>SUM(C4:CH4)</f>
        <v>5907984353</v>
      </c>
    </row>
    <row r="5" spans="1:87" ht="28.5" customHeight="1">
      <c r="A5" s="322" t="s">
        <v>1252</v>
      </c>
      <c r="B5" s="319"/>
      <c r="C5" s="320">
        <f>仓储现金流!E82+地下仓储现金流!E90+地下车库现金流!E17+地上商业现金流!E405</f>
        <v>12231829</v>
      </c>
      <c r="D5" s="320">
        <f>仓储现金流!F82+地下仓储现金流!F90+地下车库现金流!F17+地上商业现金流!F405</f>
        <v>12264136</v>
      </c>
      <c r="E5" s="320">
        <f>仓储现金流!G82+地下仓储现金流!G90+地下车库现金流!G17+地上商业现金流!G405</f>
        <v>12313996</v>
      </c>
      <c r="F5" s="320">
        <f>仓储现金流!H82+地下仓储现金流!H90+地下车库现金流!H17+地上商业现金流!H405</f>
        <v>12357386</v>
      </c>
      <c r="G5" s="320">
        <f>仓储现金流!I82+地下仓储现金流!I90+地下车库现金流!I17+地上商业现金流!I405</f>
        <v>12386572</v>
      </c>
      <c r="H5" s="320">
        <f>仓储现金流!J82+地下仓储现金流!J90+地下车库现金流!J17+地上商业现金流!J405</f>
        <v>12423399</v>
      </c>
      <c r="I5" s="320">
        <f>仓储现金流!K82+地下仓储现金流!K90+地下车库现金流!K17+地上商业现金流!K405</f>
        <v>12472894</v>
      </c>
      <c r="J5" s="320">
        <f>仓储现金流!L82+地下仓储现金流!L90+地下车库现金流!L17+地上商业现金流!L405</f>
        <v>12493667</v>
      </c>
      <c r="K5" s="320">
        <f>仓储现金流!M82+地下仓储现金流!M90+地下车库现金流!M17+地上商业现金流!M405</f>
        <v>12575955</v>
      </c>
      <c r="L5" s="320">
        <f>仓储现金流!N82+地下仓储现金流!N90+地下车库现金流!N17+地上商业现金流!N405</f>
        <v>12576067</v>
      </c>
      <c r="M5" s="320">
        <f>仓储现金流!O82+地下仓储现金流!O90+地下车库现金流!O17+地上商业现金流!O405</f>
        <v>12588769</v>
      </c>
      <c r="N5" s="320">
        <f>仓储现金流!P82+地下仓储现金流!P90+地下车库现金流!P17+地上商业现金流!P405</f>
        <v>12588769</v>
      </c>
      <c r="O5" s="320">
        <f>仓储现金流!Q82+地下仓储现金流!Q90+地下车库现金流!Q17+地上商业现金流!Q405</f>
        <v>12719707</v>
      </c>
      <c r="P5" s="320">
        <f>仓储现金流!R82+地下仓储现金流!R90+地下车库现金流!R17+地上商业现金流!R405</f>
        <v>12720375</v>
      </c>
      <c r="Q5" s="320">
        <f>仓储现金流!S82+地下仓储现金流!S90+地下车库现金流!S17+地上商业现金流!S405</f>
        <v>12720490</v>
      </c>
      <c r="R5" s="320">
        <f>仓储现金流!T82+地下仓储现金流!T90+地下车库现金流!T17+地上商业现金流!T405</f>
        <v>12720490</v>
      </c>
      <c r="S5" s="320">
        <f>仓储现金流!U82+地下仓储现金流!U90+地下车库现金流!U17+地上商业现金流!U405</f>
        <v>12873174</v>
      </c>
      <c r="T5" s="320">
        <f>仓储现金流!V82+地下仓储现金流!V90+地下车库现金流!V17+地上商业现金流!V405</f>
        <v>12873174</v>
      </c>
      <c r="U5" s="320">
        <f>仓储现金流!W82+地下仓储现金流!W90+地下车库现金流!W17+地上商业现金流!W405</f>
        <v>12883730</v>
      </c>
      <c r="V5" s="320">
        <f>仓储现金流!X82+地下仓储现金流!X90+地下车库现金流!X17+地上商业现金流!X405</f>
        <v>12883850</v>
      </c>
      <c r="W5" s="320">
        <f>仓储现金流!Y82+地下仓储现金流!Y90+地下车库现金流!Y17+地上商业现金流!Y405</f>
        <v>13060924</v>
      </c>
      <c r="X5" s="320">
        <f>仓储现金流!Z82+地下仓储现金流!Z90+地下车库现金流!Z17+地上商业现金流!Z405</f>
        <v>13060924</v>
      </c>
      <c r="Y5" s="320">
        <f>仓储现金流!AA82+地下仓储现金流!AA90+地下车库现金流!AA17+地上商业现金流!AA405</f>
        <v>13060924</v>
      </c>
      <c r="Z5" s="320">
        <f>仓储现金流!AB82+地下仓储现金流!AB90+地下车库现金流!AB17+地上商业现金流!AB405</f>
        <v>13061601</v>
      </c>
      <c r="AA5" s="320">
        <f>仓储现金流!AC82+地下仓储现金流!AC90+地下车库现金流!AC17+地上商业现金流!AC405</f>
        <v>13264370</v>
      </c>
      <c r="AB5" s="320">
        <f>仓储现金流!AD82+地下仓储现金流!AD90+地下车库现金流!AD17+地上商业现金流!AD405</f>
        <v>13264370</v>
      </c>
      <c r="AC5" s="320">
        <f>仓储现金流!AE82+地下仓储现金流!AE90+地下车库现金流!AE17+地上商业现金流!AE405</f>
        <v>13264370</v>
      </c>
      <c r="AD5" s="320">
        <f>仓储现金流!AF82+地下仓储现金流!AF90+地下车库现金流!AF17+地上商业现金流!AF405</f>
        <v>13264370</v>
      </c>
      <c r="AE5" s="320">
        <f>仓储现金流!AG82+地下仓储现金流!AG90+地下车库现金流!AG17+地上商业现金流!AG405</f>
        <v>13494757</v>
      </c>
      <c r="AF5" s="320">
        <f>仓储现金流!AH82+地下仓储现金流!AH90+地下车库现金流!AH17+地上商业现金流!AH405</f>
        <v>13494882</v>
      </c>
      <c r="AG5" s="320">
        <f>仓储现金流!AI82+地下仓储现金流!AI90+地下车库现金流!AI17+地上商业现金流!AI405</f>
        <v>13494882</v>
      </c>
      <c r="AH5" s="320">
        <f>仓储现金流!AJ82+地下仓储现金流!AJ90+地下车库现金流!AJ17+地上商业现金流!AJ405</f>
        <v>13494882</v>
      </c>
      <c r="AI5" s="320">
        <f>仓储现金流!AK82+地下仓储现金流!AK90+地下车库现金流!AK17+地上商业现金流!AK405</f>
        <v>13749653</v>
      </c>
      <c r="AJ5" s="320">
        <f>仓储现金流!AL82+地下仓储现金流!AL90+地下车库现金流!AL17+地上商业现金流!AL405</f>
        <v>13750338</v>
      </c>
      <c r="AK5" s="320">
        <f>仓储现金流!AM82+地下仓储现金流!AM90+地下车库现金流!AM17+地上商业现金流!AM405</f>
        <v>13750468</v>
      </c>
      <c r="AL5" s="320">
        <f>仓储现金流!AN82+地下仓储现金流!AN90+地下车库现金流!AN17+地上商业现金流!AN405</f>
        <v>13750468</v>
      </c>
      <c r="AM5" s="320">
        <f>仓储现金流!AO82+地下仓储现金流!AO90+地下车库现金流!AO17+地上商业现金流!AO405</f>
        <v>14036925</v>
      </c>
      <c r="AN5" s="320">
        <f>仓储现金流!AP82+地下仓储现金流!AP90+地下车库现金流!AP17+地上商业现金流!AP405</f>
        <v>14036925</v>
      </c>
      <c r="AO5" s="320">
        <f>仓储现金流!AQ82+地下仓储现金流!AQ90+地下车库现金流!AQ17+地上商业现金流!AQ405</f>
        <v>14037615</v>
      </c>
      <c r="AP5" s="320">
        <f>仓储现金流!AR82+地下仓储现金流!AR90+地下车库现金流!AR17+地上商业现金流!AR405</f>
        <v>14037747</v>
      </c>
      <c r="AQ5" s="320">
        <f>仓储现金流!AS82+地下仓储现金流!AS90+地下车库现金流!AS17+地上商业现金流!AS405</f>
        <v>14343246</v>
      </c>
      <c r="AR5" s="320">
        <f>仓储现金流!AT82+地下仓储现金流!AT90+地下车库现金流!AT17+地上商业现金流!AT405</f>
        <v>14343246</v>
      </c>
      <c r="AS5" s="320">
        <f>仓储现金流!AU82+地下仓储现金流!AU90+地下车库现金流!AU17+地上商业现金流!AU405</f>
        <v>14343246</v>
      </c>
      <c r="AT5" s="320">
        <f>仓储现金流!AV82+地下仓储现金流!AV90+地下车库现金流!AV17+地上商业现金流!AV405</f>
        <v>14343937</v>
      </c>
      <c r="AU5" s="320">
        <f>仓储现金流!AW82+地下仓储现金流!AW90+地下车库现金流!AW17+地上商业现金流!AW405</f>
        <v>14687037</v>
      </c>
      <c r="AV5" s="320">
        <f>仓储现金流!AX82+地下仓储现金流!AX90+地下车库现金流!AX17+地上商业现金流!AX405</f>
        <v>14687037</v>
      </c>
      <c r="AW5" s="320">
        <f>仓储现金流!AY82+地下仓储现金流!AY90+地下车库现金流!AY17+地上商业现金流!AY405</f>
        <v>14687037</v>
      </c>
      <c r="AX5" s="320">
        <f>仓储现金流!AZ82+地下仓储现金流!AZ90+地下车库现金流!AZ17+地上商业现金流!AZ405</f>
        <v>14687037</v>
      </c>
      <c r="AY5" s="320">
        <f>仓储现金流!BA82+地下仓储现金流!BA90+地下车库现金流!BA17+地上商业现金流!BA405</f>
        <v>15071081</v>
      </c>
      <c r="AZ5" s="320">
        <f>仓储现金流!BB82+地下仓储现金流!BB90+地下车库现金流!BB17+地上商业现金流!BB405</f>
        <v>15071220</v>
      </c>
      <c r="BA5" s="320">
        <f>仓储现金流!BC82+地下仓储现金流!BC90+地下车库现金流!BC17+地上商业现金流!BC405</f>
        <v>15071220</v>
      </c>
      <c r="BB5" s="320">
        <f>仓储现金流!BD82+地下仓储现金流!BD90+地下车库现金流!BD17+地上商业现金流!BD405</f>
        <v>15071220</v>
      </c>
      <c r="BC5" s="320">
        <f>仓储现金流!BE82+地下仓储现金流!BE90+地下车库现金流!BE17+地上商业现金流!BE405</f>
        <v>15498170</v>
      </c>
      <c r="BD5" s="320">
        <f>仓储现金流!BF82+地下仓储现金流!BF90+地下车库现金流!BF17+地上商业现金流!BF405</f>
        <v>15498872</v>
      </c>
      <c r="BE5" s="320">
        <f>仓储现金流!BG82+地下仓储现金流!BG90+地下车库现金流!BG17+地上商业现金流!BG405</f>
        <v>15499015</v>
      </c>
      <c r="BF5" s="320">
        <f>仓储现金流!BH82+地下仓储现金流!BH90+地下车库现金流!BH17+地上商业现金流!BH405</f>
        <v>15499015</v>
      </c>
      <c r="BG5" s="320">
        <f>仓储现金流!BI82+地下仓储现金流!BI90+地下车库现金流!BI17+地上商业现金流!BI405</f>
        <v>15973111</v>
      </c>
      <c r="BH5" s="320">
        <f>仓储现金流!BJ82+地下仓储现金流!BJ90+地下车库现金流!BJ17+地上商业现金流!BJ405</f>
        <v>15973111</v>
      </c>
      <c r="BI5" s="320">
        <f>仓储现金流!BK82+地下仓储现金流!BK90+地下车库现金流!BK17+地上商业现金流!BK405</f>
        <v>15973817</v>
      </c>
      <c r="BJ5" s="320">
        <f>仓储现金流!BL82+地下仓储现金流!BL90+地下车库现金流!BL17+地上商业现金流!BL405</f>
        <v>15973964</v>
      </c>
      <c r="BK5" s="320">
        <f>仓储现金流!BM82+地下仓储现金流!BM90+地下车库现金流!BM17+地上商业现金流!BM405</f>
        <v>16499093</v>
      </c>
      <c r="BL5" s="320">
        <f>仓储现金流!BN82+地下仓储现金流!BN90+地下车库现金流!BN17+地上商业现金流!BN405</f>
        <v>16499093</v>
      </c>
      <c r="BM5" s="320">
        <f>仓储现金流!BO82+地下仓储现金流!BO90+地下车库现金流!BO17+地上商业现金流!BO405</f>
        <v>16499093</v>
      </c>
      <c r="BN5" s="320">
        <f>仓储现金流!BP82+地下仓储现金流!BP90+地下车库现金流!BP17+地上商业现金流!BP405</f>
        <v>16499804</v>
      </c>
      <c r="BO5" s="320">
        <f>仓储现金流!BQ82+地下仓储现金流!BQ90+地下车库现金流!BQ17+地上商业现金流!BQ405</f>
        <v>17080407</v>
      </c>
      <c r="BP5" s="320">
        <f>仓储现金流!BR82+地下仓储现金流!BR90+地下车库现金流!BR17+地上商业现金流!BR405</f>
        <v>17080407</v>
      </c>
      <c r="BQ5" s="320">
        <f>仓储现金流!BS82+地下仓储现金流!BS90+地下车库现金流!BS17+地上商业现金流!BS405</f>
        <v>17080407</v>
      </c>
      <c r="BR5" s="320">
        <f>仓储现金流!BT82+地下仓储现金流!BT90+地下车库现金流!BT17+地上商业现金流!BT405</f>
        <v>17080407</v>
      </c>
      <c r="BS5" s="320">
        <f>仓储现金流!BU82+地下仓储现金流!BU90+地下车库现金流!BU17+地上商业现金流!BU405</f>
        <v>17721586</v>
      </c>
      <c r="BT5" s="320">
        <f>仓储现金流!BV82+地下仓储现金流!BV90+地下车库现金流!BV17+地上商业现金流!BV405</f>
        <v>17721739</v>
      </c>
      <c r="BU5" s="320">
        <f>仓储现金流!BW82+地下仓储现金流!BW90+地下车库现金流!BW17+地上商业现金流!BW405</f>
        <v>17721739</v>
      </c>
      <c r="BV5" s="320">
        <f>仓储现金流!BX82+地下仓储现金流!BX90+地下车库现金流!BX17+地上商业现金流!BX405</f>
        <v>17721739</v>
      </c>
      <c r="BW5" s="320">
        <f>仓储现金流!BY82+地下仓储现金流!BY90+地下车库现金流!BY17+地上商业现金流!BY405</f>
        <v>18427369</v>
      </c>
      <c r="BX5" s="320">
        <f>仓储现金流!BZ82+地下仓储现金流!BZ90+地下车库现金流!BZ17+地上商业现金流!BZ405</f>
        <v>18428088</v>
      </c>
      <c r="BY5" s="320">
        <f>仓储现金流!CA82+地下仓储现金流!CA90+地下车库现金流!CA17+地上商业现金流!CA405</f>
        <v>18428244</v>
      </c>
      <c r="BZ5" s="320">
        <f>仓储现金流!CB82+地下仓储现金流!CB90+地下车库现金流!CB17+地上商业现金流!CB405</f>
        <v>18428244</v>
      </c>
      <c r="CA5" s="320">
        <f>仓储现金流!CC82+地下仓储现金流!CC90+地下车库现金流!CC17+地上商业现金流!CC405</f>
        <v>19204682</v>
      </c>
      <c r="CB5" s="320">
        <f>仓储现金流!CD82+地下仓储现金流!CD90+地下车库现金流!CD17+地上商业现金流!CD405</f>
        <v>19204682</v>
      </c>
      <c r="CC5" s="320">
        <f>仓储现金流!CE82+地下仓储现金流!CE90+地下车库现金流!CE17+地上商业现金流!CE405</f>
        <v>19205406</v>
      </c>
      <c r="CD5" s="320">
        <f>仓储现金流!CF82+地下仓储现金流!CF90+地下车库现金流!CF17+地上商业现金流!CF405</f>
        <v>19205566</v>
      </c>
      <c r="CE5" s="320">
        <f>仓储现金流!CG82+地下仓储现金流!CG90+地下车库现金流!CG17+地上商业现金流!CG405</f>
        <v>20058998</v>
      </c>
      <c r="CF5" s="320">
        <f>仓储现金流!CH82+地下仓储现金流!CH90+地下车库现金流!CH17+地上商业现金流!CH405</f>
        <v>20058998</v>
      </c>
      <c r="CG5" s="320">
        <f>仓储现金流!CI82+地下仓储现金流!CI90+地下车库现金流!CI17+地上商业现金流!CI405</f>
        <v>20058998</v>
      </c>
      <c r="CH5" s="320">
        <f>仓储现金流!CJ82+地下仓储现金流!CJ90+地下车库现金流!CJ17+地上商业现金流!CJ405</f>
        <v>20059725</v>
      </c>
      <c r="CI5" s="321">
        <f>SUM(C5:CH5)</f>
        <v>1260369977</v>
      </c>
    </row>
    <row r="6" spans="1:87">
      <c r="A6" s="323" t="s">
        <v>1238</v>
      </c>
      <c r="B6" s="319"/>
      <c r="C6" s="324">
        <f t="shared" ref="C6:AH6" si="0">C4-C5</f>
        <v>45104871</v>
      </c>
      <c r="D6" s="324">
        <f t="shared" si="0"/>
        <v>45224005</v>
      </c>
      <c r="E6" s="324">
        <f t="shared" si="0"/>
        <v>45407862</v>
      </c>
      <c r="F6" s="324">
        <f t="shared" si="0"/>
        <v>45567865</v>
      </c>
      <c r="G6" s="324">
        <f t="shared" si="0"/>
        <v>45675482</v>
      </c>
      <c r="H6" s="324">
        <f t="shared" si="0"/>
        <v>45811285</v>
      </c>
      <c r="I6" s="324">
        <f t="shared" si="0"/>
        <v>45993797</v>
      </c>
      <c r="J6" s="324">
        <f t="shared" si="0"/>
        <v>46070406</v>
      </c>
      <c r="K6" s="324">
        <f t="shared" si="0"/>
        <v>46373837</v>
      </c>
      <c r="L6" s="324">
        <f t="shared" si="0"/>
        <v>46374247</v>
      </c>
      <c r="M6" s="324">
        <f t="shared" si="0"/>
        <v>46421093</v>
      </c>
      <c r="N6" s="324">
        <f t="shared" si="0"/>
        <v>46421093</v>
      </c>
      <c r="O6" s="324">
        <f t="shared" si="0"/>
        <v>46903912</v>
      </c>
      <c r="P6" s="324">
        <f t="shared" si="0"/>
        <v>46906376</v>
      </c>
      <c r="Q6" s="324">
        <f t="shared" si="0"/>
        <v>46906801</v>
      </c>
      <c r="R6" s="324">
        <f t="shared" si="0"/>
        <v>46906801</v>
      </c>
      <c r="S6" s="324">
        <f t="shared" si="0"/>
        <v>47469839</v>
      </c>
      <c r="T6" s="324">
        <f t="shared" si="0"/>
        <v>47469839</v>
      </c>
      <c r="U6" s="324">
        <f t="shared" si="0"/>
        <v>47508766</v>
      </c>
      <c r="V6" s="324">
        <f t="shared" si="0"/>
        <v>47509202</v>
      </c>
      <c r="W6" s="324">
        <f t="shared" si="0"/>
        <v>48162164</v>
      </c>
      <c r="X6" s="324">
        <f t="shared" si="0"/>
        <v>48162164</v>
      </c>
      <c r="Y6" s="324">
        <f t="shared" si="0"/>
        <v>48162164</v>
      </c>
      <c r="Z6" s="324">
        <f t="shared" si="0"/>
        <v>48164657</v>
      </c>
      <c r="AA6" s="324">
        <f t="shared" si="0"/>
        <v>48912365</v>
      </c>
      <c r="AB6" s="324">
        <f t="shared" si="0"/>
        <v>48912365</v>
      </c>
      <c r="AC6" s="324">
        <f t="shared" si="0"/>
        <v>48912365</v>
      </c>
      <c r="AD6" s="324">
        <f t="shared" si="0"/>
        <v>48912365</v>
      </c>
      <c r="AE6" s="324">
        <f t="shared" si="0"/>
        <v>49761919</v>
      </c>
      <c r="AF6" s="324">
        <f t="shared" si="0"/>
        <v>49762382</v>
      </c>
      <c r="AG6" s="324">
        <f t="shared" si="0"/>
        <v>49762382</v>
      </c>
      <c r="AH6" s="324">
        <f t="shared" si="0"/>
        <v>49762382</v>
      </c>
      <c r="AI6" s="324">
        <f t="shared" ref="AI6:BN6" si="1">AI4-AI5</f>
        <v>50701843</v>
      </c>
      <c r="AJ6" s="324">
        <f t="shared" si="1"/>
        <v>50704367</v>
      </c>
      <c r="AK6" s="324">
        <f t="shared" si="1"/>
        <v>50704842</v>
      </c>
      <c r="AL6" s="324">
        <f t="shared" si="1"/>
        <v>50704842</v>
      </c>
      <c r="AM6" s="324">
        <f t="shared" si="1"/>
        <v>51761172</v>
      </c>
      <c r="AN6" s="324">
        <f t="shared" si="1"/>
        <v>51761172</v>
      </c>
      <c r="AO6" s="324">
        <f t="shared" si="1"/>
        <v>51763711</v>
      </c>
      <c r="AP6" s="324">
        <f t="shared" si="1"/>
        <v>51764200</v>
      </c>
      <c r="AQ6" s="324">
        <f t="shared" si="1"/>
        <v>52890715</v>
      </c>
      <c r="AR6" s="324">
        <f t="shared" si="1"/>
        <v>52890715</v>
      </c>
      <c r="AS6" s="324">
        <f t="shared" si="1"/>
        <v>52890715</v>
      </c>
      <c r="AT6" s="324">
        <f t="shared" si="1"/>
        <v>52893272</v>
      </c>
      <c r="AU6" s="324">
        <f t="shared" si="1"/>
        <v>54158447</v>
      </c>
      <c r="AV6" s="324">
        <f t="shared" si="1"/>
        <v>54158447</v>
      </c>
      <c r="AW6" s="324">
        <f t="shared" si="1"/>
        <v>54158447</v>
      </c>
      <c r="AX6" s="324">
        <f t="shared" si="1"/>
        <v>54158447</v>
      </c>
      <c r="AY6" s="324">
        <f t="shared" si="1"/>
        <v>55574605</v>
      </c>
      <c r="AZ6" s="324">
        <f t="shared" si="1"/>
        <v>55575121</v>
      </c>
      <c r="BA6" s="324">
        <f t="shared" si="1"/>
        <v>55575121</v>
      </c>
      <c r="BB6" s="324">
        <f t="shared" si="1"/>
        <v>55575121</v>
      </c>
      <c r="BC6" s="324">
        <f t="shared" si="1"/>
        <v>57149504</v>
      </c>
      <c r="BD6" s="324">
        <f t="shared" si="1"/>
        <v>57152091</v>
      </c>
      <c r="BE6" s="324">
        <f t="shared" si="1"/>
        <v>57152619</v>
      </c>
      <c r="BF6" s="324">
        <f t="shared" si="1"/>
        <v>57152619</v>
      </c>
      <c r="BG6" s="324">
        <f t="shared" si="1"/>
        <v>58900844</v>
      </c>
      <c r="BH6" s="324">
        <f t="shared" si="1"/>
        <v>58900844</v>
      </c>
      <c r="BI6" s="324">
        <f t="shared" si="1"/>
        <v>58903446</v>
      </c>
      <c r="BJ6" s="324">
        <f t="shared" si="1"/>
        <v>58903986</v>
      </c>
      <c r="BK6" s="324">
        <f t="shared" si="1"/>
        <v>60840408</v>
      </c>
      <c r="BL6" s="324">
        <f t="shared" si="1"/>
        <v>60840408</v>
      </c>
      <c r="BM6" s="324">
        <f t="shared" si="1"/>
        <v>60840408</v>
      </c>
      <c r="BN6" s="324">
        <f t="shared" si="1"/>
        <v>60843026</v>
      </c>
      <c r="BO6" s="324">
        <f t="shared" ref="BO6:CH6" si="2">BO4-BO5</f>
        <v>62984003</v>
      </c>
      <c r="BP6" s="324">
        <f t="shared" si="2"/>
        <v>62984003</v>
      </c>
      <c r="BQ6" s="324">
        <f t="shared" si="2"/>
        <v>62984003</v>
      </c>
      <c r="BR6" s="324">
        <f t="shared" si="2"/>
        <v>62984003</v>
      </c>
      <c r="BS6" s="324">
        <f t="shared" si="2"/>
        <v>65348348</v>
      </c>
      <c r="BT6" s="324">
        <f t="shared" si="2"/>
        <v>65348914</v>
      </c>
      <c r="BU6" s="324">
        <f t="shared" si="2"/>
        <v>65348914</v>
      </c>
      <c r="BV6" s="324">
        <f t="shared" si="2"/>
        <v>65348914</v>
      </c>
      <c r="BW6" s="324">
        <f t="shared" si="2"/>
        <v>67950925</v>
      </c>
      <c r="BX6" s="324">
        <f t="shared" si="2"/>
        <v>67953575</v>
      </c>
      <c r="BY6" s="324">
        <f t="shared" si="2"/>
        <v>67954154</v>
      </c>
      <c r="BZ6" s="324">
        <f t="shared" si="2"/>
        <v>67954154</v>
      </c>
      <c r="CA6" s="324">
        <f t="shared" si="2"/>
        <v>70817263</v>
      </c>
      <c r="CB6" s="324">
        <f t="shared" si="2"/>
        <v>70817263</v>
      </c>
      <c r="CC6" s="324">
        <f t="shared" si="2"/>
        <v>70819929</v>
      </c>
      <c r="CD6" s="324">
        <f t="shared" si="2"/>
        <v>70820521</v>
      </c>
      <c r="CE6" s="324">
        <f t="shared" si="2"/>
        <v>73967557</v>
      </c>
      <c r="CF6" s="324">
        <f t="shared" si="2"/>
        <v>73967557</v>
      </c>
      <c r="CG6" s="324">
        <f t="shared" si="2"/>
        <v>73967557</v>
      </c>
      <c r="CH6" s="324">
        <f t="shared" si="2"/>
        <v>73970241</v>
      </c>
      <c r="CI6" s="321">
        <f>SUM(C6:CH6)</f>
        <v>4647614376</v>
      </c>
    </row>
    <row r="7" spans="1:87">
      <c r="A7" s="323" t="s">
        <v>1239</v>
      </c>
      <c r="B7" s="325"/>
      <c r="C7" s="557">
        <f>C6+D6+E6+F6</f>
        <v>181304603</v>
      </c>
      <c r="D7" s="558"/>
      <c r="E7" s="558"/>
      <c r="F7" s="559"/>
      <c r="G7" s="557">
        <f>G6+H6+I6+J6</f>
        <v>183550970</v>
      </c>
      <c r="H7" s="558"/>
      <c r="I7" s="558"/>
      <c r="J7" s="559"/>
      <c r="K7" s="557">
        <f>K6+L6+M6+N6</f>
        <v>185590270</v>
      </c>
      <c r="L7" s="558"/>
      <c r="M7" s="558"/>
      <c r="N7" s="559"/>
      <c r="O7" s="557">
        <f>O6+P6+Q6+R6</f>
        <v>187623890</v>
      </c>
      <c r="P7" s="558"/>
      <c r="Q7" s="558"/>
      <c r="R7" s="559"/>
      <c r="S7" s="557">
        <f>S6+T6+U6+V6</f>
        <v>189957646</v>
      </c>
      <c r="T7" s="558"/>
      <c r="U7" s="558"/>
      <c r="V7" s="559"/>
      <c r="W7" s="557">
        <f>W6+X6+Y6+Z6</f>
        <v>192651149</v>
      </c>
      <c r="X7" s="558"/>
      <c r="Y7" s="558"/>
      <c r="Z7" s="559"/>
      <c r="AA7" s="557">
        <f>AA6+AB6+AC6+AD6</f>
        <v>195649460</v>
      </c>
      <c r="AB7" s="558"/>
      <c r="AC7" s="558"/>
      <c r="AD7" s="559"/>
      <c r="AE7" s="557">
        <f>AE6+AF6+AG6+AH6</f>
        <v>199049065</v>
      </c>
      <c r="AF7" s="558"/>
      <c r="AG7" s="558"/>
      <c r="AH7" s="559"/>
      <c r="AI7" s="557">
        <f>AI6+AJ6+AK6+AL6</f>
        <v>202815894</v>
      </c>
      <c r="AJ7" s="558"/>
      <c r="AK7" s="558"/>
      <c r="AL7" s="559"/>
      <c r="AM7" s="557">
        <f>AM6+AN6+AO6+AP6</f>
        <v>207050255</v>
      </c>
      <c r="AN7" s="558"/>
      <c r="AO7" s="558"/>
      <c r="AP7" s="559"/>
      <c r="AQ7" s="557">
        <f>AQ6+AR6+AS6+AT6</f>
        <v>211565417</v>
      </c>
      <c r="AR7" s="558"/>
      <c r="AS7" s="558"/>
      <c r="AT7" s="559"/>
      <c r="AU7" s="557">
        <f>AU6+AV6+AW6+AX6</f>
        <v>216633788</v>
      </c>
      <c r="AV7" s="558"/>
      <c r="AW7" s="558"/>
      <c r="AX7" s="559"/>
      <c r="AY7" s="557">
        <f>AY6+AZ6+BA6+BB6</f>
        <v>222299968</v>
      </c>
      <c r="AZ7" s="558"/>
      <c r="BA7" s="558"/>
      <c r="BB7" s="559"/>
      <c r="BC7" s="557">
        <f>BC6+BD6+BE6+BF6</f>
        <v>228606833</v>
      </c>
      <c r="BD7" s="558"/>
      <c r="BE7" s="558"/>
      <c r="BF7" s="559"/>
      <c r="BG7" s="557">
        <f>BG6+BH6+BI6+BJ6</f>
        <v>235609120</v>
      </c>
      <c r="BH7" s="558"/>
      <c r="BI7" s="558"/>
      <c r="BJ7" s="559"/>
      <c r="BK7" s="557">
        <f>BK6+BL6+BM6+BN6</f>
        <v>243364250</v>
      </c>
      <c r="BL7" s="558"/>
      <c r="BM7" s="558"/>
      <c r="BN7" s="559"/>
      <c r="BO7" s="557">
        <f>BO6+BP6+BQ6+BR6</f>
        <v>251936012</v>
      </c>
      <c r="BP7" s="558"/>
      <c r="BQ7" s="558"/>
      <c r="BR7" s="559"/>
      <c r="BS7" s="557">
        <f>BS6+BT6+BU6+BV6</f>
        <v>261395090</v>
      </c>
      <c r="BT7" s="558"/>
      <c r="BU7" s="558"/>
      <c r="BV7" s="559"/>
      <c r="BW7" s="557">
        <f>BW6+BX6+BY6+BZ6</f>
        <v>271812808</v>
      </c>
      <c r="BX7" s="558"/>
      <c r="BY7" s="558"/>
      <c r="BZ7" s="559"/>
      <c r="CA7" s="557">
        <f>CA6+CB6+CC6+CD6</f>
        <v>283274976</v>
      </c>
      <c r="CB7" s="558"/>
      <c r="CC7" s="558"/>
      <c r="CD7" s="559"/>
      <c r="CE7" s="557">
        <f>CE6+CF6+CG6+CH6</f>
        <v>295872912</v>
      </c>
      <c r="CF7" s="558"/>
      <c r="CG7" s="558"/>
      <c r="CH7" s="559"/>
      <c r="CI7" s="321">
        <f>SUM(C7:CH7)</f>
        <v>4647614376</v>
      </c>
    </row>
    <row r="8" spans="1:87">
      <c r="A8" s="326" t="s">
        <v>1253</v>
      </c>
      <c r="B8" s="327"/>
      <c r="C8" s="437"/>
      <c r="D8" s="438"/>
      <c r="E8" s="438"/>
      <c r="F8" s="439"/>
      <c r="G8" s="437"/>
      <c r="H8" s="438"/>
      <c r="I8" s="438"/>
      <c r="J8" s="439"/>
      <c r="K8" s="437"/>
      <c r="L8" s="438"/>
      <c r="M8" s="438"/>
      <c r="N8" s="439"/>
      <c r="O8" s="437"/>
      <c r="P8" s="438"/>
      <c r="Q8" s="438"/>
      <c r="R8" s="439"/>
      <c r="S8" s="437"/>
      <c r="T8" s="438"/>
      <c r="U8" s="438"/>
      <c r="V8" s="439"/>
      <c r="W8" s="437"/>
      <c r="X8" s="438"/>
      <c r="Y8" s="438"/>
      <c r="Z8" s="439"/>
      <c r="AA8" s="437"/>
      <c r="AB8" s="438"/>
      <c r="AC8" s="438"/>
      <c r="AD8" s="439"/>
      <c r="AE8" s="437"/>
      <c r="AF8" s="438"/>
      <c r="AG8" s="438"/>
      <c r="AH8" s="439"/>
      <c r="AI8" s="437"/>
      <c r="AJ8" s="438"/>
      <c r="AK8" s="438"/>
      <c r="AL8" s="439"/>
      <c r="AM8" s="437"/>
      <c r="AN8" s="438"/>
      <c r="AO8" s="438"/>
      <c r="AP8" s="439"/>
      <c r="AQ8" s="437"/>
      <c r="AR8" s="438"/>
      <c r="AS8" s="438"/>
      <c r="AT8" s="439"/>
      <c r="AU8" s="437"/>
      <c r="AV8" s="438"/>
      <c r="AW8" s="438"/>
      <c r="AX8" s="439"/>
      <c r="AY8" s="437"/>
      <c r="AZ8" s="438"/>
      <c r="BA8" s="438"/>
      <c r="BB8" s="439"/>
      <c r="BC8" s="437"/>
      <c r="BD8" s="438"/>
      <c r="BE8" s="438"/>
      <c r="BF8" s="439"/>
      <c r="BG8" s="437"/>
      <c r="BH8" s="438"/>
      <c r="BI8" s="438"/>
      <c r="BJ8" s="439"/>
      <c r="BK8" s="437"/>
      <c r="BL8" s="438"/>
      <c r="BM8" s="438"/>
      <c r="BN8" s="439"/>
      <c r="BO8" s="437"/>
      <c r="BP8" s="438"/>
      <c r="BQ8" s="438"/>
      <c r="BR8" s="439"/>
      <c r="BS8" s="437"/>
      <c r="BT8" s="438"/>
      <c r="BU8" s="438"/>
      <c r="BV8" s="439"/>
      <c r="BW8" s="437"/>
      <c r="BX8" s="438"/>
      <c r="BY8" s="438"/>
      <c r="BZ8" s="439"/>
      <c r="CA8" s="437"/>
      <c r="CB8" s="438"/>
      <c r="CC8" s="438"/>
      <c r="CD8" s="439"/>
      <c r="CE8" s="437"/>
      <c r="CF8" s="438"/>
      <c r="CG8" s="438"/>
      <c r="CH8" s="439"/>
      <c r="CI8" s="314"/>
    </row>
    <row r="9" spans="1:87" hidden="1">
      <c r="A9" s="326" t="s">
        <v>1254</v>
      </c>
      <c r="B9" s="328"/>
      <c r="C9" s="329"/>
      <c r="D9" s="326"/>
      <c r="E9" s="326"/>
      <c r="F9" s="326"/>
      <c r="G9" s="326"/>
      <c r="H9" s="326"/>
      <c r="I9" s="326"/>
      <c r="J9" s="326"/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9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  <c r="AP9" s="326"/>
      <c r="AQ9" s="326"/>
      <c r="AR9" s="326"/>
      <c r="AS9" s="326"/>
      <c r="AT9" s="326"/>
      <c r="AU9" s="326"/>
      <c r="AV9" s="329"/>
      <c r="AW9" s="314"/>
      <c r="AX9" s="314"/>
      <c r="AY9" s="314"/>
      <c r="AZ9" s="314"/>
      <c r="BA9" s="314"/>
      <c r="BB9" s="314"/>
      <c r="BC9" s="314"/>
      <c r="BD9" s="314"/>
      <c r="BE9" s="314"/>
      <c r="BF9" s="314"/>
      <c r="BG9" s="314"/>
      <c r="BH9" s="314"/>
      <c r="BI9" s="314"/>
      <c r="BJ9" s="314"/>
      <c r="BK9" s="314"/>
      <c r="BL9" s="314"/>
      <c r="BM9" s="314"/>
      <c r="BN9" s="314"/>
      <c r="BO9" s="314"/>
      <c r="BP9" s="314"/>
      <c r="BQ9" s="314"/>
      <c r="BR9" s="314"/>
      <c r="BS9" s="314"/>
      <c r="BT9" s="314"/>
      <c r="BU9" s="314"/>
      <c r="BV9" s="314"/>
      <c r="BW9" s="314"/>
      <c r="BX9" s="314"/>
      <c r="BY9" s="314"/>
      <c r="BZ9" s="314"/>
      <c r="CA9" s="314"/>
      <c r="CB9" s="314"/>
      <c r="CC9" s="314"/>
      <c r="CD9" s="314"/>
      <c r="CE9" s="314"/>
      <c r="CF9" s="314"/>
      <c r="CG9" s="314"/>
      <c r="CH9" s="314"/>
      <c r="CI9" s="314"/>
    </row>
    <row r="10" spans="1:87">
      <c r="A10" s="326" t="s">
        <v>1255</v>
      </c>
      <c r="B10" s="328"/>
      <c r="C10" s="437"/>
      <c r="D10" s="438"/>
      <c r="E10" s="438"/>
      <c r="F10" s="439"/>
      <c r="G10" s="437"/>
      <c r="H10" s="438"/>
      <c r="I10" s="438"/>
      <c r="J10" s="439"/>
      <c r="K10" s="437"/>
      <c r="L10" s="438"/>
      <c r="M10" s="438"/>
      <c r="N10" s="439"/>
      <c r="O10" s="437"/>
      <c r="P10" s="438"/>
      <c r="Q10" s="438"/>
      <c r="R10" s="439"/>
      <c r="S10" s="437"/>
      <c r="T10" s="438"/>
      <c r="U10" s="438"/>
      <c r="V10" s="439"/>
      <c r="W10" s="437"/>
      <c r="X10" s="438"/>
      <c r="Y10" s="438"/>
      <c r="Z10" s="439"/>
      <c r="AA10" s="437"/>
      <c r="AB10" s="438"/>
      <c r="AC10" s="438"/>
      <c r="AD10" s="439"/>
      <c r="AE10" s="437"/>
      <c r="AF10" s="438"/>
      <c r="AG10" s="438"/>
      <c r="AH10" s="439"/>
      <c r="AI10" s="437"/>
      <c r="AJ10" s="438"/>
      <c r="AK10" s="438"/>
      <c r="AL10" s="439"/>
      <c r="AM10" s="437"/>
      <c r="AN10" s="438"/>
      <c r="AO10" s="438"/>
      <c r="AP10" s="439"/>
      <c r="AQ10" s="437"/>
      <c r="AR10" s="438"/>
      <c r="AS10" s="438"/>
      <c r="AT10" s="439"/>
      <c r="AU10" s="437"/>
      <c r="AV10" s="438"/>
      <c r="AW10" s="438"/>
      <c r="AX10" s="439"/>
      <c r="AY10" s="437"/>
      <c r="AZ10" s="438"/>
      <c r="BA10" s="438"/>
      <c r="BB10" s="439"/>
      <c r="BC10" s="437"/>
      <c r="BD10" s="438"/>
      <c r="BE10" s="438"/>
      <c r="BF10" s="439"/>
      <c r="BG10" s="437"/>
      <c r="BH10" s="438"/>
      <c r="BI10" s="438"/>
      <c r="BJ10" s="439"/>
      <c r="BK10" s="437"/>
      <c r="BL10" s="438"/>
      <c r="BM10" s="438"/>
      <c r="BN10" s="439"/>
      <c r="BO10" s="437"/>
      <c r="BP10" s="438"/>
      <c r="BQ10" s="438"/>
      <c r="BR10" s="439"/>
      <c r="BS10" s="437"/>
      <c r="BT10" s="438"/>
      <c r="BU10" s="438"/>
      <c r="BV10" s="439"/>
      <c r="BW10" s="437"/>
      <c r="BX10" s="438"/>
      <c r="BY10" s="438"/>
      <c r="BZ10" s="439"/>
      <c r="CA10" s="437"/>
      <c r="CB10" s="438"/>
      <c r="CC10" s="438"/>
      <c r="CD10" s="439"/>
      <c r="CE10" s="437"/>
      <c r="CF10" s="438"/>
      <c r="CG10" s="438"/>
      <c r="CH10" s="439"/>
      <c r="CI10" s="314"/>
    </row>
    <row r="11" spans="1:87">
      <c r="A11" s="112" t="s">
        <v>1257</v>
      </c>
      <c r="C11" s="112">
        <f>仓储现金流!E86+地下仓储现金流!E94+地下车库现金流!E21+地上商业现金流!E409</f>
        <v>45104871</v>
      </c>
      <c r="D11" s="112">
        <f>仓储现金流!F86+地下仓储现金流!F94+地下车库现金流!F21+地上商业现金流!F409</f>
        <v>45224005</v>
      </c>
      <c r="E11" s="112">
        <f>仓储现金流!G86+地下仓储现金流!G94+地下车库现金流!G21+地上商业现金流!G409</f>
        <v>45407862</v>
      </c>
      <c r="F11" s="112">
        <f>仓储现金流!H86+地下仓储现金流!H94+地下车库现金流!H21+地上商业现金流!H409</f>
        <v>45567865</v>
      </c>
      <c r="G11" s="112">
        <f>仓储现金流!I86+地下仓储现金流!I94+地下车库现金流!I21+地上商业现金流!I409</f>
        <v>45675482</v>
      </c>
      <c r="H11" s="112">
        <f>仓储现金流!J86+地下仓储现金流!J94+地下车库现金流!J21+地上商业现金流!J409</f>
        <v>45811285</v>
      </c>
      <c r="I11" s="112">
        <f>仓储现金流!K86+地下仓储现金流!K94+地下车库现金流!K21+地上商业现金流!K409</f>
        <v>45993797</v>
      </c>
      <c r="J11" s="112">
        <f>仓储现金流!L86+地下仓储现金流!L94+地下车库现金流!L21+地上商业现金流!L409</f>
        <v>46070406</v>
      </c>
      <c r="K11" s="112">
        <f>仓储现金流!M86+地下仓储现金流!M94+地下车库现金流!M21+地上商业现金流!M409</f>
        <v>46373837</v>
      </c>
      <c r="L11" s="112">
        <f>仓储现金流!N86+地下仓储现金流!N94+地下车库现金流!N21+地上商业现金流!N409</f>
        <v>46374247</v>
      </c>
      <c r="M11" s="112">
        <f>仓储现金流!O86+地下仓储现金流!O94+地下车库现金流!O21+地上商业现金流!O409</f>
        <v>46421093</v>
      </c>
      <c r="N11" s="112">
        <f>仓储现金流!P86+地下仓储现金流!P94+地下车库现金流!P21+地上商业现金流!P409</f>
        <v>46421093</v>
      </c>
      <c r="O11" s="112">
        <f>仓储现金流!Q86+地下仓储现金流!Q94+地下车库现金流!Q21+地上商业现金流!Q409</f>
        <v>46903912</v>
      </c>
      <c r="P11" s="112">
        <f>仓储现金流!R86+地下仓储现金流!R94+地下车库现金流!R21+地上商业现金流!R409</f>
        <v>46906376</v>
      </c>
      <c r="Q11" s="112">
        <f>仓储现金流!S86+地下仓储现金流!S94+地下车库现金流!S21+地上商业现金流!S409</f>
        <v>46906801</v>
      </c>
      <c r="R11" s="112">
        <f>仓储现金流!T86+地下仓储现金流!T94+地下车库现金流!T21+地上商业现金流!T409</f>
        <v>46906801</v>
      </c>
      <c r="S11" s="112">
        <f>仓储现金流!U86+地下仓储现金流!U94+地下车库现金流!U21+地上商业现金流!U409</f>
        <v>47469839</v>
      </c>
      <c r="T11" s="112">
        <f>仓储现金流!V86+地下仓储现金流!V94+地下车库现金流!V21+地上商业现金流!V409</f>
        <v>47469839</v>
      </c>
      <c r="U11" s="112">
        <f>仓储现金流!W86+地下仓储现金流!W94+地下车库现金流!W21+地上商业现金流!W409</f>
        <v>47508766</v>
      </c>
      <c r="V11" s="112">
        <f>仓储现金流!X86+地下仓储现金流!X94+地下车库现金流!X21+地上商业现金流!X409</f>
        <v>47509202</v>
      </c>
      <c r="W11" s="112">
        <f>仓储现金流!Y86+地下仓储现金流!Y94+地下车库现金流!Y21+地上商业现金流!Y409</f>
        <v>48162164</v>
      </c>
      <c r="X11" s="112">
        <f>仓储现金流!Z86+地下仓储现金流!Z94+地下车库现金流!Z21+地上商业现金流!Z409</f>
        <v>48162164</v>
      </c>
      <c r="Y11" s="112">
        <f>仓储现金流!AA86+地下仓储现金流!AA94+地下车库现金流!AA21+地上商业现金流!AA409</f>
        <v>48162164</v>
      </c>
      <c r="Z11" s="112">
        <f>仓储现金流!AB86+地下仓储现金流!AB94+地下车库现金流!AB21+地上商业现金流!AB409</f>
        <v>48164657</v>
      </c>
      <c r="AA11" s="112">
        <f>仓储现金流!AC86+地下仓储现金流!AC94+地下车库现金流!AC21+地上商业现金流!AC409</f>
        <v>48912365</v>
      </c>
      <c r="AB11" s="112">
        <f>仓储现金流!AD86+地下仓储现金流!AD94+地下车库现金流!AD21+地上商业现金流!AD409</f>
        <v>48912365</v>
      </c>
      <c r="AC11" s="112">
        <f>仓储现金流!AE86+地下仓储现金流!AE94+地下车库现金流!AE21+地上商业现金流!AE409</f>
        <v>48912365</v>
      </c>
      <c r="AD11" s="112">
        <f>仓储现金流!AF86+地下仓储现金流!AF94+地下车库现金流!AF21+地上商业现金流!AF409</f>
        <v>48912365</v>
      </c>
      <c r="AE11" s="112">
        <f>仓储现金流!AG86+地下仓储现金流!AG94+地下车库现金流!AG21+地上商业现金流!AG409</f>
        <v>49761919</v>
      </c>
      <c r="AF11" s="112">
        <f>仓储现金流!AH86+地下仓储现金流!AH94+地下车库现金流!AH21+地上商业现金流!AH409</f>
        <v>49762382</v>
      </c>
      <c r="AG11" s="112">
        <f>仓储现金流!AI86+地下仓储现金流!AI94+地下车库现金流!AI21+地上商业现金流!AI409</f>
        <v>49762382</v>
      </c>
      <c r="AH11" s="112">
        <f>仓储现金流!AJ86+地下仓储现金流!AJ94+地下车库现金流!AJ21+地上商业现金流!AJ409</f>
        <v>49762382</v>
      </c>
      <c r="AI11" s="112">
        <f>仓储现金流!AK86+地下仓储现金流!AK94+地下车库现金流!AK21+地上商业现金流!AK409</f>
        <v>50701843</v>
      </c>
      <c r="AJ11" s="112">
        <f>仓储现金流!AL86+地下仓储现金流!AL94+地下车库现金流!AL21+地上商业现金流!AL409</f>
        <v>50704367</v>
      </c>
      <c r="AK11" s="112">
        <f>仓储现金流!AM86+地下仓储现金流!AM94+地下车库现金流!AM21+地上商业现金流!AM409</f>
        <v>50704842</v>
      </c>
      <c r="AL11" s="112">
        <f>仓储现金流!AN86+地下仓储现金流!AN94+地下车库现金流!AN21+地上商业现金流!AN409</f>
        <v>50704842</v>
      </c>
      <c r="AM11" s="112">
        <f>仓储现金流!AO86+地下仓储现金流!AO94+地下车库现金流!AO21+地上商业现金流!AO409</f>
        <v>51761172</v>
      </c>
      <c r="AN11" s="112">
        <f>仓储现金流!AP86+地下仓储现金流!AP94+地下车库现金流!AP21+地上商业现金流!AP409</f>
        <v>51761172</v>
      </c>
      <c r="AO11" s="112">
        <f>仓储现金流!AQ86+地下仓储现金流!AQ94+地下车库现金流!AQ21+地上商业现金流!AQ409</f>
        <v>51763711</v>
      </c>
      <c r="AP11" s="112">
        <f>仓储现金流!AR86+地下仓储现金流!AR94+地下车库现金流!AR21+地上商业现金流!AR409</f>
        <v>51764200</v>
      </c>
      <c r="AQ11" s="112">
        <f>仓储现金流!AS86+地下仓储现金流!AS94+地下车库现金流!AS21+地上商业现金流!AS409</f>
        <v>52890715</v>
      </c>
      <c r="AR11" s="112">
        <f>仓储现金流!AT86+地下仓储现金流!AT94+地下车库现金流!AT21+地上商业现金流!AT409</f>
        <v>52890715</v>
      </c>
      <c r="AS11" s="112">
        <f>仓储现金流!AU86+地下仓储现金流!AU94+地下车库现金流!AU21+地上商业现金流!AU409</f>
        <v>52890715</v>
      </c>
      <c r="AT11" s="112">
        <f>仓储现金流!AV86+地下仓储现金流!AV94+地下车库现金流!AV21+地上商业现金流!AV409</f>
        <v>52893272</v>
      </c>
      <c r="AU11" s="112">
        <f>仓储现金流!AW86+地下仓储现金流!AW94+地下车库现金流!AW21+地上商业现金流!AW409</f>
        <v>54158447</v>
      </c>
      <c r="AV11" s="112">
        <f>仓储现金流!AX86+地下仓储现金流!AX94+地下车库现金流!AX21+地上商业现金流!AX409</f>
        <v>54158447</v>
      </c>
      <c r="AW11" s="112">
        <f>仓储现金流!AY86+地下仓储现金流!AY94+地下车库现金流!AY21+地上商业现金流!AY409</f>
        <v>54158447</v>
      </c>
      <c r="AX11" s="112">
        <f>仓储现金流!AZ86+地下仓储现金流!AZ94+地下车库现金流!AZ21+地上商业现金流!AZ409</f>
        <v>54158447</v>
      </c>
      <c r="AY11" s="112">
        <f>仓储现金流!BA86+地下仓储现金流!BA94+地下车库现金流!BA21+地上商业现金流!BA409</f>
        <v>55574605</v>
      </c>
      <c r="AZ11" s="112">
        <f>仓储现金流!BB86+地下仓储现金流!BB94+地下车库现金流!BB21+地上商业现金流!BB409</f>
        <v>55575121</v>
      </c>
      <c r="BA11" s="112">
        <f>仓储现金流!BC86+地下仓储现金流!BC94+地下车库现金流!BC21+地上商业现金流!BC409</f>
        <v>55575121</v>
      </c>
      <c r="BB11" s="112">
        <f>仓储现金流!BD86+地下仓储现金流!BD94+地下车库现金流!BD21+地上商业现金流!BD409</f>
        <v>55575121</v>
      </c>
      <c r="BC11" s="112">
        <f>仓储现金流!BE86+地下仓储现金流!BE94+地下车库现金流!BE21+地上商业现金流!BE409</f>
        <v>57149504</v>
      </c>
      <c r="BD11" s="112">
        <f>仓储现金流!BF86+地下仓储现金流!BF94+地下车库现金流!BF21+地上商业现金流!BF409</f>
        <v>57152091</v>
      </c>
      <c r="BE11" s="112">
        <f>仓储现金流!BG86+地下仓储现金流!BG94+地下车库现金流!BG21+地上商业现金流!BG409</f>
        <v>57152619</v>
      </c>
      <c r="BF11" s="112">
        <f>仓储现金流!BH86+地下仓储现金流!BH94+地下车库现金流!BH21+地上商业现金流!BH409</f>
        <v>57152619</v>
      </c>
      <c r="BG11" s="112">
        <f>仓储现金流!BI86+地下仓储现金流!BI94+地下车库现金流!BI21+地上商业现金流!BI409</f>
        <v>58900844</v>
      </c>
      <c r="BH11" s="112">
        <f>仓储现金流!BJ86+地下仓储现金流!BJ94+地下车库现金流!BJ21+地上商业现金流!BJ409</f>
        <v>58900844</v>
      </c>
      <c r="BI11" s="112">
        <f>仓储现金流!BK86+地下仓储现金流!BK94+地下车库现金流!BK21+地上商业现金流!BK409</f>
        <v>58903446</v>
      </c>
      <c r="BJ11" s="112">
        <f>仓储现金流!BL86+地下仓储现金流!BL94+地下车库现金流!BL21+地上商业现金流!BL409</f>
        <v>58903986</v>
      </c>
      <c r="BK11" s="112">
        <f>仓储现金流!BM86+地下仓储现金流!BM94+地下车库现金流!BM21+地上商业现金流!BM409</f>
        <v>60840408</v>
      </c>
      <c r="BL11" s="112">
        <f>仓储现金流!BN86+地下仓储现金流!BN94+地下车库现金流!BN21+地上商业现金流!BN409</f>
        <v>60840408</v>
      </c>
      <c r="BM11" s="112">
        <f>仓储现金流!BO86+地下仓储现金流!BO94+地下车库现金流!BO21+地上商业现金流!BO409</f>
        <v>60840408</v>
      </c>
      <c r="BN11" s="112">
        <f>仓储现金流!BP86+地下仓储现金流!BP94+地下车库现金流!BP21+地上商业现金流!BP409</f>
        <v>60843026</v>
      </c>
      <c r="BO11" s="112">
        <f>仓储现金流!BQ86+地下仓储现金流!BQ94+地下车库现金流!BQ21+地上商业现金流!BQ409</f>
        <v>62984003</v>
      </c>
      <c r="BP11" s="112">
        <f>仓储现金流!BR86+地下仓储现金流!BR94+地下车库现金流!BR21+地上商业现金流!BR409</f>
        <v>62984003</v>
      </c>
      <c r="BQ11" s="112">
        <f>仓储现金流!BS86+地下仓储现金流!BS94+地下车库现金流!BS21+地上商业现金流!BS409</f>
        <v>62984003</v>
      </c>
      <c r="BR11" s="112">
        <f>仓储现金流!BT86+地下仓储现金流!BT94+地下车库现金流!BT21+地上商业现金流!BT409</f>
        <v>62984003</v>
      </c>
      <c r="BS11" s="112">
        <f>仓储现金流!BU86+地下仓储现金流!BU94+地下车库现金流!BU21+地上商业现金流!BU409</f>
        <v>65348348</v>
      </c>
      <c r="BT11" s="112">
        <f>仓储现金流!BV86+地下仓储现金流!BV94+地下车库现金流!BV21+地上商业现金流!BV409</f>
        <v>65348914</v>
      </c>
      <c r="BU11" s="112">
        <f>仓储现金流!BW86+地下仓储现金流!BW94+地下车库现金流!BW21+地上商业现金流!BW409</f>
        <v>65348914</v>
      </c>
      <c r="BV11" s="112">
        <f>仓储现金流!BX86+地下仓储现金流!BX94+地下车库现金流!BX21+地上商业现金流!BX409</f>
        <v>65348914</v>
      </c>
      <c r="BW11" s="112">
        <f>仓储现金流!BY86+地下仓储现金流!BY94+地下车库现金流!BY21+地上商业现金流!BY409</f>
        <v>67950925</v>
      </c>
      <c r="BX11" s="112">
        <f>仓储现金流!BZ86+地下仓储现金流!BZ94+地下车库现金流!BZ21+地上商业现金流!BZ409</f>
        <v>67953575</v>
      </c>
      <c r="BY11" s="112">
        <f>仓储现金流!CA86+地下仓储现金流!CA94+地下车库现金流!CA21+地上商业现金流!CA409</f>
        <v>67954154</v>
      </c>
      <c r="BZ11" s="112">
        <f>仓储现金流!CB86+地下仓储现金流!CB94+地下车库现金流!CB21+地上商业现金流!CB409</f>
        <v>67954154</v>
      </c>
      <c r="CA11" s="112">
        <f>仓储现金流!CC86+地下仓储现金流!CC94+地下车库现金流!CC21+地上商业现金流!CC409</f>
        <v>70817263</v>
      </c>
      <c r="CB11" s="112">
        <f>仓储现金流!CD86+地下仓储现金流!CD94+地下车库现金流!CD21+地上商业现金流!CD409</f>
        <v>70817263</v>
      </c>
      <c r="CC11" s="112">
        <f>仓储现金流!CE86+地下仓储现金流!CE94+地下车库现金流!CE21+地上商业现金流!CE409</f>
        <v>70819929</v>
      </c>
      <c r="CD11" s="112">
        <f>仓储现金流!CF86+地下仓储现金流!CF94+地下车库现金流!CF21+地上商业现金流!CF409</f>
        <v>70820521</v>
      </c>
      <c r="CE11" s="112">
        <f>仓储现金流!CG86+地下仓储现金流!CG94+地下车库现金流!CG21+地上商业现金流!CG409</f>
        <v>73967557</v>
      </c>
      <c r="CF11" s="112">
        <f>仓储现金流!CH86+地下仓储现金流!CH94+地下车库现金流!CH21+地上商业现金流!CH409</f>
        <v>73967557</v>
      </c>
      <c r="CG11" s="112">
        <f>仓储现金流!CI86+地下仓储现金流!CI94+地下车库现金流!CI21+地上商业现金流!CI409</f>
        <v>73967557</v>
      </c>
      <c r="CH11" s="112">
        <f>仓储现金流!CJ86+地下仓储现金流!CJ94+地下车库现金流!CJ21+地上商业现金流!CJ409</f>
        <v>73970241</v>
      </c>
      <c r="CI11" s="112">
        <f>仓储现金流!CK86+地下仓储现金流!EO94+地下车库现金流!EO21+地上商业现金流!DA409</f>
        <v>6218132963</v>
      </c>
    </row>
    <row r="14" spans="1:87">
      <c r="B14" s="112" t="s">
        <v>1256</v>
      </c>
      <c r="C14" s="557">
        <f>C4+D4+E4+F4</f>
        <v>230471950</v>
      </c>
      <c r="D14" s="558"/>
      <c r="E14" s="558"/>
      <c r="F14" s="559"/>
      <c r="G14" s="557">
        <f>G4+H4+I4+J4</f>
        <v>233327502</v>
      </c>
      <c r="H14" s="558"/>
      <c r="I14" s="558"/>
      <c r="J14" s="559"/>
      <c r="K14" s="557">
        <f>K4+L4+M4+N4</f>
        <v>235919830</v>
      </c>
      <c r="L14" s="558"/>
      <c r="M14" s="558"/>
      <c r="N14" s="559"/>
      <c r="O14" s="557">
        <f t="shared" ref="O14" si="3">O4+P4+Q4+R4</f>
        <v>238504952</v>
      </c>
      <c r="P14" s="558"/>
      <c r="Q14" s="558"/>
      <c r="R14" s="559"/>
      <c r="S14" s="557">
        <f t="shared" ref="S14" si="4">S4+T4+U4+V4</f>
        <v>241471574</v>
      </c>
      <c r="T14" s="558"/>
      <c r="U14" s="558"/>
      <c r="V14" s="559"/>
      <c r="W14" s="557">
        <f t="shared" ref="W14" si="5">W4+X4+Y4+Z4</f>
        <v>244895522</v>
      </c>
      <c r="X14" s="558"/>
      <c r="Y14" s="558"/>
      <c r="Z14" s="559"/>
      <c r="AA14" s="557">
        <f t="shared" ref="AA14" si="6">AA4+AB4+AC4+AD4</f>
        <v>248706940</v>
      </c>
      <c r="AB14" s="558"/>
      <c r="AC14" s="558"/>
      <c r="AD14" s="559"/>
      <c r="AE14" s="557">
        <f t="shared" ref="AE14" si="7">AE4+AF4+AG4+AH4</f>
        <v>253028468</v>
      </c>
      <c r="AF14" s="558"/>
      <c r="AG14" s="558"/>
      <c r="AH14" s="559"/>
      <c r="AI14" s="557">
        <f t="shared" ref="AI14" si="8">AI4+AJ4+AK4+AL4</f>
        <v>257816821</v>
      </c>
      <c r="AJ14" s="558"/>
      <c r="AK14" s="558"/>
      <c r="AL14" s="559"/>
      <c r="AM14" s="557">
        <f t="shared" ref="AM14" si="9">AM4+AN4+AO4+AP4</f>
        <v>263199467</v>
      </c>
      <c r="AN14" s="558"/>
      <c r="AO14" s="558"/>
      <c r="AP14" s="559"/>
      <c r="AQ14" s="557">
        <f t="shared" ref="AQ14" si="10">AQ4+AR4+AS4+AT4</f>
        <v>268939092</v>
      </c>
      <c r="AR14" s="558"/>
      <c r="AS14" s="558"/>
      <c r="AT14" s="559"/>
      <c r="AU14" s="557">
        <f t="shared" ref="AU14" si="11">AU4+AV4+AW4+AX4</f>
        <v>275381936</v>
      </c>
      <c r="AV14" s="558"/>
      <c r="AW14" s="558"/>
      <c r="AX14" s="559"/>
      <c r="AY14" s="557">
        <f t="shared" ref="AY14" si="12">AY4+AZ4+BA4+BB4</f>
        <v>282584709</v>
      </c>
      <c r="AZ14" s="558"/>
      <c r="BA14" s="558"/>
      <c r="BB14" s="559"/>
      <c r="BC14" s="557">
        <f t="shared" ref="BC14" si="13">BC4+BD4+BE4+BF4</f>
        <v>290601905</v>
      </c>
      <c r="BD14" s="558"/>
      <c r="BE14" s="558"/>
      <c r="BF14" s="559"/>
      <c r="BG14" s="557">
        <f t="shared" ref="BG14" si="14">BG4+BH4+BI4+BJ4</f>
        <v>299503123</v>
      </c>
      <c r="BH14" s="558"/>
      <c r="BI14" s="558"/>
      <c r="BJ14" s="559"/>
      <c r="BK14" s="557">
        <f t="shared" ref="BK14" si="15">BK4+BL4+BM4+BN4</f>
        <v>309361333</v>
      </c>
      <c r="BL14" s="558"/>
      <c r="BM14" s="558"/>
      <c r="BN14" s="559"/>
      <c r="BO14" s="557">
        <f t="shared" ref="BO14" si="16">BO4+BP4+BQ4+BR4</f>
        <v>320257640</v>
      </c>
      <c r="BP14" s="558"/>
      <c r="BQ14" s="558"/>
      <c r="BR14" s="559"/>
      <c r="BS14" s="557">
        <f t="shared" ref="BS14" si="17">BS4+BT4+BU4+BV4</f>
        <v>332281893</v>
      </c>
      <c r="BT14" s="558"/>
      <c r="BU14" s="558"/>
      <c r="BV14" s="559"/>
      <c r="BW14" s="557">
        <f t="shared" ref="BW14" si="18">BW4+BX4+BY4+BZ4</f>
        <v>345524753</v>
      </c>
      <c r="BX14" s="558"/>
      <c r="BY14" s="558"/>
      <c r="BZ14" s="559"/>
      <c r="CA14" s="557">
        <f t="shared" ref="CA14" si="19">CA4+CB4+CC4+CD4</f>
        <v>360095312</v>
      </c>
      <c r="CB14" s="558"/>
      <c r="CC14" s="558"/>
      <c r="CD14" s="559"/>
      <c r="CE14" s="557">
        <f t="shared" ref="CE14" si="20">CE4+CF4+CG4+CH4</f>
        <v>376109631</v>
      </c>
      <c r="CF14" s="558"/>
      <c r="CG14" s="558"/>
      <c r="CH14" s="559"/>
    </row>
    <row r="16" spans="1:87">
      <c r="B16" s="307" t="s">
        <v>1285</v>
      </c>
      <c r="C16" s="307" t="s">
        <v>1286</v>
      </c>
      <c r="D16" s="307" t="s">
        <v>1287</v>
      </c>
      <c r="E16" s="307" t="s">
        <v>1288</v>
      </c>
    </row>
    <row r="17" spans="2:5">
      <c r="B17" s="307">
        <f>仓储现金流!F73-仓储现金流!F72</f>
        <v>658.96999999999991</v>
      </c>
      <c r="C17" s="307">
        <f>地下仓储现金流!F82-地下仓储现金流!F81</f>
        <v>6121.8400000000011</v>
      </c>
      <c r="D17" s="307">
        <f>地上商业现金流!F397-地上商业现金流!F396</f>
        <v>40921.510005479446</v>
      </c>
      <c r="E17" s="307">
        <f>SUM(B17:D17)</f>
        <v>47702.320005479443</v>
      </c>
    </row>
  </sheetData>
  <mergeCells count="106">
    <mergeCell ref="K2:N2"/>
    <mergeCell ref="O2:R2"/>
    <mergeCell ref="S2:V2"/>
    <mergeCell ref="W2:Z2"/>
    <mergeCell ref="BW2:BZ2"/>
    <mergeCell ref="CA2:CD2"/>
    <mergeCell ref="CE2:CH2"/>
    <mergeCell ref="C7:F7"/>
    <mergeCell ref="G7:J7"/>
    <mergeCell ref="K7:N7"/>
    <mergeCell ref="O7:R7"/>
    <mergeCell ref="S7:V7"/>
    <mergeCell ref="W7:Z7"/>
    <mergeCell ref="AA7:AD7"/>
    <mergeCell ref="AY2:BB2"/>
    <mergeCell ref="BC2:BF2"/>
    <mergeCell ref="BG2:BJ2"/>
    <mergeCell ref="BK2:BN2"/>
    <mergeCell ref="BO2:BR2"/>
    <mergeCell ref="BS2:BV2"/>
    <mergeCell ref="AA2:AD2"/>
    <mergeCell ref="AE2:AH2"/>
    <mergeCell ref="AI2:AL2"/>
    <mergeCell ref="AM2:AP2"/>
    <mergeCell ref="AQ2:AT2"/>
    <mergeCell ref="AU2:AX2"/>
    <mergeCell ref="C2:F2"/>
    <mergeCell ref="G2:J2"/>
    <mergeCell ref="CA7:CD7"/>
    <mergeCell ref="CE7:CH7"/>
    <mergeCell ref="C8:F8"/>
    <mergeCell ref="G8:J8"/>
    <mergeCell ref="K8:N8"/>
    <mergeCell ref="O8:R8"/>
    <mergeCell ref="S8:V8"/>
    <mergeCell ref="W8:Z8"/>
    <mergeCell ref="AA8:AD8"/>
    <mergeCell ref="AE8:AH8"/>
    <mergeCell ref="BC7:BF7"/>
    <mergeCell ref="BG7:BJ7"/>
    <mergeCell ref="BK7:BN7"/>
    <mergeCell ref="BO7:BR7"/>
    <mergeCell ref="BS7:BV7"/>
    <mergeCell ref="BW7:BZ7"/>
    <mergeCell ref="AE7:AH7"/>
    <mergeCell ref="AI7:AL7"/>
    <mergeCell ref="AM7:AP7"/>
    <mergeCell ref="AQ7:AT7"/>
    <mergeCell ref="AU7:AX7"/>
    <mergeCell ref="AY7:BB7"/>
    <mergeCell ref="CE8:CH8"/>
    <mergeCell ref="C10:F10"/>
    <mergeCell ref="G10:J10"/>
    <mergeCell ref="K10:N10"/>
    <mergeCell ref="O10:R10"/>
    <mergeCell ref="S10:V10"/>
    <mergeCell ref="W10:Z10"/>
    <mergeCell ref="AA10:AD10"/>
    <mergeCell ref="AE10:AH10"/>
    <mergeCell ref="AI10:AL10"/>
    <mergeCell ref="BG8:BJ8"/>
    <mergeCell ref="BK8:BN8"/>
    <mergeCell ref="BO8:BR8"/>
    <mergeCell ref="BS8:BV8"/>
    <mergeCell ref="BW8:BZ8"/>
    <mergeCell ref="CA8:CD8"/>
    <mergeCell ref="AI8:AL8"/>
    <mergeCell ref="AM8:AP8"/>
    <mergeCell ref="AQ8:AT8"/>
    <mergeCell ref="AU8:AX8"/>
    <mergeCell ref="AY8:BB8"/>
    <mergeCell ref="BC8:BF8"/>
    <mergeCell ref="BS10:BV10"/>
    <mergeCell ref="BW10:BZ10"/>
    <mergeCell ref="CA10:CD10"/>
    <mergeCell ref="CE10:CH10"/>
    <mergeCell ref="AM10:AP10"/>
    <mergeCell ref="AQ10:AT10"/>
    <mergeCell ref="AU10:AX10"/>
    <mergeCell ref="AY10:BB10"/>
    <mergeCell ref="BC10:BF10"/>
    <mergeCell ref="BG10:BJ10"/>
    <mergeCell ref="BW14:BZ14"/>
    <mergeCell ref="CA14:CD14"/>
    <mergeCell ref="CE14:CH14"/>
    <mergeCell ref="A1:CI1"/>
    <mergeCell ref="AY14:BB14"/>
    <mergeCell ref="BC14:BF14"/>
    <mergeCell ref="BG14:BJ14"/>
    <mergeCell ref="BK14:BN14"/>
    <mergeCell ref="BO14:BR14"/>
    <mergeCell ref="BS14:BV14"/>
    <mergeCell ref="AA14:AD14"/>
    <mergeCell ref="AE14:AH14"/>
    <mergeCell ref="AI14:AL14"/>
    <mergeCell ref="AM14:AP14"/>
    <mergeCell ref="AQ14:AT14"/>
    <mergeCell ref="AU14:AX14"/>
    <mergeCell ref="C14:F14"/>
    <mergeCell ref="G14:J14"/>
    <mergeCell ref="K14:N14"/>
    <mergeCell ref="O14:R14"/>
    <mergeCell ref="S14:V14"/>
    <mergeCell ref="W14:Z14"/>
    <mergeCell ref="BK10:BN10"/>
    <mergeCell ref="BO10:BR10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仓储现金流</vt:lpstr>
      <vt:lpstr>结果表</vt:lpstr>
      <vt:lpstr>地下车库现金流</vt:lpstr>
      <vt:lpstr>地下仓储现金流</vt:lpstr>
      <vt:lpstr>地上商业现金流</vt:lpstr>
      <vt:lpstr>取值表</vt:lpstr>
      <vt:lpstr>基础资料</vt:lpstr>
      <vt:lpstr>前3年整理</vt:lpstr>
      <vt:lpstr>总表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sony</cp:lastModifiedBy>
  <dcterms:created xsi:type="dcterms:W3CDTF">2018-01-23T07:56:45Z</dcterms:created>
  <dcterms:modified xsi:type="dcterms:W3CDTF">2018-02-01T01:47:50Z</dcterms:modified>
</cp:coreProperties>
</file>