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领克时代花园\"/>
    </mc:Choice>
  </mc:AlternateContent>
  <xr:revisionPtr revIDLastSave="0" documentId="13_ncr:1_{F5D29C27-7A6B-4A62-B1E3-8DBA756B84AD}" xr6:coauthVersionLast="47" xr6:coauthVersionMax="47" xr10:uidLastSave="{00000000-0000-0000-0000-000000000000}"/>
  <bookViews>
    <workbookView xWindow="-120" yWindow="-120" windowWidth="19440" windowHeight="150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3" i="43" l="1"/>
  <c r="G64" i="43"/>
  <c r="G65" i="43"/>
  <c r="G66" i="43"/>
  <c r="G67" i="43"/>
  <c r="G68" i="43"/>
  <c r="G69" i="43"/>
  <c r="G70" i="43"/>
  <c r="G62" i="43"/>
  <c r="D3" i="4"/>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S5" i="43"/>
  <c r="S4" i="43"/>
  <c r="S3" i="43"/>
  <c r="S2" i="43"/>
  <c r="F26" i="43"/>
  <c r="C27" i="43"/>
  <c r="H26"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c r="E7" i="77"/>
  <c r="C27" i="77"/>
  <c r="R10" i="77"/>
  <c r="D10" i="77"/>
  <c r="R9" i="77"/>
  <c r="D9" i="77"/>
  <c r="R8" i="77"/>
  <c r="R7" i="77"/>
  <c r="D7" i="77"/>
  <c r="C26" i="77"/>
  <c r="R4" i="77"/>
  <c r="R3" i="77"/>
  <c r="R14" i="77"/>
  <c r="R24" i="77"/>
  <c r="R25" i="77"/>
  <c r="D29" i="77"/>
  <c r="E23" i="77"/>
  <c r="D26" i="77"/>
  <c r="D32" i="77" s="1"/>
  <c r="C29" i="77"/>
  <c r="C32" i="77" s="1"/>
  <c r="C38" i="77" s="1"/>
  <c r="C39" i="77" s="1"/>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9" i="43"/>
  <c r="C22" i="20"/>
  <c r="B101" i="43" s="1"/>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E26" i="4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51" i="43"/>
  <c r="B49"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c r="C46" i="36"/>
  <c r="D46" i="36" s="1"/>
  <c r="C59" i="34"/>
  <c r="D59" i="34" s="1"/>
  <c r="C52" i="37"/>
  <c r="D52" i="37" s="1"/>
  <c r="A4" i="51"/>
  <c r="B6" i="72"/>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48" i="68" s="1"/>
  <c r="F30" i="11"/>
  <c r="C48" i="11"/>
  <c r="F28" i="67"/>
  <c r="F31" i="12"/>
  <c r="F52" i="9"/>
  <c r="M18" i="67"/>
  <c r="F32" i="67"/>
  <c r="F60" i="67"/>
  <c r="F30" i="69"/>
  <c r="F48" i="69" s="1"/>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L27"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F27" i="68"/>
  <c r="F45" i="68" s="1"/>
  <c r="F28" i="12"/>
  <c r="P7" i="1"/>
  <c r="O16" i="1"/>
  <c r="M16" i="1"/>
  <c r="N16" i="1"/>
  <c r="F27" i="11"/>
  <c r="AC11" i="37"/>
  <c r="W11" i="37"/>
  <c r="W11" i="34"/>
  <c r="AC11" i="34"/>
  <c r="E6" i="3"/>
  <c r="R7" i="1"/>
  <c r="P16" i="1"/>
  <c r="C11" i="12"/>
  <c r="C15" i="12" s="1"/>
  <c r="F34" i="11"/>
  <c r="F11" i="12"/>
  <c r="C23" i="12" s="1"/>
  <c r="F34" i="68"/>
  <c r="C34" i="68" s="1"/>
  <c r="C38" i="68" s="1"/>
  <c r="F50" i="11"/>
  <c r="F50" i="69"/>
  <c r="F50" i="68"/>
  <c r="C47" i="11"/>
  <c r="D45" i="11"/>
  <c r="C29" i="11"/>
  <c r="D27" i="11"/>
  <c r="L16" i="1"/>
  <c r="C34" i="11"/>
  <c r="C38" i="11"/>
  <c r="R8" i="1"/>
  <c r="R6" i="1"/>
  <c r="E2" i="70"/>
  <c r="C34" i="69"/>
  <c r="C35"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M5" i="43"/>
  <c r="N12" i="43"/>
  <c r="N11" i="43"/>
  <c r="M10" i="43"/>
  <c r="M2" i="43"/>
  <c r="M8" i="43"/>
  <c r="M7" i="43"/>
  <c r="N9" i="43"/>
  <c r="N10" i="43"/>
  <c r="M6" i="43"/>
  <c r="C6" i="43" s="1"/>
  <c r="N7" i="43"/>
  <c r="N4" i="43"/>
  <c r="N2" i="43"/>
  <c r="F51" i="43" s="1"/>
  <c r="H55" i="43" s="1"/>
  <c r="N21" i="43"/>
  <c r="L21" i="43"/>
  <c r="O21" i="43"/>
  <c r="M21" i="43"/>
  <c r="E21" i="43"/>
  <c r="C24" i="12"/>
  <c r="C48" i="68"/>
  <c r="T25" i="71"/>
  <c r="C94" i="9"/>
  <c r="C92" i="9"/>
  <c r="F94" i="43"/>
  <c r="N370" i="46"/>
  <c r="X7" i="43"/>
  <c r="F73" i="43"/>
  <c r="H76" i="43" s="1"/>
  <c r="F62" i="43"/>
  <c r="H66" i="43" s="1"/>
  <c r="D68" i="71"/>
  <c r="D81" i="71"/>
  <c r="D73" i="71"/>
  <c r="B68" i="71"/>
  <c r="M11" i="43"/>
  <c r="E62" i="43"/>
  <c r="B60" i="43" s="1"/>
  <c r="C28" i="43" s="1"/>
  <c r="B117" i="43"/>
  <c r="I122" i="43" s="1"/>
  <c r="J122" i="43" s="1"/>
  <c r="K122" i="43" s="1"/>
  <c r="L122" i="43" s="1"/>
  <c r="M122" i="43" s="1"/>
  <c r="N94" i="46"/>
  <c r="G26" i="43"/>
  <c r="D23" i="67"/>
  <c r="G25" i="12"/>
  <c r="G41" i="11"/>
  <c r="G27" i="12"/>
  <c r="G41" i="68"/>
  <c r="C35" i="1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3"/>
  <c r="D35" i="9"/>
  <c r="F42" i="67"/>
  <c r="AO6" i="1"/>
  <c r="F41" i="67"/>
  <c r="M26" i="15"/>
  <c r="F38" i="67"/>
  <c r="F43" i="67"/>
  <c r="D6" i="73"/>
  <c r="F7" i="67"/>
  <c r="E2" i="68"/>
  <c r="E8" i="76"/>
  <c r="AO12" i="1"/>
  <c r="J15" i="67"/>
  <c r="F40" i="67"/>
  <c r="F35" i="67"/>
  <c r="AO7" i="1"/>
  <c r="F26" i="15"/>
  <c r="M29" i="15"/>
  <c r="D2" i="36"/>
  <c r="F26" i="67"/>
  <c r="L47" i="15"/>
  <c r="B13" i="76"/>
  <c r="C76" i="15"/>
  <c r="M29" i="67"/>
  <c r="E9" i="76"/>
  <c r="C20" i="9"/>
  <c r="D19" i="9"/>
  <c r="M23" i="67"/>
  <c r="F8" i="15"/>
  <c r="M8" i="67"/>
  <c r="D34" i="9"/>
  <c r="F6" i="15"/>
  <c r="F8" i="67"/>
  <c r="J15" i="15"/>
  <c r="F40" i="15"/>
  <c r="F41" i="15"/>
  <c r="F9" i="67"/>
  <c r="M9" i="15"/>
  <c r="M21" i="15"/>
  <c r="D2" i="34"/>
  <c r="AO8" i="1"/>
  <c r="M8" i="15"/>
  <c r="F37" i="67"/>
  <c r="AO13" i="1"/>
  <c r="B10" i="76"/>
  <c r="D2" i="21"/>
  <c r="L47" i="67"/>
  <c r="M22" i="67"/>
  <c r="C76" i="67"/>
  <c r="E13" i="76"/>
  <c r="M22" i="15"/>
  <c r="M27" i="67"/>
  <c r="B11" i="76"/>
  <c r="M24" i="67"/>
  <c r="AO9" i="1"/>
  <c r="E2" i="69"/>
  <c r="F13" i="15"/>
  <c r="D20" i="9"/>
  <c r="M28" i="67"/>
  <c r="D5" i="73"/>
  <c r="E10" i="76"/>
  <c r="F43" i="15"/>
  <c r="B9" i="76"/>
  <c r="M6" i="67"/>
  <c r="AO11" i="1"/>
  <c r="M23" i="15"/>
  <c r="F16" i="15"/>
  <c r="F9" i="15"/>
  <c r="B7" i="76"/>
  <c r="F5" i="73"/>
  <c r="F7" i="15"/>
  <c r="M9" i="67"/>
  <c r="B8" i="76"/>
  <c r="L48" i="67"/>
  <c r="F37" i="15"/>
  <c r="D7" i="73"/>
  <c r="F6" i="67"/>
  <c r="M27" i="15"/>
  <c r="F38" i="15"/>
  <c r="C14" i="15"/>
  <c r="D2" i="35"/>
  <c r="F20" i="31"/>
  <c r="E11" i="76"/>
  <c r="M21" i="67"/>
  <c r="F6" i="73"/>
  <c r="D3" i="73"/>
  <c r="F42" i="15"/>
  <c r="M28" i="15"/>
  <c r="F4" i="73"/>
  <c r="F13" i="67"/>
  <c r="F16" i="67"/>
  <c r="D4" i="73"/>
  <c r="F35" i="15"/>
  <c r="B12" i="76"/>
  <c r="L48" i="15"/>
  <c r="F36" i="15"/>
  <c r="AO10" i="1"/>
  <c r="M26" i="67"/>
  <c r="F7" i="73"/>
  <c r="E12" i="76"/>
  <c r="C19" i="9"/>
  <c r="E7" i="76"/>
  <c r="F36" i="67"/>
  <c r="F3" i="73"/>
  <c r="D2" i="37"/>
  <c r="M24" i="15"/>
  <c r="M6" i="15"/>
  <c r="C31" i="12" l="1"/>
  <c r="D26" i="43"/>
  <c r="BL586" i="3"/>
  <c r="AZ586" i="3" s="1"/>
  <c r="BA551" i="3"/>
  <c r="AZ551" i="3" s="1"/>
  <c r="BL550" i="3"/>
  <c r="BA550" i="3"/>
  <c r="BL548" i="3"/>
  <c r="AZ548" i="3" s="1"/>
  <c r="BL15" i="3"/>
  <c r="A15" i="62"/>
  <c r="B61" i="72" s="1"/>
  <c r="AC6" i="71"/>
  <c r="AC5" i="71"/>
  <c r="AC7" i="71"/>
  <c r="AD6" i="71"/>
  <c r="AD7" i="71"/>
  <c r="AD5" i="71"/>
  <c r="Y6" i="71"/>
  <c r="AB6" i="71" s="1"/>
  <c r="Y7" i="71"/>
  <c r="AB7" i="71" s="1"/>
  <c r="Y5" i="71"/>
  <c r="AB5" i="71" s="1"/>
  <c r="Z5" i="71"/>
  <c r="AA5" i="71" s="1"/>
  <c r="Z6" i="71"/>
  <c r="AA6" i="71" s="1"/>
  <c r="Z7" i="71"/>
  <c r="AA7" i="71" s="1"/>
  <c r="D63" i="40"/>
  <c r="C65" i="40"/>
  <c r="G16" i="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F10" i="39"/>
  <c r="H10" i="40"/>
  <c r="J10" i="39"/>
  <c r="F10" i="40"/>
  <c r="J10" i="40"/>
  <c r="H10" i="39"/>
  <c r="G58" i="33"/>
  <c r="H58" i="33" s="1"/>
  <c r="I58" i="33" s="1"/>
  <c r="J58" i="33" s="1"/>
  <c r="K58" i="33" s="1"/>
  <c r="L58" i="33" s="1"/>
  <c r="M58" i="33" s="1"/>
  <c r="N58" i="33" s="1"/>
  <c r="O58" i="33" s="1"/>
  <c r="J7" i="33"/>
  <c r="E52" i="37"/>
  <c r="E46"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7" i="67"/>
  <c r="C16" i="15"/>
  <c r="C14" i="67"/>
  <c r="C17" i="15"/>
  <c r="F46" i="36" l="1"/>
  <c r="AZ15" i="3"/>
  <c r="BL5" i="3"/>
  <c r="AZ550" i="3"/>
  <c r="BA5" i="3"/>
  <c r="E27" i="6" s="1"/>
  <c r="C49" i="67"/>
  <c r="F7" i="33"/>
  <c r="AA7" i="33" s="1"/>
  <c r="R48" i="33" s="1"/>
  <c r="D65" i="40"/>
  <c r="E63" i="40"/>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39" i="43" l="1"/>
  <c r="C38" i="43"/>
  <c r="C37" i="43"/>
  <c r="K20" i="6"/>
  <c r="M20" i="6" s="1"/>
  <c r="I20" i="6" s="1"/>
  <c r="S20" i="6" s="1"/>
  <c r="E31" i="6"/>
  <c r="K24" i="6"/>
  <c r="M24" i="6" s="1"/>
  <c r="I24" i="6" s="1"/>
  <c r="S24" i="6" s="1"/>
  <c r="K21" i="6"/>
  <c r="M21" i="6" s="1"/>
  <c r="I21" i="6" s="1"/>
  <c r="S21" i="6" s="1"/>
  <c r="K26" i="6"/>
  <c r="M26" i="6" s="1"/>
  <c r="I26" i="6" s="1"/>
  <c r="S26" i="6" s="1"/>
  <c r="K22" i="6"/>
  <c r="M22" i="6" s="1"/>
  <c r="I22" i="6" s="1"/>
  <c r="S22" i="6" s="1"/>
  <c r="K19" i="6"/>
  <c r="K25" i="6"/>
  <c r="M25" i="6" s="1"/>
  <c r="I25" i="6" s="1"/>
  <c r="S25" i="6" s="1"/>
  <c r="K23" i="6"/>
  <c r="M23" i="6" s="1"/>
  <c r="I23" i="6" s="1"/>
  <c r="S23" i="6" s="1"/>
  <c r="AZ5" i="3"/>
  <c r="G46" i="36"/>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G52" i="21"/>
  <c r="H52" i="21" s="1"/>
  <c r="G53" i="21"/>
  <c r="H53" i="21" s="1"/>
  <c r="AA7" i="35"/>
  <c r="R38" i="35" s="1"/>
  <c r="S7" i="35"/>
  <c r="U7" i="33"/>
  <c r="AB7" i="33"/>
  <c r="T48" i="33" s="1"/>
  <c r="G48" i="33" s="1"/>
  <c r="G52" i="37"/>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H46" i="36" l="1"/>
  <c r="AY6" i="3"/>
  <c r="E3" i="6"/>
  <c r="M19" i="6"/>
  <c r="K27" i="6"/>
  <c r="E42" i="43"/>
  <c r="G39" i="43"/>
  <c r="I39" i="43" s="1"/>
  <c r="F65" i="40"/>
  <c r="G63" i="40"/>
  <c r="G52" i="33"/>
  <c r="H52" i="33" s="1"/>
  <c r="G53" i="33"/>
  <c r="H53" i="33" s="1"/>
  <c r="C48" i="33"/>
  <c r="C49" i="33"/>
  <c r="G68" i="39"/>
  <c r="F70" i="39"/>
  <c r="E54" i="34"/>
  <c r="F54" i="34" s="1"/>
  <c r="E53" i="34"/>
  <c r="F53" i="34" s="1"/>
  <c r="C49" i="21"/>
  <c r="C48" i="21"/>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C30" i="43" l="1"/>
  <c r="B2" i="43" s="1"/>
  <c r="B6" i="76" s="1"/>
  <c r="I19" i="6"/>
  <c r="M27" i="6"/>
  <c r="D3" i="34"/>
  <c r="B2" i="34" s="1"/>
  <c r="B3" i="34" s="1"/>
  <c r="D3" i="21"/>
  <c r="B2" i="21" s="1"/>
  <c r="B3" i="21" s="1"/>
  <c r="D3" i="33"/>
  <c r="B2" i="33" s="1"/>
  <c r="B3" i="33" s="1"/>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46" i="36"/>
  <c r="G65" i="40"/>
  <c r="H63" i="40"/>
  <c r="C39" i="35"/>
  <c r="B2" i="35" s="1"/>
  <c r="B3" i="35" s="1"/>
  <c r="C38" i="35"/>
  <c r="I52" i="37"/>
  <c r="G70" i="39"/>
  <c r="H68" i="39"/>
  <c r="E43" i="35"/>
  <c r="F43" i="35" s="1"/>
  <c r="E42" i="35"/>
  <c r="F42" i="35" s="1"/>
  <c r="I43" i="35"/>
  <c r="J43" i="35" s="1"/>
  <c r="B10" i="71"/>
  <c r="E11" i="71"/>
  <c r="C20" i="71"/>
  <c r="D21" i="71"/>
  <c r="V21" i="71" s="1"/>
  <c r="U21" i="71"/>
  <c r="C31" i="43"/>
  <c r="B2" i="76"/>
  <c r="B3" i="43"/>
  <c r="C13" i="67"/>
  <c r="C75" i="67" s="1"/>
  <c r="C36" i="67"/>
  <c r="C33" i="67"/>
  <c r="C31" i="67" s="1"/>
  <c r="Q49" i="67"/>
  <c r="J14" i="67"/>
  <c r="J13" i="67" s="1"/>
  <c r="J23" i="67" s="1"/>
  <c r="C29" i="15"/>
  <c r="C33" i="15" s="1"/>
  <c r="C31" i="15" s="1"/>
  <c r="J59" i="67"/>
  <c r="J60" i="67" s="1"/>
  <c r="L46" i="67" s="1"/>
  <c r="J19" i="67"/>
  <c r="J17" i="67" s="1"/>
  <c r="C57" i="67"/>
  <c r="C64" i="67" s="1"/>
  <c r="E6" i="76"/>
  <c r="J46" i="36" l="1"/>
  <c r="H20" i="6"/>
  <c r="M19" i="9"/>
  <c r="C118" i="9" s="1"/>
  <c r="C14" i="74" s="1"/>
  <c r="B2" i="74" s="1"/>
  <c r="D19" i="6"/>
  <c r="D25" i="6"/>
  <c r="D26" i="6"/>
  <c r="D15" i="6"/>
  <c r="C18" i="4"/>
  <c r="D22" i="6"/>
  <c r="D8" i="6"/>
  <c r="D16" i="6" s="1"/>
  <c r="D21" i="6"/>
  <c r="D23" i="6"/>
  <c r="D24" i="6"/>
  <c r="D14" i="6"/>
  <c r="D20" i="6"/>
  <c r="R20" i="6" s="1"/>
  <c r="D5" i="6"/>
  <c r="D6" i="6"/>
  <c r="D12" i="6"/>
  <c r="D9" i="6"/>
  <c r="D11" i="6"/>
  <c r="D10" i="6"/>
  <c r="D13" i="6"/>
  <c r="L19" i="9"/>
  <c r="D28" i="6"/>
  <c r="D30" i="6" s="1"/>
  <c r="D29" i="6"/>
  <c r="E61" i="40"/>
  <c r="H25" i="6"/>
  <c r="H22" i="6"/>
  <c r="H23" i="6"/>
  <c r="H21" i="6"/>
  <c r="H26" i="6"/>
  <c r="H24" i="6"/>
  <c r="H19" i="6"/>
  <c r="H27" i="6" s="1"/>
  <c r="C7" i="74"/>
  <c r="C8" i="74"/>
  <c r="D17" i="12"/>
  <c r="C17" i="12" s="1"/>
  <c r="C14" i="12"/>
  <c r="C16" i="12" s="1"/>
  <c r="C39" i="11"/>
  <c r="C42" i="11"/>
  <c r="C20" i="11"/>
  <c r="C25" i="11" s="1"/>
  <c r="C28" i="11"/>
  <c r="C27" i="11" s="1"/>
  <c r="C24" i="11"/>
  <c r="C22" i="11" s="1"/>
  <c r="C31" i="11" s="1"/>
  <c r="D10" i="68"/>
  <c r="D10" i="11"/>
  <c r="C10" i="11" s="1"/>
  <c r="D20" i="12"/>
  <c r="C20" i="12" s="1"/>
  <c r="C18" i="12" s="1"/>
  <c r="D10" i="69"/>
  <c r="S19" i="6"/>
  <c r="S27" i="6" s="1"/>
  <c r="I27" i="6"/>
  <c r="I63" i="40"/>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L51" i="67"/>
  <c r="C10" i="69" l="1"/>
  <c r="C8" i="69" s="1"/>
  <c r="C5" i="69" s="1"/>
  <c r="D19" i="69"/>
  <c r="C10" i="68"/>
  <c r="D19" i="68"/>
  <c r="C43" i="11"/>
  <c r="C41" i="11" s="1"/>
  <c r="C46" i="11"/>
  <c r="C45" i="11" s="1"/>
  <c r="C21" i="12"/>
  <c r="D21" i="9"/>
  <c r="C21" i="9"/>
  <c r="G21" i="9"/>
  <c r="R24" i="6"/>
  <c r="R23" i="6"/>
  <c r="R21" i="6"/>
  <c r="R22" i="6"/>
  <c r="A7" i="51"/>
  <c r="B7" i="72" s="1"/>
  <c r="C4" i="52"/>
  <c r="B45" i="72" s="1"/>
  <c r="A10" i="51"/>
  <c r="B9" i="72" s="1"/>
  <c r="R26" i="6"/>
  <c r="R25" i="6"/>
  <c r="D27" i="6"/>
  <c r="D31" i="6" s="1"/>
  <c r="R19" i="6"/>
  <c r="R27" i="6" s="1"/>
  <c r="D7" i="74"/>
  <c r="D8" i="74"/>
  <c r="K46" i="3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L51" i="15"/>
  <c r="L46" i="36" l="1"/>
  <c r="I6" i="6"/>
  <c r="I5" i="6"/>
  <c r="C22" i="12"/>
  <c r="C30" i="12" s="1"/>
  <c r="C28" i="12" s="1"/>
  <c r="C27" i="12"/>
  <c r="C25" i="12" s="1"/>
  <c r="C32" i="12"/>
  <c r="B2" i="12" s="1"/>
  <c r="B3" i="12" s="1"/>
  <c r="C49" i="11"/>
  <c r="C51" i="11" s="1"/>
  <c r="C19" i="68"/>
  <c r="D37" i="68"/>
  <c r="C37" i="68" s="1"/>
  <c r="C33" i="68" s="1"/>
  <c r="C19" i="69"/>
  <c r="C24" i="69" s="1"/>
  <c r="D37" i="69"/>
  <c r="C37" i="69" s="1"/>
  <c r="C33" i="69" s="1"/>
  <c r="C20" i="69"/>
  <c r="C23"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C28" i="69" l="1"/>
  <c r="C27" i="69" s="1"/>
  <c r="C25" i="69"/>
  <c r="C22" i="69" s="1"/>
  <c r="C31" i="69" s="1"/>
  <c r="C39" i="69"/>
  <c r="C42" i="69"/>
  <c r="C39" i="68"/>
  <c r="C43" i="68" s="1"/>
  <c r="C46" i="68"/>
  <c r="C45" i="68" s="1"/>
  <c r="C42" i="68"/>
  <c r="C41" i="68" s="1"/>
  <c r="C49" i="68"/>
  <c r="C51" i="68" s="1"/>
  <c r="C20" i="68"/>
  <c r="C24" i="68"/>
  <c r="C52" i="11"/>
  <c r="B2" i="11" s="1"/>
  <c r="B3" i="11" s="1"/>
  <c r="C56" i="11"/>
  <c r="C57" i="11" s="1"/>
  <c r="M46" i="36"/>
  <c r="B6" i="7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N46" i="36" l="1"/>
  <c r="C28" i="68"/>
  <c r="C27" i="68" s="1"/>
  <c r="C25" i="68"/>
  <c r="C22" i="68" s="1"/>
  <c r="C31" i="68" s="1"/>
  <c r="C52" i="68" s="1"/>
  <c r="B2" i="68" s="1"/>
  <c r="B3" i="68" s="1"/>
  <c r="C57" i="68"/>
  <c r="C56" i="68" s="1"/>
  <c r="C46" i="69"/>
  <c r="C45" i="69" s="1"/>
  <c r="C43" i="69"/>
  <c r="C41" i="69" s="1"/>
  <c r="C49" i="69" s="1"/>
  <c r="C51" i="69" s="1"/>
  <c r="C52" i="69"/>
  <c r="B2" i="69" s="1"/>
  <c r="B3" i="69" s="1"/>
  <c r="E6" i="71"/>
  <c r="B5" i="71"/>
  <c r="E5" i="71" s="1"/>
  <c r="M63" i="40"/>
  <c r="L65" i="40"/>
  <c r="N52" i="37"/>
  <c r="O52" i="37" s="1"/>
  <c r="L70" i="39"/>
  <c r="M68" i="39"/>
  <c r="D16" i="71"/>
  <c r="C15" i="71"/>
  <c r="Q62" i="15"/>
  <c r="C57" i="69" l="1"/>
  <c r="C56" i="69" s="1"/>
  <c r="O46" i="36"/>
  <c r="J7" i="36" s="1"/>
  <c r="H7" i="36"/>
  <c r="F7" i="36"/>
  <c r="F7" i="37"/>
  <c r="AA7" i="37" s="1"/>
  <c r="R42" i="37" s="1"/>
  <c r="N63" i="40"/>
  <c r="M65" i="40"/>
  <c r="M70" i="39"/>
  <c r="N68" i="39"/>
  <c r="J7" i="37"/>
  <c r="H7" i="37"/>
  <c r="C14" i="71"/>
  <c r="D15" i="71"/>
  <c r="AA7" i="36" l="1"/>
  <c r="R36" i="36" s="1"/>
  <c r="S7" i="36"/>
  <c r="U7" i="36"/>
  <c r="AB7" i="36"/>
  <c r="T36" i="36" s="1"/>
  <c r="G36" i="36" s="1"/>
  <c r="W7" i="36"/>
  <c r="AC7" i="36"/>
  <c r="V36" i="36" s="1"/>
  <c r="I36" i="36" s="1"/>
  <c r="S7" i="37"/>
  <c r="N65" i="40"/>
  <c r="O63" i="40"/>
  <c r="O65" i="40" s="1"/>
  <c r="J7" i="40" s="1"/>
  <c r="U7" i="37"/>
  <c r="AB7" i="37"/>
  <c r="T42" i="37" s="1"/>
  <c r="G42" i="37" s="1"/>
  <c r="O68" i="39"/>
  <c r="O70" i="39" s="1"/>
  <c r="N70" i="39"/>
  <c r="R43" i="37"/>
  <c r="E42" i="37"/>
  <c r="AC7" i="37"/>
  <c r="V42" i="37" s="1"/>
  <c r="I42" i="37" s="1"/>
  <c r="W7" i="37"/>
  <c r="C13" i="71"/>
  <c r="D14" i="71"/>
  <c r="I40" i="36" l="1"/>
  <c r="J40" i="36" s="1"/>
  <c r="G41" i="36"/>
  <c r="H41" i="36" s="1"/>
  <c r="G40" i="36"/>
  <c r="H40" i="36" s="1"/>
  <c r="E36" i="36"/>
  <c r="R37" i="36"/>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37" i="36" l="1"/>
  <c r="B2" i="36" s="1"/>
  <c r="B3" i="36" s="1"/>
  <c r="C36" i="36"/>
  <c r="E40" i="36"/>
  <c r="F40" i="36" s="1"/>
  <c r="E41" i="36"/>
  <c r="F41" i="36" s="1"/>
  <c r="I41" i="36"/>
  <c r="J41" i="36"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E14" i="74"/>
  <c r="F14" i="74"/>
  <c r="C5" i="74"/>
  <c r="D14" i="74"/>
  <c r="B5" i="74"/>
  <c r="D5" i="74"/>
  <c r="N61" i="9"/>
  <c r="N59" i="9"/>
  <c r="N60" i="9"/>
  <c r="P57" i="9"/>
  <c r="D55" i="9"/>
  <c r="M53" i="9"/>
  <c r="N57" i="9"/>
  <c r="N58" i="9"/>
  <c r="E81" i="9"/>
  <c r="E80" i="9"/>
  <c r="C80" i="9"/>
  <c r="C72" i="9"/>
  <c r="C79" i="9"/>
  <c r="C81" i="9"/>
  <c r="C104" i="9"/>
  <c r="H4" i="52"/>
  <c r="H119" i="9"/>
  <c r="H5" i="52"/>
  <c r="B32" i="72"/>
  <c r="D14" i="53"/>
  <c r="D13" i="53"/>
  <c r="B30" i="72"/>
  <c r="C86" i="9"/>
  <c r="C93" i="9"/>
  <c r="E97" i="9"/>
  <c r="E96" i="9"/>
  <c r="C96" i="9"/>
  <c r="B47" i="72"/>
  <c r="D4" i="52"/>
  <c r="D54" i="9"/>
  <c r="C68" i="9"/>
  <c r="G4" i="52"/>
  <c r="B52" i="72"/>
  <c r="F119" i="9"/>
  <c r="F5" i="52"/>
  <c r="B53" i="72"/>
  <c r="D9" i="52"/>
  <c r="D123" i="9"/>
  <c r="H108" i="9"/>
  <c r="D15" i="53"/>
  <c r="B31" i="72"/>
  <c r="D8" i="52"/>
  <c r="D6" i="74"/>
  <c r="H107" i="9"/>
  <c r="D122" i="9"/>
  <c r="G14" i="74"/>
  <c r="B6" i="74"/>
  <c r="C6" i="74"/>
  <c r="D52" i="9"/>
  <c r="D53" i="9"/>
  <c r="C78" i="9"/>
  <c r="C73" i="9"/>
  <c r="E4" i="52"/>
  <c r="B48" i="72"/>
  <c r="C64" i="9"/>
  <c r="C63" i="9"/>
  <c r="C67" i="9"/>
  <c r="D59" i="9"/>
  <c r="M55" i="9"/>
  <c r="G118" i="9"/>
  <c r="F118" i="9"/>
  <c r="F4" i="52"/>
  <c r="B51" i="72"/>
  <c r="M48" i="9"/>
  <c r="B20" i="72"/>
  <c r="D5" i="53"/>
  <c r="D6" i="53"/>
  <c r="B22" i="72"/>
  <c r="H101" i="9"/>
  <c r="D45" i="9"/>
  <c r="C85" i="9"/>
  <c r="C95" i="9"/>
  <c r="C97" i="9"/>
  <c r="D58" i="9"/>
  <c r="D56" i="9"/>
  <c r="M54" i="9"/>
  <c r="E118" i="9"/>
  <c r="D118" i="9"/>
  <c r="D119" i="9"/>
  <c r="D5" i="52"/>
  <c r="B49" i="72"/>
  <c r="I4" i="52"/>
  <c r="C105"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<sst xmlns="http://schemas.openxmlformats.org/spreadsheetml/2006/main" count="7676" uniqueCount="3118">
  <si>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</si>
  <si>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</si>
  <si>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</si>
  <si>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</si>
  <si>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</si>
  <si>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</si>
  <si>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</si>
  <si>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</si>
  <si>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</si>
  <si>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</si>
  <si>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</si>
  <si>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</si>
  <si>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</si>
  <si>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</si>
  <si>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</si>
  <si>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</si>
  <si>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</si>
  <si>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</si>
  <si>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</si>
  <si>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</si>
  <si>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</si>
  <si>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</si>
  <si>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</si>
  <si>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</si>
  <si>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</si>
  <si>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</si>
  <si>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</si>
  <si>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</si>
  <si>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</si>
  <si>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</si>
  <si>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</si>
  <si>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</si>
  <si>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</si>
  <si>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</si>
  <si>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</si>
  <si>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</si>
  <si>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</si>
  <si>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</si>
  <si>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</si>
  <si>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</si>
  <si>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</si>
  <si>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</si>
  <si>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</si>
  <si>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</si>
  <si>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</si>
  <si>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</si>
  <si>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</si>
  <si>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</si>
  <si>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</si>
  <si>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</si>
  <si>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</si>
  <si>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</si>
  <si>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</si>
  <si>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</si>
  <si>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</si>
  <si>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</si>
  <si>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</si>
  <si>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</si>
  <si>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</si>
  <si>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</si>
  <si>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</si>
  <si>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</si>
  <si>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</si>
  <si>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</si>
  <si>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</si>
  <si>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</si>
  <si>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</si>
  <si>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</si>
  <si>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</si>
  <si>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</si>
  <si>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</si>
  <si>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</si>
  <si>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</si>
  <si>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</si>
  <si>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</si>
  <si>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</si>
  <si>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</si>
  <si>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</si>
  <si>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</si>
  <si>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</si>
  <si>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</si>
  <si>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</si>
  <si>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</si>
  <si>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</si>
  <si>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</si>
  <si>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</si>
  <si>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</si>
  <si>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</si>
  <si>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</si>
  <si>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</si>
  <si>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</si>
  <si>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</si>
  <si>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</si>
  <si>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</si>
  <si>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</si>
  <si>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</si>
  <si>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</si>
  <si>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</si>
  <si>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</si>
  <si>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</si>
  <si>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</si>
  <si>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</si>
  <si>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</si>
  <si>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</si>
  <si>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</si>
  <si>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</si>
  <si>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</si>
  <si>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</si>
  <si>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</si>
  <si>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</si>
  <si>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</si>
  <si>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</si>
  <si>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</si>
  <si>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</si>
  <si>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</si>
  <si>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</si>
  <si>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</si>
  <si>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</si>
  <si>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</si>
  <si>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</si>
  <si>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</si>
  <si>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</si>
  <si>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</si>
  <si>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</si>
  <si>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</si>
  <si>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</si>
  <si>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</si>
  <si>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</si>
  <si>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</si>
  <si>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</si>
  <si>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</si>
  <si>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</si>
  <si>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</si>
  <si>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</si>
  <si>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</si>
  <si>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</si>
  <si>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</si>
  <si>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</si>
  <si>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</si>
  <si>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</si>
  <si>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</si>
  <si>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</si>
  <si>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</si>
  <si>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</si>
  <si>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</si>
  <si>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</si>
  <si>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</si>
  <si>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</si>
  <si>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</si>
  <si>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</si>
  <si>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</si>
  <si>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</si>
  <si>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</si>
  <si>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</si>
  <si>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</si>
  <si>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</si>
  <si>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</si>
  <si>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</si>
  <si>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</si>
  <si>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</si>
  <si>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</si>
  <si>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</si>
  <si>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</si>
  <si>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</si>
  <si>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</si>
  <si>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</si>
  <si>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</si>
  <si>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</si>
  <si>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</si>
  <si>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</si>
  <si>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</si>
  <si>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</si>
  <si>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</si>
  <si>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</si>
  <si>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</si>
  <si>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</si>
  <si>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</si>
  <si>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</si>
  <si>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</si>
  <si>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</si>
  <si>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</si>
  <si>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</si>
  <si>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</si>
  <si>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</si>
  <si>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</si>
  <si>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</si>
  <si>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</si>
  <si>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</si>
  <si>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</si>
  <si>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</si>
  <si>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</si>
  <si>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</si>
  <si>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</si>
  <si>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</si>
  <si>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</si>
  <si>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</si>
  <si>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</si>
  <si>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</si>
  <si>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</si>
  <si>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</si>
  <si>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</si>
  <si>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</si>
  <si>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</si>
  <si>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</si>
  <si>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</si>
  <si>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</si>
  <si>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</si>
  <si>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</si>
  <si>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</si>
  <si>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</si>
  <si>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</si>
  <si>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</si>
  <si>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</si>
  <si>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</si>
  <si>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</si>
  <si>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</si>
  <si>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</si>
  <si>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</si>
  <si>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</si>
  <si>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</si>
  <si>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</si>
  <si>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</si>
  <si>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</si>
  <si>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</si>
  <si>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</si>
  <si>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</si>
  <si>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</si>
  <si>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</si>
  <si>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</si>
  <si>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</si>
  <si>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</si>
  <si>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</si>
  <si>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</si>
  <si>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</si>
  <si>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</si>
  <si>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</si>
  <si>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</si>
  <si>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</si>
  <si>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</si>
  <si>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</si>
  <si>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</si>
  <si>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</si>
  <si>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</si>
  <si>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</si>
  <si>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</si>
  <si>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</si>
  <si>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</si>
  <si>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</si>
  <si>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</si>
  <si>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</si>
  <si>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</si>
  <si>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</si>
  <si>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</si>
  <si>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</si>
  <si>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</si>
  <si>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</si>
  <si>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</si>
  <si>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</si>
  <si>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</si>
  <si>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</si>
  <si>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</si>
  <si>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</si>
  <si>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</si>
  <si>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</si>
  <si>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</si>
  <si>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</si>
  <si>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</si>
  <si>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</si>
  <si>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</si>
  <si>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</si>
  <si>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</si>
  <si>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</si>
  <si>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</si>
  <si>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</si>
  <si>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</si>
  <si>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</si>
  <si>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</si>
  <si>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</si>
  <si>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</si>
  <si>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</si>
  <si>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</si>
  <si>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</si>
  <si>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</si>
  <si>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</si>
  <si>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</si>
  <si>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</si>
  <si>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</si>
  <si>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</si>
  <si>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</si>
  <si>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</si>
  <si>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</si>
  <si>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</si>
  <si>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</si>
  <si>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</si>
  <si>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</si>
  <si>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</si>
  <si>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</si>
  <si>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</si>
  <si>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</si>
  <si>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</si>
  <si>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</si>
  <si>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</si>
  <si>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</si>
  <si>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</si>
  <si>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</si>
  <si>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</si>
  <si>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</si>
  <si>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</si>
  <si>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</si>
  <si>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</si>
  <si>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</si>
  <si>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</si>
  <si>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</si>
  <si>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</si>
  <si>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</si>
  <si>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</si>
  <si>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</si>
  <si>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</si>
  <si>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</si>
  <si>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</si>
  <si>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</si>
  <si>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</si>
  <si>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</si>
  <si>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</si>
  <si>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</si>
  <si>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</si>
  <si>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</si>
  <si>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</si>
  <si>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</si>
  <si>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</si>
  <si>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</si>
  <si>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</si>
  <si>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</si>
  <si>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</si>
  <si>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</si>
  <si>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</si>
  <si>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</si>
  <si>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</si>
  <si>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</si>
  <si>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</si>
  <si>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</si>
  <si>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</si>
  <si>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</si>
  <si>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</si>
  <si>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</si>
  <si>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</si>
  <si>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</si>
  <si>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</si>
  <si>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</si>
  <si>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</si>
  <si>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</si>
  <si>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</si>
  <si>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</si>
  <si>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</si>
  <si>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</si>
  <si>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</si>
  <si>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</si>
  <si>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</si>
  <si>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</si>
  <si>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</si>
  <si>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</si>
  <si>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</si>
  <si>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</si>
  <si>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</si>
  <si>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</si>
  <si>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</si>
  <si>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</si>
  <si>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</si>
  <si>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</si>
  <si>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</si>
  <si>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</si>
  <si>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</si>
  <si>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</si>
  <si>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</si>
  <si>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</si>
  <si>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</si>
  <si>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</si>
  <si>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</si>
  <si>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</si>
  <si>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</si>
  <si>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</si>
  <si>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</si>
  <si>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</si>
  <si>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</si>
  <si>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</si>
  <si>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</si>
  <si>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</si>
  <si>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</si>
  <si>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</si>
  <si>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</si>
  <si>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</si>
  <si>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</si>
  <si>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</si>
  <si>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</si>
  <si>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</si>
  <si>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</si>
  <si>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</si>
  <si>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</si>
  <si>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</si>
  <si>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</si>
  <si>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</si>
  <si>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</si>
  <si>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</si>
  <si>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</si>
  <si>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</si>
  <si>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</si>
  <si>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</si>
  <si>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</si>
  <si>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</si>
  <si>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</si>
  <si>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</si>
  <si>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</si>
  <si>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</si>
  <si>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</si>
  <si>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</si>
  <si>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</si>
  <si>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</si>
  <si>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</si>
  <si>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</si>
  <si>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</si>
  <si>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</si>
  <si>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</si>
  <si>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</si>
  <si>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</si>
  <si>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</si>
  <si>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</si>
  <si>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</si>
  <si>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</si>
  <si>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</si>
  <si>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</si>
  <si>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</si>
  <si>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</si>
  <si>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</si>
  <si>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</si>
  <si>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</si>
  <si>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</si>
  <si>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</si>
  <si>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</si>
  <si>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</si>
  <si>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</si>
  <si>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</si>
  <si>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</si>
  <si>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</si>
  <si>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</si>
  <si>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</si>
  <si>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</si>
  <si>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</si>
  <si>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</si>
  <si>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</si>
  <si>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</si>
  <si>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</si>
  <si>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</si>
  <si>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</si>
  <si>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</si>
  <si>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</si>
  <si>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</si>
  <si>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</si>
  <si>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</si>
  <si>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</si>
  <si>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</si>
  <si>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</si>
  <si>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</si>
  <si>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</si>
  <si>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</si>
  <si>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</si>
  <si>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</si>
  <si>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</si>
  <si>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</si>
  <si>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</si>
  <si>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</si>
  <si>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</si>
  <si>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</si>
  <si>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</si>
  <si>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</si>
  <si>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</si>
  <si>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</si>
  <si>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</si>
  <si>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</si>
  <si>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</si>
  <si>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</si>
  <si>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</si>
  <si>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</si>
  <si>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</si>
  <si>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</si>
  <si>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</si>
  <si>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</si>
  <si>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</si>
  <si>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</si>
  <si>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</si>
  <si>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</si>
  <si>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</si>
  <si>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</si>
  <si>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</si>
  <si>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</si>
  <si>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</si>
  <si>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</si>
  <si>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</si>
  <si>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</si>
  <si>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</si>
  <si>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</si>
  <si>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</si>
  <si>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</si>
  <si>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</si>
  <si>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</si>
  <si>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</si>
  <si>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</si>
  <si>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</si>
  <si>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</si>
  <si>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</si>
  <si>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</si>
  <si>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</si>
  <si>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</si>
  <si>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</si>
  <si>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</si>
  <si>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</si>
  <si>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</si>
  <si>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</si>
  <si>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</si>
  <si>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</si>
  <si>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</si>
  <si>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</si>
  <si>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</si>
  <si>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</si>
  <si>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</si>
  <si>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</si>
  <si>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</si>
  <si>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</si>
  <si>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</si>
  <si>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</si>
  <si>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</si>
  <si>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</si>
  <si>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</si>
  <si>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</si>
  <si>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</si>
  <si>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</si>
  <si>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</si>
  <si>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</si>
  <si>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</si>
  <si>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</si>
  <si>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</si>
  <si>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</si>
  <si>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</si>
  <si>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</si>
  <si>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</si>
  <si>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</si>
  <si>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</si>
  <si>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</si>
  <si>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</si>
  <si>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</si>
  <si>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</si>
  <si>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</si>
  <si>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</si>
  <si>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</si>
  <si>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</si>
  <si>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</si>
  <si>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</si>
  <si>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</si>
  <si>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</si>
  <si>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</si>
  <si>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</si>
  <si>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</si>
  <si>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</si>
  <si>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</si>
  <si>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</si>
  <si>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</si>
  <si>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</si>
  <si>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</si>
  <si>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</si>
  <si>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</si>
  <si>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</si>
  <si>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</si>
  <si>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</si>
  <si>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</si>
  <si>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</si>
  <si>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</si>
  <si>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</si>
  <si>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</si>
  <si>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</si>
  <si>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</si>
  <si>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</si>
  <si>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</si>
  <si>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</si>
  <si>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</si>
  <si>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</si>
  <si>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</si>
  <si>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</si>
  <si>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</si>
  <si>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</si>
  <si>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</si>
  <si>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</si>
  <si>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</si>
  <si>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</si>
  <si>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</si>
  <si>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</si>
  <si>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</si>
  <si>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</si>
  <si>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</si>
  <si>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</si>
  <si>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</si>
  <si>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</si>
  <si>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</si>
  <si>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</si>
  <si>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</si>
  <si>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</si>
  <si>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</si>
  <si>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</si>
  <si>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</si>
  <si>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</si>
  <si>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</si>
  <si>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</si>
  <si>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</si>
  <si>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</si>
  <si>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</si>
  <si>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</si>
  <si>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</si>
  <si>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</si>
  <si>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</si>
  <si>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</si>
  <si>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</si>
  <si>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</si>
  <si>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</si>
  <si>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</si>
  <si>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</si>
  <si>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</si>
  <si>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</si>
  <si>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</si>
  <si>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</si>
  <si>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</si>
  <si>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</si>
  <si>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</si>
  <si>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</si>
  <si>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</si>
  <si>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</si>
  <si>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</si>
  <si>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</si>
  <si>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</si>
  <si>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</si>
  <si>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</si>
  <si>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</si>
  <si>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</si>
  <si>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</si>
  <si>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</si>
  <si>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</si>
  <si>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</si>
  <si>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</si>
  <si>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</si>
  <si>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</si>
  <si>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</si>
  <si>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</si>
  <si>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</si>
  <si>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</si>
  <si>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</si>
  <si>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</si>
  <si>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</si>
  <si>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</si>
  <si>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</si>
  <si>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</si>
  <si>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</si>
  <si>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</si>
  <si>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</si>
  <si>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</si>
  <si>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</si>
  <si>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</si>
  <si>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</si>
  <si>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</si>
  <si>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</si>
  <si>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</si>
  <si>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</si>
  <si>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</si>
  <si>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</si>
  <si>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</si>
  <si>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</si>
  <si>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</si>
  <si>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</si>
  <si>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</si>
  <si>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</si>
  <si>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</si>
  <si>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</si>
  <si>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</si>
  <si>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</si>
  <si>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</si>
  <si>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</si>
  <si>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</si>
  <si>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</si>
  <si>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</si>
  <si>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</si>
  <si>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</si>
  <si>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</si>
  <si>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</si>
  <si>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</si>
  <si>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</si>
  <si>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</si>
  <si>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</si>
  <si>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</si>
  <si>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</si>
  <si>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</si>
  <si>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</si>
  <si>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</si>
  <si>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</si>
  <si>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</si>
  <si>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</si>
  <si>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</si>
  <si>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</si>
  <si>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</si>
  <si>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</si>
  <si>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</si>
  <si>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</si>
  <si>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</si>
  <si>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</si>
  <si>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</si>
  <si>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</si>
  <si>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</si>
  <si>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</si>
  <si>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</si>
  <si>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</si>
  <si>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</si>
  <si>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</si>
  <si>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</si>
  <si>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</si>
  <si>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</si>
  <si>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</si>
  <si>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</si>
  <si>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</si>
  <si>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</si>
  <si>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</si>
  <si>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</si>
  <si>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</si>
  <si>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</si>
  <si>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</si>
  <si>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</si>
  <si>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</si>
  <si>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</si>
  <si>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</si>
  <si>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</si>
  <si>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</si>
  <si>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</si>
  <si>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</si>
  <si>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</si>
  <si>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</si>
  <si>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</si>
  <si>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</si>
  <si>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</si>
  <si>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</si>
  <si>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</si>
  <si>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</si>
  <si>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</si>
  <si>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</si>
  <si>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</si>
  <si>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</si>
  <si>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</si>
  <si>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</si>
  <si>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</si>
  <si>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</si>
  <si>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</si>
  <si>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</si>
  <si>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</si>
  <si>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</si>
  <si>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</si>
  <si>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</si>
  <si>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</si>
  <si>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</si>
  <si>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</si>
  <si>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</si>
  <si>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</si>
  <si>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</si>
  <si>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</si>
  <si>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</si>
  <si>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</si>
  <si>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</si>
  <si>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</si>
  <si>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</si>
  <si>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</si>
  <si>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</si>
  <si>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</si>
  <si>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</si>
  <si>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</si>
  <si>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</si>
  <si>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</si>
  <si>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</si>
  <si>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</si>
  <si>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</si>
  <si>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</si>
  <si>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</si>
  <si>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</si>
  <si>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</si>
  <si>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</si>
  <si>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</si>
  <si>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</si>
  <si>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</si>
  <si>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</si>
  <si>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</si>
  <si>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</si>
  <si>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</si>
  <si>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</si>
  <si>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</si>
  <si>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</si>
  <si>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</si>
  <si>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</si>
  <si>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</si>
  <si>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</si>
  <si>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</si>
  <si>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</si>
  <si>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</si>
  <si>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</si>
  <si>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</si>
  <si>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</si>
  <si>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</si>
  <si>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</si>
  <si>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</si>
  <si>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</si>
  <si>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</si>
  <si>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</si>
  <si>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</si>
  <si>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</si>
  <si>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</si>
  <si>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</si>
  <si>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</si>
  <si>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</si>
  <si>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</si>
  <si>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</si>
  <si>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</si>
  <si>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</si>
  <si>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</si>
  <si>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</si>
  <si>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</si>
  <si>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</si>
  <si>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</si>
  <si>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</si>
  <si>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</si>
  <si>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</si>
  <si>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</si>
  <si>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</si>
  <si>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</si>
  <si>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</si>
  <si>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</si>
  <si>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</si>
  <si>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</si>
  <si>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</si>
  <si>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</si>
  <si>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</si>
  <si>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</si>
  <si>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</si>
  <si>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</si>
  <si>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</si>
  <si>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</si>
  <si>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</si>
  <si>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</si>
  <si>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</si>
  <si>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</si>
  <si>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</si>
  <si>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</si>
  <si>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</si>
  <si>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</si>
  <si>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</si>
  <si>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</si>
  <si>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</si>
  <si>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</si>
  <si>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</si>
  <si>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</si>
  <si>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</si>
  <si>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</si>
  <si>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</si>
  <si>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</si>
  <si>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</si>
  <si>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</si>
  <si>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</si>
  <si>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</si>
  <si>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</si>
  <si>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</si>
  <si>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</si>
  <si>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</si>
  <si>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</si>
  <si>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</si>
  <si>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</si>
  <si>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</si>
  <si>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</si>
  <si>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</si>
  <si>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</si>
  <si>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</si>
  <si>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</si>
  <si>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</si>
  <si>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</si>
  <si>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</si>
  <si>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</si>
  <si>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</si>
  <si>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</si>
  <si>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</si>
  <si>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</si>
  <si>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</si>
  <si>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</si>
  <si>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</si>
  <si>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</si>
  <si>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</si>
  <si>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</si>
  <si>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</si>
  <si>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</si>
  <si>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</si>
  <si>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</si>
  <si>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</si>
  <si>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</si>
  <si>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</si>
  <si>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</si>
  <si>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</si>
  <si>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</si>
  <si>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</si>
  <si>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</si>
  <si>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</si>
  <si>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</si>
  <si>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</si>
  <si>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</si>
  <si>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</si>
  <si>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</si>
  <si>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</si>
  <si>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</si>
  <si>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</si>
  <si>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</si>
  <si>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</si>
  <si>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</si>
  <si>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</si>
  <si>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</si>
  <si>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</si>
  <si>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</si>
  <si>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</si>
  <si>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</si>
  <si>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</si>
  <si>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</si>
  <si>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</si>
  <si>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</si>
  <si>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</si>
  <si>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</si>
  <si>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</si>
  <si>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</si>
  <si>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</si>
  <si>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</si>
  <si>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</si>
  <si>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</si>
  <si>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</si>
  <si>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</si>
  <si>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</si>
  <si>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</si>
  <si>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</si>
  <si>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</si>
  <si>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</si>
  <si>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</si>
  <si>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</si>
  <si>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</si>
  <si>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</si>
  <si>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</si>
  <si>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</si>
  <si>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</si>
  <si>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</si>
  <si>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</si>
  <si>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</si>
  <si>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</si>
  <si>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</si>
  <si>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</si>
  <si>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</si>
  <si>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</si>
  <si>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</si>
  <si>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</si>
  <si>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</si>
  <si>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</si>
  <si>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</si>
  <si>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</si>
  <si>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</si>
  <si>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</si>
  <si>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</si>
  <si>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</si>
  <si>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</si>
  <si>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</si>
  <si>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</si>
  <si>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</si>
  <si>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</si>
  <si>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</si>
  <si>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</si>
  <si>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</si>
  <si>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</si>
  <si>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</si>
  <si>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</si>
  <si>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</si>
  <si>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</si>
  <si>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</si>
  <si>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</si>
  <si>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</si>
  <si>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</si>
  <si>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</si>
  <si>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</si>
  <si>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</si>
  <si>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</si>
  <si>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</si>
  <si>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</si>
  <si>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</si>
  <si>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</si>
  <si>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</si>
  <si>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</si>
  <si>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</si>
  <si>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</si>
  <si>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</si>
  <si>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</si>
  <si>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</si>
  <si>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</si>
  <si>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</si>
  <si>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</si>
  <si>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</si>
  <si>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</si>
  <si>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</si>
  <si>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</si>
  <si>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</si>
  <si>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</si>
  <si>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</si>
  <si>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</si>
  <si>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</si>
  <si>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</si>
  <si>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</si>
  <si>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</si>
  <si>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</si>
  <si>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</si>
  <si>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</si>
  <si>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</si>
  <si>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</si>
  <si>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</si>
  <si>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</si>
  <si>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</si>
  <si>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</si>
  <si>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</si>
  <si>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</si>
  <si>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</si>
  <si>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</si>
  <si>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</si>
  <si>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</si>
  <si>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</si>
  <si>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</si>
  <si>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</si>
  <si>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</si>
  <si>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</si>
  <si>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</si>
  <si>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</si>
  <si>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</si>
  <si>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</si>
  <si>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</si>
  <si>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</si>
  <si>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</si>
  <si>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</si>
  <si>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</si>
  <si>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</si>
  <si>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</si>
  <si>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</si>
  <si>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</si>
  <si>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</si>
  <si>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</si>
  <si>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</si>
  <si>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</si>
  <si>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</si>
  <si>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</si>
  <si>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</si>
  <si>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</si>
  <si>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</si>
  <si>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</si>
  <si>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</si>
  <si>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</si>
  <si>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</si>
  <si>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</si>
  <si>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</si>
  <si>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</si>
  <si>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</si>
  <si>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</si>
  <si>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</si>
  <si>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</si>
  <si>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</si>
  <si>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</si>
  <si>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</si>
  <si>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</si>
  <si>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</si>
  <si>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</si>
  <si>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</si>
  <si>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</si>
  <si>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</si>
  <si>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</si>
  <si>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</si>
  <si>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</si>
  <si>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</si>
  <si>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</si>
  <si>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</si>
  <si>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</si>
  <si>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</si>
  <si>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</si>
  <si>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</si>
  <si>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</si>
  <si>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</si>
  <si>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</si>
  <si>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</si>
  <si>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</si>
  <si>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</si>
  <si>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</si>
  <si>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</si>
  <si>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</si>
  <si>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</si>
  <si>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</si>
  <si>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</si>
  <si>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</si>
  <si>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</si>
  <si>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</si>
  <si>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</si>
  <si>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</si>
  <si>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</si>
  <si>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</si>
  <si>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</si>
  <si>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</si>
  <si>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</si>
  <si>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</si>
  <si>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</si>
  <si>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</si>
  <si>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</si>
  <si>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</si>
  <si>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</si>
  <si>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</si>
  <si>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</si>
  <si>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</si>
  <si>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</si>
  <si>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</si>
  <si>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</si>
  <si>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</si>
  <si>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</si>
  <si>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</si>
  <si>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</si>
  <si>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</si>
  <si>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</si>
  <si>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</si>
  <si>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</si>
  <si>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</si>
  <si>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</si>
  <si>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</si>
  <si>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</si>
  <si>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</si>
  <si>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</si>
  <si>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</si>
  <si>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</si>
  <si>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</si>
  <si>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</si>
  <si>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</si>
  <si>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</si>
  <si>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</si>
  <si>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</si>
  <si>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</si>
  <si>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</si>
  <si>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</si>
  <si>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</si>
  <si>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</si>
  <si>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</si>
  <si>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</si>
  <si>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</si>
  <si>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</si>
  <si>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</si>
  <si>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</si>
  <si>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</si>
  <si>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</si>
  <si>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</si>
  <si>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</si>
  <si>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</si>
  <si>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</si>
  <si>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</si>
  <si>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</si>
  <si>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</si>
  <si>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</si>
  <si>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</si>
  <si>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</si>
  <si>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</si>
  <si>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</si>
  <si>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</si>
  <si>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</si>
  <si>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</si>
  <si>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</si>
  <si>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</si>
  <si>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</si>
  <si>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</si>
  <si>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</si>
  <si>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</si>
  <si>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</si>
  <si>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</si>
  <si>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</si>
  <si>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</si>
  <si>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</si>
  <si>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</si>
  <si>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</si>
  <si>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</si>
  <si>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</si>
  <si>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</si>
  <si>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</si>
  <si>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</si>
  <si>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</si>
  <si>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</si>
  <si>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</si>
  <si>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</si>
  <si>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</si>
  <si>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</si>
  <si>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</si>
  <si>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</si>
  <si>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</si>
  <si>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</si>
  <si>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</si>
  <si>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</si>
  <si>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</si>
  <si>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</si>
  <si>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</si>
  <si>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</si>
  <si>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</si>
  <si>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</si>
  <si>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</si>
  <si>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</si>
  <si>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</si>
  <si>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</si>
  <si>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</si>
  <si>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</si>
  <si>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</si>
  <si>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</si>
  <si>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</si>
  <si>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</si>
  <si>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</si>
  <si>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</si>
  <si>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</si>
  <si>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</si>
  <si>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</si>
  <si>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</si>
  <si>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</si>
  <si>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</si>
  <si>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</si>
  <si>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</si>
  <si>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</si>
  <si>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</si>
  <si>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</si>
  <si>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</si>
  <si>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</si>
  <si>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</si>
  <si>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</si>
  <si>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</si>
  <si>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</si>
  <si>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</si>
  <si>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</si>
  <si>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</si>
  <si>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</si>
  <si>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</si>
  <si>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</si>
  <si>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</si>
  <si>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</si>
  <si>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</si>
  <si>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</si>
  <si>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</si>
  <si>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</si>
  <si>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</si>
  <si>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</si>
  <si>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</si>
  <si>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</si>
  <si>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</si>
  <si>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</si>
  <si>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</si>
  <si>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</si>
  <si>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</si>
  <si>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</si>
  <si>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</si>
  <si>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</si>
  <si>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</si>
  <si>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</si>
  <si>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</si>
  <si>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</si>
  <si>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</si>
  <si>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</si>
  <si>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</si>
  <si>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</si>
  <si>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</si>
  <si>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</si>
  <si>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</si>
  <si>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</si>
  <si>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</si>
  <si>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</si>
  <si>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</si>
  <si>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</si>
  <si>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</si>
  <si>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</si>
  <si>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</si>
  <si>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</si>
  <si>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</si>
  <si>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</si>
  <si>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</si>
  <si>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</si>
  <si>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</si>
  <si>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</si>
  <si>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</si>
  <si>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</si>
  <si>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</si>
  <si>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</si>
  <si>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</si>
  <si>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</si>
  <si>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</si>
  <si>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</si>
  <si>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</si>
  <si>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</si>
  <si>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</si>
  <si>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</si>
  <si>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</si>
  <si>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</si>
  <si>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</si>
  <si>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</si>
  <si>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</si>
  <si>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</si>
  <si>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</si>
  <si>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</si>
  <si>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</si>
  <si>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</si>
  <si>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</si>
  <si>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</si>
  <si>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</si>
  <si>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</si>
  <si>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</si>
  <si>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</si>
  <si>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</si>
  <si>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</si>
  <si>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</si>
  <si>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</si>
  <si>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</si>
  <si>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</si>
  <si>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</si>
  <si>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</si>
  <si>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</si>
  <si>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</si>
  <si>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</si>
  <si>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</si>
  <si>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</si>
  <si>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</si>
  <si>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</si>
  <si>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</si>
  <si>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</si>
  <si>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</si>
  <si>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</si>
  <si>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</si>
  <si>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</si>
  <si>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</si>
  <si>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</si>
  <si>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</si>
  <si>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</si>
  <si>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</si>
  <si>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</si>
  <si>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</si>
  <si>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</si>
  <si>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</si>
  <si>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</si>
  <si>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</si>
  <si>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</si>
  <si>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</si>
  <si>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</si>
  <si>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</si>
  <si>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</si>
  <si>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</si>
  <si>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</si>
  <si>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</si>
  <si>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</si>
  <si>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</si>
  <si>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</si>
  <si>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</si>
  <si>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</si>
  <si>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</si>
  <si>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</si>
  <si>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</si>
  <si>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</si>
  <si>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</si>
  <si>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</si>
  <si>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</si>
  <si>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</si>
  <si>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</si>
  <si>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</si>
  <si>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</si>
  <si>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</si>
  <si>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</si>
  <si>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</si>
  <si>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</si>
  <si>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</si>
  <si>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</si>
  <si>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</si>
  <si>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</si>
  <si>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</si>
  <si>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</si>
  <si>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</si>
  <si>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</si>
  <si>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</si>
  <si>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</si>
  <si>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</si>
  <si>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</si>
  <si>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</si>
  <si>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</si>
  <si>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</si>
  <si>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</si>
  <si>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</si>
  <si>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</si>
  <si>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</si>
  <si>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</si>
  <si>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</si>
  <si>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</si>
  <si>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</si>
  <si>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</si>
  <si>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</si>
  <si>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</si>
  <si>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</si>
  <si>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</si>
  <si>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</si>
  <si>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</si>
  <si>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</si>
  <si>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</si>
  <si>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</si>
  <si>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</si>
  <si>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</si>
  <si>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</si>
  <si>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</si>
  <si>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</si>
  <si>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</si>
  <si>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</si>
  <si>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</si>
  <si>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</si>
  <si>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</si>
  <si>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</si>
  <si>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</si>
  <si>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</si>
  <si>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</si>
  <si>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</si>
  <si>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</si>
  <si>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</si>
  <si>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</si>
  <si>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</si>
  <si>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</si>
  <si>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</si>
  <si>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</si>
  <si>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</si>
  <si>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</si>
  <si>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</si>
  <si>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</si>
  <si>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</si>
  <si>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</si>
  <si>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</si>
  <si>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</si>
  <si>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</si>
  <si>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</si>
  <si>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</si>
  <si>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</si>
  <si>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</si>
  <si>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</si>
  <si>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</si>
  <si>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</si>
  <si>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</si>
  <si>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</si>
  <si>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</si>
  <si>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</si>
  <si>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</si>
  <si>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</si>
  <si>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</si>
  <si>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</si>
  <si>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</si>
  <si>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</si>
  <si>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</si>
  <si>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</si>
  <si>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</si>
  <si>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</si>
  <si>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</si>
  <si>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</si>
  <si>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</si>
  <si>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</si>
  <si>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</si>
  <si>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</si>
  <si>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</si>
  <si>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</si>
  <si>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</si>
  <si>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</si>
  <si>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</si>
  <si>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</si>
  <si>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</si>
  <si>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</si>
  <si>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</si>
  <si>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</si>
  <si>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</si>
  <si>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</si>
  <si>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</si>
  <si>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</si>
  <si>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</si>
  <si>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</si>
  <si>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</si>
  <si>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</si>
  <si>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</si>
  <si>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</si>
  <si>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</si>
  <si>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</si>
  <si>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</si>
  <si>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</si>
  <si>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</si>
  <si>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</si>
  <si>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</si>
  <si>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</si>
  <si>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</si>
  <si>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</si>
  <si>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</si>
  <si>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</si>
  <si>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</si>
  <si>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</si>
  <si>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</si>
  <si>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</si>
  <si>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</si>
  <si>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</si>
  <si>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</si>
  <si>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</si>
  <si>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</si>
  <si>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</si>
  <si>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</si>
  <si>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</si>
  <si>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</si>
  <si>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</si>
  <si>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</si>
  <si>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</si>
  <si>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</si>
  <si>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</si>
  <si>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</si>
  <si>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</si>
  <si>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</si>
  <si>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</si>
  <si>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</si>
  <si>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</si>
  <si>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</si>
  <si>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</si>
  <si>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</si>
  <si>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</si>
  <si>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</si>
  <si>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</si>
  <si>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</si>
  <si>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</si>
  <si>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</si>
  <si>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</si>
  <si>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</si>
  <si>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</si>
  <si>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</si>
  <si>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</si>
  <si>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</si>
  <si>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</si>
  <si>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</si>
  <si>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</si>
  <si>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</si>
  <si>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</si>
  <si>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</si>
  <si>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</si>
  <si>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</si>
  <si>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</si>
  <si>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</si>
  <si>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</si>
  <si>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</si>
  <si>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</si>
  <si>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</si>
  <si>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</si>
  <si>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</si>
  <si>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</si>
  <si>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</si>
  <si>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</si>
  <si>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</si>
  <si>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</si>
  <si>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</si>
  <si>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</si>
  <si>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</si>
  <si>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</si>
  <si>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</si>
  <si>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</si>
  <si>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</si>
  <si>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</si>
  <si>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</si>
  <si>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</si>
  <si>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</si>
  <si>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</si>
  <si>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</si>
  <si>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</si>
  <si>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</si>
  <si>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</si>
  <si>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</si>
  <si>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</si>
  <si>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</si>
  <si>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</si>
  <si>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</si>
  <si>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</si>
  <si>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</si>
  <si>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</si>
  <si>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</si>
  <si>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</si>
  <si>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</si>
  <si>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</si>
  <si>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</si>
  <si>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</si>
  <si>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</si>
  <si>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</si>
  <si>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</si>
  <si>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</si>
  <si>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</si>
  <si>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</si>
  <si>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</si>
  <si>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</si>
  <si>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</si>
  <si>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</si>
  <si>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</si>
  <si>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</si>
  <si>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</si>
  <si>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</si>
  <si>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</si>
  <si>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</si>
  <si>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</si>
  <si>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</si>
  <si>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</si>
  <si>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</si>
  <si>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</si>
  <si>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</si>
  <si>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</si>
  <si>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</si>
  <si>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</si>
  <si>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</si>
  <si>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</si>
  <si>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</si>
  <si>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</si>
  <si>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</si>
  <si>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</si>
  <si>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</si>
  <si>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</si>
  <si>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</si>
  <si>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</si>
  <si>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</si>
  <si>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</si>
  <si>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</si>
  <si>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</si>
  <si>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</si>
  <si>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</si>
  <si>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</si>
  <si>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</si>
  <si>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</si>
  <si>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</si>
  <si>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</si>
  <si>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</si>
  <si>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</si>
  <si>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</si>
  <si>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</si>
  <si>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</si>
  <si>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</si>
  <si>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</si>
  <si>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</si>
  <si>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</si>
  <si>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</si>
  <si>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</si>
  <si>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</si>
  <si>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</si>
  <si>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</si>
  <si>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</si>
  <si>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</si>
  <si>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</si>
  <si>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</si>
  <si>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</si>
  <si>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</si>
  <si>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</si>
  <si>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</si>
  <si>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</si>
  <si>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</si>
  <si>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</si>
  <si>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</si>
  <si>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</si>
  <si>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</si>
  <si>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</si>
  <si>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</si>
  <si>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</si>
  <si>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</si>
  <si>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</si>
  <si>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</si>
  <si>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</si>
  <si>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</si>
  <si>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</si>
  <si>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</si>
  <si>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</si>
  <si>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</si>
  <si>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</si>
  <si>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</si>
  <si>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</si>
  <si>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</si>
  <si>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</si>
  <si>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</si>
  <si>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</si>
  <si>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</si>
  <si>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</si>
  <si>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</si>
  <si>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</si>
  <si>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</si>
  <si>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</si>
  <si>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</si>
  <si>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</si>
  <si>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</si>
  <si>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</si>
  <si>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</si>
  <si>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</si>
  <si>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</si>
  <si>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</si>
  <si>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</si>
  <si>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</si>
  <si>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</si>
  <si>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</si>
  <si>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</si>
  <si>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</si>
  <si>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</si>
  <si>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</si>
  <si>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</si>
  <si>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</si>
  <si>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</si>
  <si>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</si>
  <si>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</si>
  <si>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</si>
  <si>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</si>
  <si>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</si>
  <si>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</si>
  <si>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</si>
  <si>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</si>
  <si>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</si>
  <si>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</si>
  <si>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</si>
  <si>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</si>
  <si>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</si>
  <si>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</si>
  <si>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</si>
  <si>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</si>
  <si>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</si>
  <si>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</si>
  <si>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</si>
  <si>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</si>
  <si>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</si>
  <si>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</si>
  <si>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</si>
  <si>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</si>
  <si>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</si>
  <si>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</si>
  <si>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</si>
  <si>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</si>
  <si>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</si>
  <si>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</si>
  <si>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</si>
  <si>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</si>
  <si>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</si>
  <si>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</si>
  <si>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</si>
  <si>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</si>
  <si>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</si>
  <si>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</si>
  <si>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</si>
  <si>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</si>
  <si>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</si>
  <si>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</si>
  <si>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</si>
  <si>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</si>
  <si>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</si>
  <si>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</si>
  <si>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</si>
  <si>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</si>
  <si>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</si>
  <si>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</si>
  <si>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</si>
  <si>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</si>
  <si>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</si>
  <si>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</si>
  <si>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</si>
  <si>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</si>
  <si>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</si>
  <si>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</si>
  <si>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</si>
  <si>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</si>
  <si>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</si>
  <si>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</si>
  <si>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</si>
  <si>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</si>
  <si>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</si>
  <si>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</si>
  <si>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</si>
  <si>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</si>
  <si>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</si>
  <si>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</si>
  <si>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</si>
  <si>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</si>
  <si>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</si>
  <si>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</si>
  <si>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</si>
  <si>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</si>
  <si>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</si>
  <si>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</si>
  <si>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</si>
  <si>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</si>
  <si>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</si>
  <si>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</si>
  <si>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</si>
  <si>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</si>
  <si>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</si>
  <si>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</si>
  <si>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</si>
  <si>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</si>
  <si>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</si>
  <si>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</si>
  <si>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</si>
  <si>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</si>
  <si>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</si>
  <si>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</si>
  <si>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</si>
  <si>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</si>
  <si>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</si>
  <si>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</si>
  <si>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</si>
  <si>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</si>
  <si>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</si>
  <si>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</si>
  <si>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</si>
  <si>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</si>
  <si>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</si>
  <si>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</si>
  <si>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</si>
  <si>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</si>
  <si>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</si>
  <si>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</si>
  <si>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</si>
  <si>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</si>
  <si>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</si>
  <si>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</si>
  <si>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</si>
  <si>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</si>
  <si>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</si>
  <si>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</si>
  <si>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</si>
  <si>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</si>
  <si>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</si>
  <si>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</si>
  <si>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</si>
  <si>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</si>
  <si>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</si>
  <si>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</si>
  <si>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</si>
  <si>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</si>
  <si>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</si>
  <si>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</si>
  <si>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</si>
  <si>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</si>
  <si>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</si>
  <si>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</si>
  <si>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</si>
  <si>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</si>
  <si>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</si>
  <si>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</si>
  <si>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</si>
  <si>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</si>
  <si>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</si>
  <si>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</si>
  <si>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</si>
  <si>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</si>
  <si>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</si>
  <si>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</si>
  <si>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</si>
  <si>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</si>
  <si>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</si>
  <si>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</si>
  <si>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</si>
  <si>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</si>
  <si>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</si>
  <si>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</si>
  <si>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</si>
  <si>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</si>
  <si>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</si>
  <si>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</si>
  <si>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</si>
  <si>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</si>
  <si>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</si>
  <si>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</si>
  <si>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</si>
  <si>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</si>
  <si>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</si>
  <si>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</si>
  <si>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</si>
  <si>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</si>
  <si>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</si>
  <si>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</si>
  <si>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</si>
  <si>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</si>
  <si>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</si>
  <si>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</si>
  <si>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</si>
  <si>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</si>
  <si>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</si>
  <si>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</si>
  <si>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</si>
  <si>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</si>
  <si>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</si>
  <si>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</si>
  <si>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</si>
  <si>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</si>
  <si>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</si>
  <si>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</si>
  <si>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</si>
  <si>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</si>
  <si>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</si>
  <si>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</si>
  <si>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</si>
  <si>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</si>
  <si>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</si>
  <si>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</si>
  <si>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</si>
  <si>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</si>
  <si>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</si>
  <si>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</si>
  <si>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</si>
  <si>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</si>
  <si>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</si>
  <si>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</si>
  <si>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</si>
  <si>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</si>
  <si>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</si>
  <si>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</si>
  <si>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</si>
  <si>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</si>
  <si>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</si>
  <si>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</si>
  <si>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</si>
  <si>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</si>
  <si>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</si>
  <si>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</si>
  <si>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</si>
  <si>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</si>
  <si>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</si>
  <si>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</si>
  <si>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</si>
  <si>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</si>
  <si>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</si>
  <si>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</si>
  <si>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</si>
  <si>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</si>
  <si>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</si>
  <si>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</si>
  <si>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</si>
  <si>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</si>
  <si>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</si>
  <si>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</si>
  <si>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</si>
  <si>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</si>
  <si>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</si>
  <si>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</si>
  <si>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</si>
  <si>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</si>
  <si>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</si>
  <si>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</si>
  <si>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</si>
  <si>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</si>
  <si>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</si>
  <si>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</si>
  <si>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</si>
  <si>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</si>
  <si>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</si>
  <si>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</si>
  <si>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</si>
  <si>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</si>
  <si>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</si>
  <si>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</si>
  <si>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</si>
  <si>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</si>
  <si>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</si>
  <si>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</si>
  <si>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</si>
  <si>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</si>
  <si>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</si>
  <si>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</si>
  <si>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</si>
  <si>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</si>
  <si>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</si>
  <si>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</si>
  <si>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</si>
  <si>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</si>
  <si>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</si>
  <si>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</si>
  <si>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</si>
  <si>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</si>
  <si>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</si>
  <si>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</si>
  <si>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</si>
  <si>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</si>
  <si>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</si>
  <si>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</si>
  <si>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</si>
  <si>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</si>
  <si>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</si>
  <si>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</si>
  <si>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</si>
  <si>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</si>
  <si>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</si>
  <si>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</si>
  <si>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</si>
  <si>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</si>
  <si>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</si>
  <si>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</si>
  <si>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</si>
  <si>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</si>
  <si>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</si>
  <si>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</si>
  <si>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</si>
  <si>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</si>
  <si>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</si>
  <si>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</si>
  <si>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</si>
  <si>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</si>
  <si>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</si>
  <si>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</si>
  <si>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</si>
  <si>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</si>
  <si>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</si>
  <si>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</si>
  <si>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</si>
  <si>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</si>
  <si>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</si>
  <si>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</si>
  <si>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</si>
  <si>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</si>
  <si>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</si>
  <si>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</si>
  <si>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</si>
  <si>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</si>
  <si>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</si>
  <si>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</si>
  <si>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</si>
  <si>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</si>
  <si>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</si>
  <si>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</si>
  <si>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</si>
  <si>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</si>
  <si>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</si>
  <si>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</si>
  <si>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</si>
  <si>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</si>
  <si>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</si>
  <si>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</si>
  <si>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</si>
  <si>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</si>
  <si>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</si>
  <si>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</si>
  <si>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</si>
  <si>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</si>
  <si>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</si>
  <si>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</si>
  <si>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</si>
  <si>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</si>
  <si>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</si>
  <si>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</si>
  <si>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</si>
  <si>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</si>
  <si>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</si>
  <si>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</si>
  <si>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</si>
  <si>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</si>
  <si>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</si>
  <si>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</si>
  <si>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</si>
  <si>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</si>
  <si>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</si>
  <si>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</si>
  <si>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</si>
  <si>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</si>
  <si>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</si>
  <si>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</si>
  <si>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</si>
  <si>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</si>
  <si>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</si>
  <si>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</si>
  <si>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</si>
  <si>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</si>
  <si>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</si>
  <si>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</si>
  <si>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</si>
  <si>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</si>
  <si>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</si>
  <si>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</si>
  <si>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</si>
  <si>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</si>
  <si>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</si>
  <si>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</si>
  <si>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</si>
  <si>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</si>
  <si>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</si>
  <si>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</si>
  <si>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</si>
  <si>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</si>
  <si>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</si>
  <si>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</si>
  <si>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</si>
  <si>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</si>
  <si>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</si>
  <si>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</si>
  <si>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</si>
  <si>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</si>
  <si>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</si>
  <si>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</si>
  <si>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</si>
  <si>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</si>
  <si>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</si>
  <si>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</si>
  <si>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</si>
  <si>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</si>
  <si>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</si>
  <si>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</si>
  <si>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</si>
  <si>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</si>
  <si>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</si>
  <si>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</si>
  <si>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</si>
  <si>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</si>
  <si>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</si>
  <si>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</si>
  <si>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</si>
  <si>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</si>
  <si>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</si>
  <si>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</si>
  <si>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</si>
  <si>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</si>
  <si>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</si>
  <si>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</si>
  <si>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</si>
  <si>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</si>
  <si>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</si>
  <si>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</si>
  <si>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</si>
  <si>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</si>
  <si>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</si>
  <si>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</si>
  <si>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</si>
  <si>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</si>
  <si>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</si>
  <si>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</si>
  <si>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</si>
  <si>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</si>
  <si>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</si>
  <si>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</si>
  <si>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</si>
  <si>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</si>
  <si>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</si>
  <si>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</si>
  <si>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</si>
  <si>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</si>
  <si>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</si>
  <si>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</si>
  <si>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</si>
  <si>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</si>
  <si>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</si>
  <si>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</si>
  <si>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</si>
  <si>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</si>
  <si>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</si>
  <si>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</si>
  <si>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</si>
  <si>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</si>
  <si>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</si>
  <si>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</si>
  <si>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</si>
  <si>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</si>
  <si>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</si>
  <si>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</si>
  <si>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</si>
  <si>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</si>
  <si>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</si>
  <si>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</si>
  <si>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</si>
  <si>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</si>
  <si>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</si>
  <si>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</si>
  <si>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</si>
  <si>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</si>
  <si>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</si>
  <si>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</si>
  <si>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</si>
  <si>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</si>
  <si>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</si>
  <si>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</si>
  <si>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</si>
  <si>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</si>
  <si>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</si>
  <si>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</si>
  <si>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</si>
  <si>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</si>
  <si>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</si>
  <si>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</si>
  <si>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</si>
  <si>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</si>
  <si>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</si>
  <si>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</si>
  <si>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</si>
  <si>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</si>
  <si>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</si>
  <si>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</si>
  <si>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</si>
  <si>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</si>
  <si>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</si>
  <si>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</si>
  <si>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</si>
  <si>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</si>
  <si>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</si>
  <si>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</si>
  <si>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</si>
  <si>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</si>
  <si>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</si>
  <si>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</si>
  <si>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</si>
  <si>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</si>
  <si>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</si>
  <si>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</si>
  <si>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</si>
  <si>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</si>
  <si>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</si>
  <si>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</si>
  <si>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</si>
  <si>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</si>
  <si>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</si>
  <si>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</si>
  <si>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</si>
  <si>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</si>
  <si>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</si>
  <si>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</si>
  <si>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</si>
  <si>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</si>
  <si>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</si>
  <si>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</si>
  <si>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</si>
  <si>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</si>
  <si>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</si>
  <si>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</si>
  <si>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</si>
  <si>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</si>
  <si>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</si>
  <si>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</si>
  <si>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</si>
  <si>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</si>
  <si>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</si>
  <si>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</si>
  <si>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</si>
  <si>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</si>
  <si>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</si>
  <si>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</si>
  <si>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</si>
  <si>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</si>
  <si>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</si>
  <si>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</si>
  <si>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</si>
  <si>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</si>
  <si>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</si>
  <si>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</si>
  <si>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</si>
  <si>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</si>
  <si>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</si>
  <si>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</si>
  <si>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</si>
  <si>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</si>
  <si>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</si>
  <si>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</si>
  <si>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</si>
  <si>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</si>
  <si>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</si>
  <si>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</si>
  <si>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</si>
  <si>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</si>
  <si>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</si>
  <si>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</si>
  <si>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</si>
  <si>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</si>
  <si>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</si>
  <si>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</si>
  <si>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</si>
  <si>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</si>
  <si>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</si>
  <si>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</si>
  <si>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</si>
  <si>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</si>
  <si>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</si>
  <si>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</si>
  <si>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</si>
  <si>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</si>
  <si>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</si>
  <si>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</si>
  <si>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</si>
  <si>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</si>
  <si>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</si>
  <si>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</si>
  <si>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</si>
  <si>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</si>
  <si>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</si>
  <si>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</si>
  <si>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</si>
  <si>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</si>
  <si>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</si>
  <si>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</si>
  <si>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</si>
  <si>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</si>
  <si>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</si>
  <si>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</si>
  <si>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</si>
  <si>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</si>
  <si>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</si>
  <si>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</si>
  <si>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</si>
  <si>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</si>
  <si>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</si>
  <si>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</si>
  <si>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</si>
  <si>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</si>
  <si>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</si>
  <si>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</si>
  <si>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</si>
  <si>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</si>
  <si>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</si>
  <si>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</si>
  <si>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</si>
  <si>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</si>
  <si>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</si>
  <si>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</si>
  <si>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</si>
  <si>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</si>
  <si>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</si>
  <si>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</si>
  <si>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</si>
  <si>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</si>
  <si>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</si>
  <si>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</si>
  <si>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</si>
  <si>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</si>
  <si>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</si>
  <si>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</si>
  <si>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</si>
  <si>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</si>
  <si>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</si>
  <si>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</si>
  <si>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</si>
  <si>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</si>
  <si>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</si>
  <si>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</si>
  <si>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</si>
  <si>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</si>
  <si>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</si>
  <si>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</si>
  <si>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</si>
  <si>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</si>
  <si>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</si>
  <si>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</si>
  <si>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</si>
  <si>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</si>
  <si>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</si>
  <si>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</si>
  <si>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</si>
  <si>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</si>
  <si>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</si>
  <si>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</si>
  <si>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</si>
  <si>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</si>
  <si>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</si>
  <si>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</si>
  <si>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</si>
  <si>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</si>
  <si>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</si>
  <si>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</si>
  <si>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</si>
  <si>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</si>
  <si>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</si>
  <si>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</si>
  <si>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</si>
  <si>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</si>
  <si>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</si>
  <si>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</si>
  <si>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</si>
  <si>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</si>
  <si>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</si>
  <si>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</si>
  <si>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</si>
  <si>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</si>
  <si>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</si>
  <si>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</si>
  <si>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</si>
  <si>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</si>
  <si>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</si>
  <si>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</si>
  <si>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</si>
  <si>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</si>
  <si>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</si>
  <si>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</si>
  <si>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</si>
  <si>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</si>
  <si>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</si>
  <si>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</si>
  <si>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</si>
  <si>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</si>
  <si>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</si>
  <si>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</si>
  <si>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</si>
  <si>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</si>
  <si>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</si>
  <si>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</si>
  <si>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</si>
  <si>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</si>
  <si>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</si>
  <si>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</si>
  <si>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</si>
  <si>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</si>
  <si>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</si>
  <si>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</si>
  <si>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</si>
  <si>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</si>
  <si>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</si>
  <si>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</si>
  <si>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</si>
  <si>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</si>
  <si>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</si>
  <si>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</si>
  <si>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</si>
  <si>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</si>
  <si>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</si>
  <si>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</si>
  <si>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</si>
  <si>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</si>
  <si>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</si>
  <si>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</si>
  <si>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</si>
  <si>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</si>
  <si>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</si>
  <si>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</si>
  <si>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</si>
  <si>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</si>
  <si>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</si>
  <si>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</si>
  <si>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</si>
  <si>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</si>
  <si>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</si>
  <si>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</si>
  <si>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</si>
  <si>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</si>
  <si>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</si>
  <si>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</si>
  <si>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</si>
  <si>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</si>
  <si>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</si>
  <si>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</si>
  <si>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</si>
  <si>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</si>
  <si>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</si>
  <si>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</si>
  <si>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</si>
  <si>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</si>
  <si>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</si>
  <si>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</si>
  <si>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</si>
  <si>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</si>
  <si>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</si>
  <si>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</si>
  <si>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</si>
  <si>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</si>
  <si>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</si>
  <si>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</si>
  <si>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</si>
  <si>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</si>
  <si>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</si>
  <si>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</si>
  <si>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</si>
  <si>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</si>
  <si>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</si>
  <si>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</si>
  <si>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</si>
  <si>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</si>
  <si>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</si>
  <si>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</si>
  <si>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</si>
  <si>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</si>
  <si>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</si>
  <si>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</si>
  <si>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</si>
  <si>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</si>
  <si>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</si>
  <si>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</si>
  <si>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</si>
  <si>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</si>
  <si>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</si>
  <si>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</si>
  <si>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</si>
  <si>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</si>
  <si>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</si>
  <si>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</si>
  <si>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</si>
  <si>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</si>
  <si>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</si>
  <si>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</si>
  <si>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</si>
  <si>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</si>
  <si>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</si>
  <si>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</si>
  <si>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</si>
  <si>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</si>
  <si>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</si>
  <si>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</si>
  <si>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</si>
  <si>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</si>
  <si>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</si>
  <si>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</si>
  <si>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</si>
  <si>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</si>
  <si>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</si>
  <si>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</si>
  <si>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</si>
  <si>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</si>
  <si>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</si>
  <si>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</si>
  <si>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</si>
  <si>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</si>
  <si>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</si>
  <si>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</si>
  <si>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</si>
  <si>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</si>
  <si>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</si>
  <si>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</si>
  <si>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</si>
  <si>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</si>
  <si>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</si>
  <si>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</si>
  <si>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</si>
  <si>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</si>
  <si>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</si>
  <si>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</si>
  <si>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</si>
  <si>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</si>
  <si>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</si>
  <si>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</si>
  <si>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</si>
  <si>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</si>
  <si>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</si>
  <si>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</si>
  <si>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</si>
  <si>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</si>
  <si>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</si>
  <si>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</si>
  <si>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</si>
  <si>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</si>
  <si>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</si>
  <si>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</si>
  <si>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</si>
  <si>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</si>
  <si>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</si>
  <si>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</si>
  <si>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</si>
  <si>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</si>
  <si>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</si>
  <si>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</si>
  <si>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</si>
  <si>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</si>
  <si>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</si>
  <si>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</si>
  <si>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</si>
  <si>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</si>
  <si>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</si>
  <si>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</si>
  <si>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</si>
  <si>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</si>
  <si>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</si>
  <si>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</si>
  <si>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</si>
  <si>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</si>
  <si>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</si>
  <si>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</si>
  <si>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</si>
  <si>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</si>
  <si>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</si>
  <si>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</si>
  <si>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</si>
  <si>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</si>
  <si>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</si>
  <si>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</si>
  <si>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</si>
  <si>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</si>
  <si>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</si>
  <si>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</si>
  <si>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</si>
  <si>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</si>
  <si>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</si>
  <si>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</si>
  <si>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</si>
  <si>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</si>
  <si>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</si>
  <si>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</si>
  <si>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</si>
  <si>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</si>
  <si>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</si>
  <si>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</si>
  <si>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</si>
  <si>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</si>
  <si>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</si>
  <si>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</si>
  <si>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</si>
  <si>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</si>
  <si>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</si>
  <si>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</si>
  <si>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</si>
  <si>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</si>
  <si>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</si>
  <si>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</si>
  <si>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</si>
  <si>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</si>
  <si>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</si>
  <si>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</si>
  <si>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</si>
  <si>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</si>
  <si>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</si>
  <si>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</si>
  <si>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</si>
  <si>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</si>
  <si>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</si>
  <si>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</si>
  <si>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</si>
  <si>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</si>
  <si>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</si>
  <si>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</si>
  <si>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</si>
  <si>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</si>
  <si>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</si>
  <si>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</si>
  <si>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</si>
  <si>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</si>
  <si>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</si>
  <si>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</si>
  <si>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</si>
  <si>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</si>
  <si>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</si>
  <si>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</si>
  <si>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</si>
  <si>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</si>
  <si>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</si>
  <si>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</si>
  <si>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</si>
  <si>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</si>
  <si>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</si>
  <si>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</si>
  <si>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</si>
  <si>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</si>
  <si>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</si>
  <si>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</si>
  <si>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</si>
  <si>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</si>
  <si>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</si>
  <si>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</si>
  <si>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</si>
  <si>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</si>
  <si>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</si>
  <si>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</si>
  <si>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</si>
  <si>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</si>
  <si>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</si>
  <si>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</si>
  <si>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</si>
  <si>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</si>
  <si>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</si>
  <si>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</si>
  <si>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</si>
  <si>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</si>
  <si>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</si>
  <si>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</si>
  <si>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</si>
  <si>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</si>
  <si>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</si>
  <si>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</si>
  <si>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</si>
  <si>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</si>
  <si>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</si>
  <si>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</si>
  <si>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</si>
  <si>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</si>
  <si>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</si>
  <si>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</si>
  <si>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</si>
  <si>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</si>
  <si>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</si>
  <si>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</si>
  <si>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</si>
  <si>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</si>
  <si>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</si>
  <si>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</si>
  <si>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</si>
  <si>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</si>
  <si>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</si>
  <si>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</si>
  <si>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</si>
  <si>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</si>
  <si>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</si>
  <si>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</si>
  <si>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</si>
  <si>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</si>
  <si>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</si>
  <si>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</si>
  <si>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</si>
  <si>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</si>
  <si>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</si>
  <si>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</si>
  <si>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</si>
  <si>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</si>
  <si>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</si>
  <si>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</si>
  <si>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</si>
  <si>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</si>
  <si>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</si>
  <si>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</si>
  <si>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</si>
  <si>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</si>
  <si>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</si>
  <si>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</si>
  <si>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</si>
  <si>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</si>
  <si>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</si>
  <si>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</si>
  <si>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</si>
  <si>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</si>
  <si>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</si>
  <si>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</si>
  <si>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</si>
  <si>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</si>
  <si>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</si>
  <si>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</si>
  <si>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</si>
  <si>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</si>
  <si>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</si>
  <si>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</si>
  <si>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</si>
  <si>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</si>
  <si>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</si>
  <si>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</si>
  <si>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</si>
  <si>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</si>
  <si>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</si>
  <si>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</si>
  <si>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</si>
  <si>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</si>
  <si>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</si>
  <si>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</si>
  <si>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</si>
  <si>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</si>
  <si>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</si>
  <si>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</si>
  <si>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</si>
  <si>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</si>
  <si>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</si>
  <si>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</si>
  <si>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</si>
  <si>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</si>
  <si>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</si>
  <si>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</si>
  <si>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</si>
  <si>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</si>
  <si>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</si>
  <si>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</si>
  <si>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</si>
  <si>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</si>
  <si>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</si>
  <si>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</si>
  <si>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</si>
  <si>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</si>
  <si>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</si>
  <si>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</si>
  <si>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</si>
  <si>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</si>
  <si>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</si>
  <si>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</si>
  <si>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</si>
  <si>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</si>
  <si>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</si>
  <si>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</si>
  <si>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</si>
  <si>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</si>
  <si>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</si>
  <si>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</si>
  <si>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</si>
  <si>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</si>
  <si>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</si>
  <si>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</si>
  <si>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</si>
  <si>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</si>
  <si>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</si>
  <si>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</si>
  <si>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</si>
  <si>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</si>
  <si>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</si>
  <si>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</si>
  <si>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</si>
  <si>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</si>
  <si>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</si>
  <si>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</si>
  <si>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</si>
  <si>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</si>
  <si>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</si>
  <si>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</si>
  <si>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</si>
  <si>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</si>
  <si>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</si>
  <si>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</si>
  <si>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</si>
  <si>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</si>
  <si>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</si>
  <si>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</si>
  <si>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</si>
  <si>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</si>
  <si>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</si>
  <si>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</si>
  <si>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</si>
  <si>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</si>
  <si>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</si>
  <si>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</si>
  <si>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</si>
  <si>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</si>
  <si>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</si>
  <si>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</si>
  <si>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</si>
  <si>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</si>
  <si>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</si>
  <si>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</si>
  <si>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</si>
  <si>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</si>
  <si>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</si>
  <si>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</si>
  <si>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</si>
  <si>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</si>
  <si>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</si>
  <si>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</si>
  <si>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</si>
  <si>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</si>
  <si>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</si>
  <si>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</si>
  <si>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</si>
  <si>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</si>
  <si>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</si>
  <si>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</si>
  <si>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</si>
  <si>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</si>
  <si>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</si>
  <si>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</si>
  <si>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</si>
  <si>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</si>
  <si>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</si>
  <si>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</si>
  <si>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</si>
  <si>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</si>
  <si>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</si>
  <si>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</si>
  <si>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</si>
  <si>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</si>
  <si>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</si>
  <si>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</si>
  <si>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</si>
  <si>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</si>
  <si>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</si>
  <si>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</si>
  <si>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</si>
  <si>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</si>
  <si>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</si>
  <si>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</si>
  <si>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</si>
  <si>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</si>
  <si>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</si>
  <si>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</si>
  <si>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</si>
  <si>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</si>
  <si>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</si>
  <si>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</si>
  <si>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</si>
  <si>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</si>
  <si>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</si>
  <si>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</si>
  <si>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</si>
  <si>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</si>
  <si>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</si>
  <si>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</si>
  <si>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</si>
  <si>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</si>
  <si>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</si>
  <si>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</si>
  <si>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</si>
  <si>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</si>
  <si>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</si>
  <si>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</si>
  <si>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</si>
  <si>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</si>
  <si>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</si>
  <si>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</si>
  <si>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</si>
  <si>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</si>
  <si>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</si>
  <si>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</si>
  <si>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</si>
  <si>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</si>
  <si>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</si>
  <si>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</si>
  <si>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</si>
  <si>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</si>
  <si>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</si>
  <si>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</si>
  <si>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</si>
  <si>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</si>
  <si>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</si>
  <si>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</si>
  <si>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</si>
  <si>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</si>
  <si>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</si>
  <si>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</si>
  <si>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</si>
  <si>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</si>
  <si>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</si>
  <si>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</si>
  <si>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</si>
  <si>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</si>
  <si>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</si>
  <si>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</si>
  <si>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</si>
  <si>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</si>
  <si>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</si>
  <si>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</si>
  <si>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</si>
  <si>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</si>
  <si>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</si>
  <si>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</si>
  <si>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</si>
  <si>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</si>
  <si>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</si>
  <si>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</si>
  <si>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</si>
  <si>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</si>
  <si>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</si>
  <si>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</si>
  <si>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</si>
  <si>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</si>
  <si>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</si>
  <si>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</si>
  <si>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</si>
  <si>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</si>
  <si>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</si>
  <si>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</si>
  <si>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</si>
  <si>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</si>
  <si>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</si>
  <si>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</si>
  <si>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</si>
  <si>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</si>
  <si>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</si>
  <si>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</si>
  <si>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</si>
  <si>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</si>
  <si>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</si>
  <si>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</si>
  <si>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</si>
  <si>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</si>
  <si>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</si>
  <si>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</si>
  <si>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</si>
  <si>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</si>
  <si>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</si>
  <si>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</si>
  <si>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</si>
  <si>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</si>
  <si>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</si>
  <si>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</si>
  <si>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</si>
  <si>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</si>
  <si>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</si>
  <si>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</si>
  <si>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</si>
  <si>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</si>
  <si>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</si>
  <si>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</si>
  <si>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</si>
  <si>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</si>
  <si>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</si>
  <si>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</si>
  <si>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</si>
  <si>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</si>
  <si>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</si>
  <si>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</si>
  <si>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</si>
  <si>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</si>
  <si>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</si>
  <si>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</si>
  <si>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</si>
  <si>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</si>
  <si>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</si>
  <si>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</si>
  <si>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</si>
  <si>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</si>
  <si>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</si>
  <si>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</si>
  <si>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</si>
  <si>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</si>
  <si>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</si>
  <si>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</si>
  <si>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</si>
  <si>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</si>
  <si>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</si>
  <si>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</si>
  <si>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</si>
  <si>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</si>
  <si>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</si>
  <si>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</si>
  <si>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</si>
  <si>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</si>
  <si>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</si>
  <si>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</si>
  <si>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</si>
  <si>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</si>
  <si>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</si>
  <si>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</si>
  <si>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</si>
  <si>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</si>
  <si>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</si>
  <si>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</si>
  <si>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</si>
  <si>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</si>
  <si>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</si>
  <si>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</si>
  <si>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</si>
  <si>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</si>
  <si>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</si>
  <si>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</si>
  <si>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</si>
  <si>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</si>
  <si>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</si>
  <si>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</si>
  <si>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</si>
  <si>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</si>
  <si>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</si>
  <si>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</si>
  <si>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</si>
  <si>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</si>
  <si>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</si>
  <si>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</si>
  <si>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</si>
  <si>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</si>
  <si>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</si>
  <si>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</si>
  <si>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</si>
  <si>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</si>
  <si>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</si>
  <si>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</si>
  <si>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</si>
  <si>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</si>
  <si>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</si>
  <si>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</si>
  <si>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</si>
  <si>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</si>
  <si>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</si>
  <si>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</si>
  <si>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</si>
  <si>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</si>
  <si>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</si>
  <si>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</si>
  <si>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</si>
  <si>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</si>
  <si>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</si>
  <si>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</si>
  <si>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</si>
  <si>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</si>
  <si>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</si>
  <si>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</si>
  <si>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</si>
  <si>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</si>
  <si>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</si>
  <si>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</si>
  <si>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</si>
  <si>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</si>
  <si>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</si>
  <si>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</si>
  <si>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</si>
  <si>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</si>
  <si>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</si>
  <si>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</si>
  <si>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</si>
  <si>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</si>
  <si>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</si>
  <si>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</si>
  <si>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</si>
  <si>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</si>
  <si>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</si>
  <si>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</si>
  <si>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</si>
  <si>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</si>
  <si>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</si>
  <si>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</si>
  <si>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</si>
  <si>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</si>
  <si>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</si>
  <si>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</si>
  <si>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</si>
  <si>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</si>
  <si>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</si>
  <si>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</si>
  <si>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</si>
  <si>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</si>
  <si>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</si>
  <si>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</si>
  <si>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</si>
  <si>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</si>
  <si>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</si>
  <si>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</si>
  <si>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</si>
  <si>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</si>
  <si>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</si>
  <si>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</si>
  <si>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</si>
  <si>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</si>
  <si>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</si>
  <si>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</si>
  <si>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</si>
  <si>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</si>
  <si>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</si>
  <si>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</si>
  <si>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</si>
  <si>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</si>
  <si>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</si>
  <si>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商务金融用地</t>
  </si>
  <si>
    <t>不临65条商业街</t>
  </si>
  <si>
    <t>与级别开发程度一致</t>
  </si>
  <si>
    <t>容积率修正</t>
  </si>
  <si>
    <t>宗地容积率</t>
  </si>
  <si>
    <t>较好</t>
  </si>
  <si>
    <t>一般</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</si>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</sst>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2022年6月21日（评估专业人员实地查勘之日）</v>
      </c>
    </row>
    <row r="13" spans="1:2" s="1157" customFormat="1">
      <c r="A13" s="1155" t="s">
        <v>766</v>
      </c>
      <c r="B13" s="1156" t="str">
        <f>'预评函-1'!A18</f>
        <v>本次估价的“房地产价值”是指在正常市场情况下，在价值时点2022年6月21日，估价对象规划用途为，土地取得方式为，假定未设立法定优先受偿款下的房地产市场价值。</v>
      </c>
    </row>
    <row r="14" spans="1:2" s="1157" customFormat="1">
      <c r="A14" s="1155" t="s">
        <v>767</v>
      </c>
      <c r="B14" s="115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79" t="str">
        <f>IF(B10="北京市","北京市",C10)&amp;F10&amp;IF(结果表!G1="在建","出让国有建设用地使用权及在建建筑物",IF(结果表!G1="土地","出让国有建设用地使用权",))&amp;B9&amp;"预评估"</f>
        <v>预评估</v>
      </c>
      <c r="C1" s="3380"/>
      <c r="D1" s="3380"/>
      <c r="E1" s="3380"/>
      <c r="F1" s="3380"/>
      <c r="G1" s="3380"/>
      <c r="H1" s="3380"/>
      <c r="I1" s="338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房地产</v>
      </c>
      <c r="T2" s="1685"/>
      <c r="U2" s="1685"/>
      <c r="V2" s="1685"/>
      <c r="W2" s="1685"/>
      <c r="X2" s="1685"/>
      <c r="Y2" s="1685"/>
      <c r="Z2" s="1685"/>
      <c r="AA2" s="1685"/>
      <c r="AB2" s="1685"/>
    </row>
    <row r="3" spans="1:28">
      <c r="A3" s="303" t="s">
        <v>2457</v>
      </c>
      <c r="B3" s="2050">
        <v>44733</v>
      </c>
      <c r="C3" s="2051" t="s">
        <v>2458</v>
      </c>
      <c r="D3" s="2050">
        <f>B3</f>
        <v>44733</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2" t="s">
        <v>2464</v>
      </c>
      <c r="E8" s="2068"/>
      <c r="F8" s="2069"/>
      <c r="G8" s="2343"/>
      <c r="H8" s="2343"/>
      <c r="I8" s="2343"/>
      <c r="J8" s="2118"/>
      <c r="K8" s="2293"/>
      <c r="L8" s="2292"/>
      <c r="M8" s="2292"/>
      <c r="N8" s="2118"/>
      <c r="O8" s="2129"/>
      <c r="P8" s="2118"/>
      <c r="Q8" s="2118"/>
      <c r="R8" s="2118"/>
    </row>
    <row r="9" spans="1:28" ht="13.5" thickBot="1">
      <c r="A9" s="2070" t="s">
        <v>2465</v>
      </c>
      <c r="B9" s="2071"/>
      <c r="C9" s="2072"/>
      <c r="D9" s="3383"/>
      <c r="E9" s="2071"/>
      <c r="F9" s="2073"/>
      <c r="G9" s="2345"/>
      <c r="H9" s="2345"/>
      <c r="I9" s="2345"/>
      <c r="J9" s="2118"/>
      <c r="K9" s="2295"/>
      <c r="L9" s="2292"/>
      <c r="M9" s="2292"/>
      <c r="N9" s="2118"/>
      <c r="O9" s="2129"/>
      <c r="P9" s="2118"/>
      <c r="Q9" s="2118"/>
      <c r="R9" s="2118"/>
    </row>
    <row r="10" spans="1:28" ht="13.5" thickTop="1">
      <c r="A10" s="2074" t="s">
        <v>2466</v>
      </c>
      <c r="B10" s="2075"/>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c r="C11" s="2080"/>
      <c r="D11" s="2081"/>
      <c r="E11" s="2047"/>
      <c r="F11" s="2047"/>
      <c r="G11" s="2047"/>
      <c r="H11" s="2047"/>
      <c r="I11" s="2047"/>
      <c r="J11" s="2118"/>
      <c r="K11" s="2295"/>
      <c r="L11" s="2292"/>
      <c r="M11" s="2292"/>
      <c r="N11" s="2118"/>
      <c r="O11" s="2129"/>
      <c r="P11" s="2118"/>
      <c r="Q11" s="2118"/>
      <c r="R11" s="2118"/>
    </row>
    <row r="12" spans="1:28">
      <c r="A12" s="2082" t="s">
        <v>2469</v>
      </c>
      <c r="B12" s="2079"/>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c r="J13" s="2118"/>
      <c r="K13" s="2295"/>
      <c r="L13" s="2292"/>
      <c r="M13" s="2292"/>
      <c r="N13" s="2118"/>
      <c r="O13" s="2129"/>
      <c r="P13" s="2118"/>
      <c r="Q13" s="2118"/>
      <c r="R13" s="2118"/>
    </row>
    <row r="14" spans="1:28">
      <c r="A14" s="1046"/>
      <c r="B14" s="2084"/>
      <c r="C14" s="2085" t="s">
        <v>2478</v>
      </c>
      <c r="D14" s="2086"/>
      <c r="E14" s="2086"/>
      <c r="F14" s="2086"/>
      <c r="G14" s="2086"/>
      <c r="H14" s="2086"/>
      <c r="I14" s="2086"/>
      <c r="J14" s="2118"/>
      <c r="K14" s="2296"/>
      <c r="L14" s="2292"/>
      <c r="M14" s="2292"/>
      <c r="N14" s="2118"/>
      <c r="O14" s="2129"/>
      <c r="P14" s="2118"/>
      <c r="Q14" s="2118"/>
      <c r="R14" s="2118"/>
    </row>
    <row r="15" spans="1:28">
      <c r="A15" s="321"/>
      <c r="B15" s="2087"/>
      <c r="C15" s="2088" t="s">
        <v>2479</v>
      </c>
      <c r="D15" s="2089">
        <f>IF(B12="出让",IF(D13="","",ROUNDDOWN(MIN((D13-$D$3)/365,D14),2)),D14)</f>
        <v>0</v>
      </c>
      <c r="E15" s="2089">
        <f>IF(B12="出让",IF(E13="","",ROUNDDOWN(MIN((E13-$D$3)/365,E14),2)),E14)</f>
        <v>0</v>
      </c>
      <c r="F15" s="2089">
        <f>IF(B12="出让",IF(F13="","",ROUNDDOWN(MIN((F13-$D$3)/365,F14),2)),F14)</f>
        <v>0</v>
      </c>
      <c r="G15" s="2089">
        <f>IF(B12="出让",IF(G13="","",ROUNDDOWN(MIN((G13-$D$3)/365,G14),2)),G14)</f>
        <v>0</v>
      </c>
      <c r="H15" s="2089">
        <f>IF(B12="出让",IF(H13="","",ROUNDDOWN(MIN((H13-$D$3)/365,H14),2)),H14)</f>
        <v>0</v>
      </c>
      <c r="I15" s="2089">
        <f>IF(B12="出让",IF(I13="","",ROUNDDOWN(MIN((I13-$D$3)/365,I14),2)),I14)</f>
        <v>0</v>
      </c>
      <c r="J15" s="2118"/>
      <c r="K15" s="2297"/>
      <c r="L15" s="2130"/>
      <c r="M15" s="2130"/>
      <c r="N15" s="2188"/>
      <c r="O15" s="2130"/>
      <c r="P15" s="2188"/>
      <c r="Q15" s="2118"/>
      <c r="R15" s="2118"/>
    </row>
    <row r="16" spans="1:28">
      <c r="A16" s="2077" t="s">
        <v>2480</v>
      </c>
      <c r="B16" s="3389"/>
      <c r="C16" s="3390"/>
      <c r="D16" s="3391"/>
      <c r="E16" s="2092" t="s">
        <v>2481</v>
      </c>
      <c r="F16" s="3392"/>
      <c r="G16" s="3393"/>
      <c r="H16" s="3393"/>
      <c r="I16" s="3394"/>
      <c r="J16" s="2118"/>
      <c r="K16" s="2297"/>
      <c r="L16" s="2130"/>
      <c r="M16" s="2130"/>
      <c r="N16" s="2188"/>
      <c r="O16" s="2130"/>
      <c r="P16" s="2188"/>
      <c r="Q16" s="2118"/>
      <c r="R16" s="2118"/>
    </row>
    <row r="17" spans="1:28">
      <c r="A17" s="314" t="s">
        <v>2482</v>
      </c>
      <c r="B17" s="303" t="s">
        <v>2483</v>
      </c>
      <c r="C17" s="10">
        <f>'数据-汇总表'!E3</f>
        <v>0</v>
      </c>
      <c r="D17" s="1998" t="s">
        <v>2484</v>
      </c>
      <c r="E17" s="3395" t="s">
        <v>2485</v>
      </c>
      <c r="F17" s="3396"/>
      <c r="G17" s="3396"/>
      <c r="H17" s="3396"/>
      <c r="I17" s="3397"/>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398" t="s">
        <v>2489</v>
      </c>
      <c r="F18" s="3399"/>
      <c r="G18" s="3399"/>
      <c r="H18" s="3399"/>
      <c r="I18" s="3400"/>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85" t="s">
        <v>2493</v>
      </c>
      <c r="C20" s="3386"/>
      <c r="D20" s="3387" t="s">
        <v>2494</v>
      </c>
      <c r="E20" s="3388"/>
      <c r="F20" s="2327" t="s">
        <v>1304</v>
      </c>
      <c r="G20" s="2344"/>
      <c r="H20" s="2344"/>
      <c r="I20" s="2344"/>
      <c r="J20" s="2118"/>
      <c r="K20" s="338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8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8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402"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402"/>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402"/>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403"/>
      <c r="B30" s="303" t="s">
        <v>2505</v>
      </c>
      <c r="C30" s="3404"/>
      <c r="D30" s="3405"/>
      <c r="E30" s="2344"/>
      <c r="F30" s="2344"/>
      <c r="G30" s="2344"/>
      <c r="H30" s="2344"/>
      <c r="I30" s="2344"/>
      <c r="J30" s="2118"/>
      <c r="K30" s="2295"/>
      <c r="L30" s="2292"/>
      <c r="M30" s="2292"/>
      <c r="N30" s="2118"/>
      <c r="O30" s="2129"/>
      <c r="P30" s="2118"/>
      <c r="Q30" s="2118"/>
      <c r="R30" s="2118"/>
      <c r="S30" s="2118"/>
      <c r="T30" s="2118"/>
      <c r="U30" s="2118"/>
      <c r="V30" s="2118"/>
    </row>
    <row r="31" spans="1:28">
      <c r="A31" s="3406"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40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40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401" t="s">
        <v>2515</v>
      </c>
      <c r="T34" s="2107" t="str">
        <f>NUMBERSTRING(7-K34,1)&amp;"通"</f>
        <v>七通</v>
      </c>
      <c r="U34" s="2118"/>
      <c r="V34" s="2118"/>
    </row>
    <row r="35" spans="1:30">
      <c r="A35" s="2108"/>
      <c r="B35" s="3408" t="s">
        <v>2516</v>
      </c>
      <c r="C35" s="3408"/>
      <c r="D35" s="3408"/>
      <c r="E35" s="3408"/>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401"/>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t="s">
        <v>56</v>
      </c>
      <c r="D37" s="2110"/>
      <c r="E37" s="2110"/>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t="s">
        <v>363</v>
      </c>
      <c r="D38" s="2111"/>
      <c r="E38" s="2111"/>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44733</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44733</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8" t="str">
        <f>项目基本情况!S2</f>
        <v>房地产</v>
      </c>
      <c r="B2" s="3499"/>
      <c r="C2" s="3499"/>
      <c r="D2" s="3499"/>
      <c r="E2" s="3499"/>
      <c r="F2" s="3499"/>
      <c r="G2" s="3499"/>
      <c r="H2" s="3499"/>
      <c r="I2" s="3500"/>
    </row>
    <row r="3" spans="1:12" ht="12.75">
      <c r="A3" s="3502" t="s">
        <v>1513</v>
      </c>
      <c r="B3" s="3503"/>
      <c r="C3" s="3503"/>
      <c r="D3" s="3503"/>
      <c r="E3" s="3503"/>
      <c r="F3" s="3503"/>
      <c r="G3" s="3503"/>
      <c r="H3" s="3503"/>
      <c r="I3" s="3503"/>
    </row>
    <row r="4" spans="1:12" ht="14.25">
      <c r="A4" s="1694" t="s">
        <v>1514</v>
      </c>
      <c r="B4" s="1695" t="s">
        <v>1515</v>
      </c>
      <c r="C4" s="1696"/>
      <c r="D4" s="1696"/>
      <c r="E4" s="3507" t="s">
        <v>1516</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501">
        <v>25</v>
      </c>
      <c r="C5" s="3504"/>
      <c r="D5" s="3492"/>
      <c r="E5" s="135" t="s">
        <v>1518</v>
      </c>
      <c r="F5" s="1697"/>
      <c r="G5" s="1697"/>
      <c r="H5" s="1697"/>
      <c r="I5" s="1311"/>
    </row>
    <row r="6" spans="1:12" ht="12.75">
      <c r="A6" s="3443"/>
      <c r="B6" s="3501"/>
      <c r="C6" s="3506"/>
      <c r="D6" s="3492"/>
      <c r="E6" s="135" t="s">
        <v>1519</v>
      </c>
      <c r="F6" s="1697"/>
      <c r="G6" s="1697"/>
      <c r="H6" s="1697"/>
      <c r="I6" s="1311"/>
    </row>
    <row r="7" spans="1:12" ht="12.75">
      <c r="A7" s="3443"/>
      <c r="B7" s="3501"/>
      <c r="C7" s="3505"/>
      <c r="D7" s="3492"/>
      <c r="E7" s="135" t="s">
        <v>1520</v>
      </c>
      <c r="F7" s="1697"/>
      <c r="G7" s="1697"/>
      <c r="H7" s="1697"/>
      <c r="I7" s="1311"/>
    </row>
    <row r="8" spans="1:12" ht="12.75">
      <c r="A8" s="3443" t="s">
        <v>1521</v>
      </c>
      <c r="B8" s="3501">
        <v>15</v>
      </c>
      <c r="C8" s="3504"/>
      <c r="D8" s="3492"/>
      <c r="E8" s="135" t="s">
        <v>1522</v>
      </c>
      <c r="F8" s="1697"/>
      <c r="G8" s="1697"/>
      <c r="H8" s="1697"/>
      <c r="I8" s="1311"/>
    </row>
    <row r="9" spans="1:12" ht="12.75">
      <c r="A9" s="3443"/>
      <c r="B9" s="3501"/>
      <c r="C9" s="3505"/>
      <c r="D9" s="3492"/>
      <c r="E9" s="135" t="s">
        <v>1523</v>
      </c>
      <c r="F9" s="1697"/>
      <c r="G9" s="1697"/>
      <c r="H9" s="1697"/>
      <c r="I9" s="1311"/>
    </row>
    <row r="10" spans="1:12" ht="12.75">
      <c r="A10" s="3443" t="s">
        <v>1524</v>
      </c>
      <c r="B10" s="3501">
        <v>15</v>
      </c>
      <c r="C10" s="3504"/>
      <c r="D10" s="3492"/>
      <c r="E10" s="135" t="s">
        <v>1525</v>
      </c>
      <c r="F10" s="1697"/>
      <c r="G10" s="1697"/>
      <c r="H10" s="1697"/>
      <c r="I10" s="1311"/>
    </row>
    <row r="11" spans="1:12" ht="12.75">
      <c r="A11" s="3443"/>
      <c r="B11" s="3501"/>
      <c r="C11" s="3505"/>
      <c r="D11" s="3492"/>
      <c r="E11" s="135" t="s">
        <v>1526</v>
      </c>
      <c r="F11" s="1697"/>
      <c r="G11" s="1697"/>
      <c r="H11" s="1697"/>
      <c r="I11" s="1311"/>
    </row>
    <row r="12" spans="1:12" ht="12.75">
      <c r="A12" s="3443" t="s">
        <v>1527</v>
      </c>
      <c r="B12" s="3501">
        <v>15</v>
      </c>
      <c r="C12" s="3504"/>
      <c r="D12" s="3492"/>
      <c r="E12" s="135" t="s">
        <v>1528</v>
      </c>
      <c r="F12" s="1697"/>
      <c r="G12" s="1697"/>
      <c r="H12" s="1697"/>
      <c r="I12" s="1311"/>
    </row>
    <row r="13" spans="1:12" ht="12.75">
      <c r="A13" s="3443"/>
      <c r="B13" s="3501"/>
      <c r="C13" s="3505"/>
      <c r="D13" s="3492"/>
      <c r="E13" s="135" t="s">
        <v>1529</v>
      </c>
      <c r="F13" s="1697"/>
      <c r="G13" s="1697"/>
      <c r="H13" s="1697"/>
      <c r="I13" s="1311"/>
    </row>
    <row r="14" spans="1:12" ht="12.75">
      <c r="A14" s="3443" t="s">
        <v>1530</v>
      </c>
      <c r="B14" s="3501">
        <v>30</v>
      </c>
      <c r="C14" s="3504"/>
      <c r="D14" s="3492"/>
      <c r="E14" s="135" t="s">
        <v>1531</v>
      </c>
      <c r="F14" s="1697"/>
      <c r="G14" s="1697"/>
      <c r="H14" s="1697"/>
      <c r="I14" s="1311"/>
    </row>
    <row r="15" spans="1:12" ht="12.75">
      <c r="A15" s="3443"/>
      <c r="B15" s="3501"/>
      <c r="C15" s="3506"/>
      <c r="D15" s="3492"/>
      <c r="E15" s="135" t="s">
        <v>1532</v>
      </c>
      <c r="F15" s="1697"/>
      <c r="G15" s="1697"/>
      <c r="H15" s="1697"/>
      <c r="I15" s="1311"/>
    </row>
    <row r="16" spans="1:12" ht="12.75">
      <c r="A16" s="3443"/>
      <c r="B16" s="3501"/>
      <c r="C16" s="3505"/>
      <c r="D16" s="3492"/>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523" t="s">
        <v>2414</v>
      </c>
      <c r="F18" s="3524"/>
      <c r="G18" s="3524"/>
      <c r="H18" s="3524"/>
      <c r="I18" s="352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516" t="s">
        <v>1548</v>
      </c>
      <c r="B24" s="1702" t="s">
        <v>1540</v>
      </c>
      <c r="C24" s="140">
        <f>IF(B30=0,0,D30)</f>
        <v>0</v>
      </c>
      <c r="D24" s="1709"/>
      <c r="E24" s="133"/>
      <c r="F24" s="133"/>
      <c r="G24" s="133"/>
      <c r="H24" s="133"/>
      <c r="I24" s="133"/>
    </row>
    <row r="25" spans="1:36" ht="14.25">
      <c r="A25" s="351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93" t="s">
        <v>1561</v>
      </c>
      <c r="B36" s="1727" t="s">
        <v>1562</v>
      </c>
      <c r="C36" s="149"/>
      <c r="D36" s="1728"/>
      <c r="E36" s="1729"/>
      <c r="F36" s="1730"/>
      <c r="G36" s="133"/>
      <c r="H36" s="133"/>
      <c r="I36" s="133"/>
    </row>
    <row r="37" spans="1:15" ht="15.75" thickBot="1">
      <c r="A37" s="3494"/>
      <c r="B37" s="1614" t="s">
        <v>1563</v>
      </c>
      <c r="C37" s="151"/>
      <c r="D37" s="1097"/>
      <c r="E37" s="1097"/>
      <c r="F37" s="1730"/>
      <c r="G37" s="133"/>
      <c r="H37" s="133"/>
      <c r="I37" s="133"/>
    </row>
    <row r="38" spans="1:15" ht="15.75" thickBot="1">
      <c r="A38" s="3495"/>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3" t="s">
        <v>1575</v>
      </c>
      <c r="B45" s="3514"/>
      <c r="C45" s="3515"/>
      <c r="D45" s="159" t="e">
        <f ca="1">ROUND(H101*F45,0)</f>
        <v>#REF!</v>
      </c>
      <c r="E45" s="160" t="s">
        <v>1576</v>
      </c>
      <c r="F45" s="161">
        <v>1</v>
      </c>
      <c r="G45" s="162" t="s">
        <v>1577</v>
      </c>
      <c r="H45" s="133"/>
      <c r="I45" s="133"/>
      <c r="J45" s="3430" t="s">
        <v>1578</v>
      </c>
      <c r="K45" s="3430"/>
      <c r="L45" s="3430"/>
      <c r="M45" s="3430"/>
      <c r="N45" s="3430"/>
      <c r="O45" s="3430"/>
    </row>
    <row r="46" spans="1:15" ht="14.25" customHeight="1">
      <c r="A46" s="3510" t="s">
        <v>1579</v>
      </c>
      <c r="B46" s="3511"/>
      <c r="C46" s="3511"/>
      <c r="D46" s="3511"/>
      <c r="E46" s="3511"/>
      <c r="F46" s="3511"/>
      <c r="G46" s="3512"/>
      <c r="H46" s="1746"/>
      <c r="I46" s="163"/>
      <c r="J46" s="2202">
        <v>1</v>
      </c>
      <c r="K46" s="3431" t="s">
        <v>1580</v>
      </c>
      <c r="L46" s="3431"/>
      <c r="M46" s="3432"/>
      <c r="N46" s="3432"/>
      <c r="O46" s="3432"/>
    </row>
    <row r="47" spans="1:15" ht="12" customHeight="1">
      <c r="A47" s="164" t="s">
        <v>1581</v>
      </c>
      <c r="B47" s="165"/>
      <c r="C47" s="166"/>
      <c r="D47" s="1052" t="s">
        <v>1582</v>
      </c>
      <c r="E47" s="303" t="s">
        <v>1583</v>
      </c>
      <c r="F47" s="167" t="s">
        <v>1584</v>
      </c>
      <c r="G47" s="2225" t="s">
        <v>1585</v>
      </c>
      <c r="H47" s="2226"/>
      <c r="I47" s="163"/>
      <c r="J47" s="2202">
        <v>2</v>
      </c>
      <c r="K47" s="3431" t="s">
        <v>1586</v>
      </c>
      <c r="L47" s="3431"/>
      <c r="M47" s="3433">
        <f>'数据-取费表'!B2</f>
        <v>44733</v>
      </c>
      <c r="N47" s="3433"/>
      <c r="O47" s="3433"/>
    </row>
    <row r="48" spans="1:15" ht="25.5">
      <c r="A48" s="3496" t="s">
        <v>1587</v>
      </c>
      <c r="B48" s="3497"/>
      <c r="C48" s="3497"/>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31" t="s">
        <v>1589</v>
      </c>
      <c r="L48" s="3431"/>
      <c r="M48" s="3434" t="e">
        <f ca="1">H101</f>
        <v>#REF!</v>
      </c>
      <c r="N48" s="3434"/>
      <c r="O48" s="3434"/>
    </row>
    <row r="49" spans="1:35" ht="25.5" customHeight="1">
      <c r="A49" s="2009" t="s">
        <v>1590</v>
      </c>
      <c r="B49" s="3479" t="s">
        <v>1591</v>
      </c>
      <c r="C49" s="3479"/>
      <c r="D49" s="1529">
        <v>0</v>
      </c>
      <c r="E49" s="325" t="s">
        <v>1592</v>
      </c>
      <c r="F49" s="2103" t="s">
        <v>34</v>
      </c>
      <c r="G49" s="3462"/>
      <c r="H49" s="1982" t="s">
        <v>2417</v>
      </c>
      <c r="I49" s="1983"/>
      <c r="J49" s="2202">
        <v>4</v>
      </c>
      <c r="K49" s="3431" t="str">
        <f>IF(项目基本情况!E8="房地产抵押价值","房地产抵押价值","抵押担保权已注销时的房地产抵押价值")</f>
        <v>抵押担保权已注销时的房地产抵押价值</v>
      </c>
      <c r="L49" s="3431"/>
      <c r="M49" s="3434" t="str">
        <f>IF(项目基本情况!E8="房地产抵押价值",H107,H109)</f>
        <v>——</v>
      </c>
      <c r="N49" s="3434"/>
      <c r="O49" s="3434"/>
    </row>
    <row r="50" spans="1:35" ht="25.5" customHeight="1">
      <c r="A50" s="2230"/>
      <c r="B50" s="3479" t="s">
        <v>1593</v>
      </c>
      <c r="C50" s="3479"/>
      <c r="D50" s="2231"/>
      <c r="E50" s="333"/>
      <c r="F50" s="2103"/>
      <c r="G50" s="3463"/>
      <c r="H50" s="1984" t="s">
        <v>2418</v>
      </c>
      <c r="I50" s="1983"/>
      <c r="J50" s="3430" t="s">
        <v>1594</v>
      </c>
      <c r="K50" s="3430"/>
      <c r="L50" s="3430"/>
      <c r="M50" s="3430"/>
      <c r="N50" s="3430"/>
      <c r="O50" s="3430"/>
    </row>
    <row r="51" spans="1:35" ht="20.45" customHeight="1">
      <c r="A51" s="2232"/>
      <c r="B51" s="3479" t="s">
        <v>1595</v>
      </c>
      <c r="C51" s="3479"/>
      <c r="D51" s="1052"/>
      <c r="E51" s="328"/>
      <c r="F51" s="2103"/>
      <c r="G51" s="3464"/>
      <c r="H51" s="1984" t="s">
        <v>2419</v>
      </c>
      <c r="I51" s="1983"/>
      <c r="J51" s="2203" t="s">
        <v>1596</v>
      </c>
      <c r="K51" s="3431" t="s">
        <v>1597</v>
      </c>
      <c r="L51" s="3431"/>
      <c r="M51" s="2203" t="s">
        <v>1598</v>
      </c>
      <c r="N51" s="2203" t="s">
        <v>1599</v>
      </c>
      <c r="O51" s="2203" t="s">
        <v>1600</v>
      </c>
    </row>
    <row r="52" spans="1:35" ht="24" customHeight="1">
      <c r="A52" s="2011" t="s">
        <v>1601</v>
      </c>
      <c r="B52" s="3479" t="s">
        <v>1602</v>
      </c>
      <c r="C52" s="3479"/>
      <c r="D52" s="1052" t="e">
        <f ca="1">ROUND(D45*'数据-取费表'!B41/(1+'数据-取费表'!C42),0)</f>
        <v>#REF!</v>
      </c>
      <c r="E52" s="2010" t="s">
        <v>1603</v>
      </c>
      <c r="F52" s="2233">
        <f>'数据-取费表'!B41</f>
        <v>0</v>
      </c>
      <c r="G52" s="2234"/>
      <c r="H52" s="2223"/>
      <c r="I52" s="1747"/>
      <c r="J52" s="2202">
        <v>1</v>
      </c>
      <c r="K52" s="3456" t="s">
        <v>1604</v>
      </c>
      <c r="L52" s="3456"/>
      <c r="M52" s="2204" t="b">
        <f>D48</f>
        <v>0</v>
      </c>
      <c r="N52" s="2202" t="str">
        <f>E48</f>
        <v>销售额×税（费）率</v>
      </c>
      <c r="O52" s="2205">
        <f>F48</f>
        <v>0</v>
      </c>
    </row>
    <row r="53" spans="1:35" ht="12" customHeight="1">
      <c r="A53" s="2011" t="s">
        <v>1605</v>
      </c>
      <c r="B53" s="3480" t="s">
        <v>2578</v>
      </c>
      <c r="C53" s="3481"/>
      <c r="D53" s="1052" t="e">
        <f ca="1">ROUND(D45*'数据-取费表'!B41/(1+'数据-取费表'!C42),0)</f>
        <v>#REF!</v>
      </c>
      <c r="E53" s="2010" t="s">
        <v>1603</v>
      </c>
      <c r="F53" s="2233">
        <f>'数据-取费表'!B41</f>
        <v>0</v>
      </c>
      <c r="G53" s="2234"/>
      <c r="H53" s="2223"/>
      <c r="I53" s="1747"/>
      <c r="J53" s="2202">
        <v>2</v>
      </c>
      <c r="K53" s="3456" t="s">
        <v>1606</v>
      </c>
      <c r="L53" s="3456"/>
      <c r="M53" s="2204" t="e">
        <f t="shared" ref="M53:O54" ca="1" si="0">D55</f>
        <v>#REF!</v>
      </c>
      <c r="N53" s="2202" t="str">
        <f t="shared" si="0"/>
        <v>销售额×税（费）率</v>
      </c>
      <c r="O53" s="2205" t="str">
        <f t="shared" si="0"/>
        <v>免征</v>
      </c>
    </row>
    <row r="54" spans="1:35" ht="12" customHeight="1">
      <c r="A54" s="2011" t="s">
        <v>1607</v>
      </c>
      <c r="B54" s="3480" t="s">
        <v>2579</v>
      </c>
      <c r="C54" s="3481"/>
      <c r="D54" s="1052" t="e">
        <f ca="1">C68</f>
        <v>#REF!</v>
      </c>
      <c r="E54" s="328" t="s">
        <v>1608</v>
      </c>
      <c r="F54" s="2233">
        <f>'数据-取费表'!B41</f>
        <v>0</v>
      </c>
      <c r="G54" s="2234"/>
      <c r="H54" s="2235"/>
      <c r="I54" s="1747"/>
      <c r="J54" s="2202">
        <v>3</v>
      </c>
      <c r="K54" s="3456" t="s">
        <v>1609</v>
      </c>
      <c r="L54" s="3456"/>
      <c r="M54" s="2204" t="e">
        <f t="shared" ca="1" si="0"/>
        <v>#REF!</v>
      </c>
      <c r="N54" s="2202" t="str">
        <f t="shared" si="0"/>
        <v>增值额×税（费）率</v>
      </c>
      <c r="O54" s="2206" t="str">
        <f t="shared" si="0"/>
        <v>免征</v>
      </c>
    </row>
    <row r="55" spans="1:35" ht="24" customHeight="1">
      <c r="A55" s="3519" t="s">
        <v>1610</v>
      </c>
      <c r="B55" s="3497"/>
      <c r="C55" s="3497"/>
      <c r="D55" s="2000" t="e">
        <f ca="1">IF(H55="个人住宅",0,ROUND(D45*I55,0))</f>
        <v>#REF!</v>
      </c>
      <c r="E55" s="2010" t="s">
        <v>1611</v>
      </c>
      <c r="F55" s="2233" t="str">
        <f>IF(H55="正常",I55,"免征")</f>
        <v>免征</v>
      </c>
      <c r="G55" s="2234"/>
      <c r="H55" s="2229"/>
      <c r="I55" s="169">
        <f>'数据-取费表'!B49</f>
        <v>0</v>
      </c>
      <c r="J55" s="2202">
        <f>IF(H59="非个人房产","",4)</f>
        <v>4</v>
      </c>
      <c r="K55" s="3456" t="str">
        <f>IF(H59="非个人房产","——","个人所得税")</f>
        <v>个人所得税</v>
      </c>
      <c r="L55" s="3456"/>
      <c r="M55" s="2207" t="e">
        <f ca="1">D59</f>
        <v>#REF!</v>
      </c>
      <c r="N55" s="1938" t="str">
        <f>E59</f>
        <v>差额计税</v>
      </c>
      <c r="O55" s="2208">
        <f>F59</f>
        <v>0.01</v>
      </c>
    </row>
    <row r="56" spans="1:35" ht="24.75">
      <c r="A56" s="3519" t="s">
        <v>1612</v>
      </c>
      <c r="B56" s="3497"/>
      <c r="C56" s="3497"/>
      <c r="D56" s="2000" t="e">
        <f ca="1">IF(H56="个人住宅",D57,D58)</f>
        <v>#REF!</v>
      </c>
      <c r="E56" s="2010" t="s">
        <v>1613</v>
      </c>
      <c r="F56" s="2233" t="str">
        <f>IF(H56="正常",F58,"免征")</f>
        <v>免征</v>
      </c>
      <c r="G56" s="2236" t="s">
        <v>1614</v>
      </c>
      <c r="H56" s="2237"/>
      <c r="I56" s="1748"/>
      <c r="J56" s="2202" t="str">
        <f>IF(项目基本情况!K6="上海银行",IF(J55="",4,J55+1),"")</f>
        <v/>
      </c>
      <c r="K56" s="3437" t="str">
        <f>IF(项目基本情况!K6="上海银行","其他处置费用","")</f>
        <v/>
      </c>
      <c r="L56" s="3438"/>
      <c r="M56" s="2204" t="str">
        <f>IF(项目基本情况!K6="上海银行",M69,"")</f>
        <v/>
      </c>
      <c r="N56" s="3437" t="str">
        <f>IF(项目基本情况!K6="上海银行","包含处置中涉及的律师、诉讼、拍卖、评估等费用","")</f>
        <v/>
      </c>
      <c r="O56" s="3440"/>
    </row>
    <row r="57" spans="1:35" ht="12.75">
      <c r="A57" s="2011" t="s">
        <v>1590</v>
      </c>
      <c r="B57" s="3480" t="s">
        <v>1615</v>
      </c>
      <c r="C57" s="3481"/>
      <c r="D57" s="1529">
        <v>0</v>
      </c>
      <c r="E57" s="325" t="s">
        <v>1592</v>
      </c>
      <c r="F57" s="303"/>
      <c r="G57" s="2234"/>
      <c r="H57" s="2238"/>
      <c r="I57" s="1748"/>
      <c r="J57" s="3456">
        <f>IF(AND(J55="",J56=""),4,IF(项目基本情况!K6="上海银行",结果表!J56+1,结果表!J55+1))</f>
        <v>5</v>
      </c>
      <c r="K57" s="3456" t="s">
        <v>1616</v>
      </c>
      <c r="L57" s="2209" t="s">
        <v>1617</v>
      </c>
      <c r="M57" s="2210"/>
      <c r="N57" s="2211">
        <f ca="1">SUMIF(M52:M56,"&lt;9e307")</f>
        <v>0</v>
      </c>
      <c r="O57" s="2212"/>
      <c r="P57" s="2370" t="e">
        <f ca="1">N57/M49</f>
        <v>#VALUE!</v>
      </c>
    </row>
    <row r="58" spans="1:35" ht="24.75">
      <c r="A58" s="2011" t="s">
        <v>1601</v>
      </c>
      <c r="B58" s="3480" t="s">
        <v>1618</v>
      </c>
      <c r="C58" s="3479"/>
      <c r="D58" s="2000" t="e">
        <f ca="1">IF(H58="转让取得",C81,C97)</f>
        <v>#REF!</v>
      </c>
      <c r="E58" s="2010" t="s">
        <v>1613</v>
      </c>
      <c r="F58" s="303" t="s">
        <v>34</v>
      </c>
      <c r="G58" s="2234"/>
      <c r="H58" s="2237"/>
      <c r="I58" s="1748"/>
      <c r="J58" s="3456"/>
      <c r="K58" s="3456"/>
      <c r="L58" s="2209" t="s">
        <v>1619</v>
      </c>
      <c r="M58" s="2213"/>
      <c r="N58" s="2214" t="str">
        <f ca="1">NUMBERSTRING(INT(N57*10000),2)&amp;"元整"</f>
        <v>零元整</v>
      </c>
      <c r="O58" s="2215"/>
    </row>
    <row r="59" spans="1:35" ht="24.75" thickBot="1">
      <c r="A59" s="3460" t="s">
        <v>1620</v>
      </c>
      <c r="B59" s="3461"/>
      <c r="C59" s="346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58">
        <f>J57+1</f>
        <v>6</v>
      </c>
      <c r="K59" s="3456" t="s">
        <v>1621</v>
      </c>
      <c r="L59" s="2202" t="s">
        <v>1617</v>
      </c>
      <c r="M59" s="2216"/>
      <c r="N59" s="2217" t="e">
        <f ca="1">M49-N57</f>
        <v>#VALUE!</v>
      </c>
      <c r="O59" s="2218"/>
    </row>
    <row r="60" spans="1:35" ht="12" customHeight="1">
      <c r="A60" s="1749"/>
      <c r="B60" s="1687"/>
      <c r="C60" s="1687"/>
      <c r="D60" s="1687"/>
      <c r="E60" s="1517"/>
      <c r="F60" s="1748"/>
      <c r="G60" s="1748"/>
      <c r="H60" s="1750"/>
      <c r="I60" s="133"/>
      <c r="J60" s="3459"/>
      <c r="K60" s="3456"/>
      <c r="L60" s="2209" t="s">
        <v>1619</v>
      </c>
      <c r="M60" s="2213"/>
      <c r="N60" s="2214" t="e">
        <f ca="1">NUMBERSTRING(INT(N59*10000),2)&amp;"元整"</f>
        <v>#VALUE!</v>
      </c>
      <c r="O60" s="2215"/>
    </row>
    <row r="61" spans="1:35" ht="13.5" thickBot="1">
      <c r="A61" s="3518" t="s">
        <v>1622</v>
      </c>
      <c r="B61" s="3518"/>
      <c r="C61" s="3518"/>
      <c r="D61" s="3518"/>
      <c r="E61" s="3518"/>
      <c r="F61" s="1748"/>
      <c r="G61" s="1748"/>
      <c r="H61" s="1750"/>
      <c r="I61" s="133"/>
      <c r="J61" s="2202">
        <f>J59+1</f>
        <v>7</v>
      </c>
      <c r="K61" s="3456" t="s">
        <v>1623</v>
      </c>
      <c r="L61" s="3456"/>
      <c r="M61" s="2219"/>
      <c r="N61" s="2220" t="e">
        <f ca="1">ROUND(N59*10000/'数据-汇总表'!E3,0)</f>
        <v>#VALUE!</v>
      </c>
      <c r="O61" s="2221"/>
    </row>
    <row r="62" spans="1:35" ht="12.75">
      <c r="A62" s="3475" t="s">
        <v>1624</v>
      </c>
      <c r="B62" s="3476"/>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439"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439"/>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439"/>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439"/>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439"/>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439"/>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439"/>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3" t="s">
        <v>1643</v>
      </c>
      <c r="B70" s="3484"/>
      <c r="C70" s="3484"/>
      <c r="D70" s="3484"/>
      <c r="E70" s="3484"/>
      <c r="F70" s="3484"/>
      <c r="G70" s="3484"/>
      <c r="H70" s="3484"/>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5" t="s">
        <v>1624</v>
      </c>
      <c r="B71" s="3476"/>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80" t="s">
        <v>1651</v>
      </c>
      <c r="F76" s="3479"/>
      <c r="G76" s="3479"/>
      <c r="H76" s="3482"/>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72" t="s">
        <v>1655</v>
      </c>
      <c r="F78" s="3473"/>
      <c r="G78" s="3473"/>
      <c r="H78" s="3474"/>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3" t="s">
        <v>1659</v>
      </c>
      <c r="B83" s="3484"/>
      <c r="C83" s="3484"/>
      <c r="D83" s="3484"/>
      <c r="E83" s="3484"/>
      <c r="F83" s="3484"/>
      <c r="G83" s="3484"/>
      <c r="H83" s="3484"/>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5" t="s">
        <v>1624</v>
      </c>
      <c r="B84" s="3476"/>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441" t="s">
        <v>2412</v>
      </c>
      <c r="H90" s="3442"/>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72" t="s">
        <v>1668</v>
      </c>
      <c r="F91" s="3473"/>
      <c r="G91" s="34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72" t="s">
        <v>1671</v>
      </c>
      <c r="F92" s="3473"/>
      <c r="G92" s="3473"/>
      <c r="H92" s="3474"/>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72" t="s">
        <v>1655</v>
      </c>
      <c r="F93" s="3473"/>
      <c r="G93" s="3473"/>
      <c r="H93" s="3474"/>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520" t="s">
        <v>1675</v>
      </c>
      <c r="F94" s="3521"/>
      <c r="G94" s="3521"/>
      <c r="H94" s="352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57"/>
      <c r="E100" s="3423" t="s">
        <v>1678</v>
      </c>
      <c r="F100" s="3423"/>
      <c r="G100" s="3423"/>
      <c r="H100" s="3457"/>
      <c r="I100" s="133"/>
    </row>
    <row r="101" spans="1:35" ht="18.75" customHeight="1">
      <c r="A101" s="3465" t="s">
        <v>1679</v>
      </c>
      <c r="B101" s="3466"/>
      <c r="C101" s="2264">
        <f>C4</f>
        <v>0</v>
      </c>
      <c r="D101" s="2265">
        <f>D4</f>
        <v>0</v>
      </c>
      <c r="E101" s="3435" t="s">
        <v>1680</v>
      </c>
      <c r="F101" s="3436"/>
      <c r="G101" s="1767" t="s">
        <v>1681</v>
      </c>
      <c r="H101" s="2274" t="e">
        <f ca="1">H118</f>
        <v>#REF!</v>
      </c>
      <c r="I101" s="133"/>
    </row>
    <row r="102" spans="1:35" ht="18.75" customHeight="1">
      <c r="A102" s="3467" t="s">
        <v>1682</v>
      </c>
      <c r="B102" s="2263" t="s">
        <v>1681</v>
      </c>
      <c r="C102" s="2264" t="e">
        <f ca="1">C19</f>
        <v>#REF!</v>
      </c>
      <c r="D102" s="2265" t="e">
        <f ca="1">D19</f>
        <v>#REF!</v>
      </c>
      <c r="E102" s="3435"/>
      <c r="F102" s="3436"/>
      <c r="G102" s="1767" t="s">
        <v>1683</v>
      </c>
      <c r="H102" s="2234" t="e">
        <f ca="1">I118</f>
        <v>#REF!</v>
      </c>
      <c r="I102" s="133"/>
    </row>
    <row r="103" spans="1:35" ht="42.75" customHeight="1">
      <c r="A103" s="3467"/>
      <c r="B103" s="2263" t="s">
        <v>1683</v>
      </c>
      <c r="C103" s="2266" t="e">
        <f ca="1">C20</f>
        <v>#REF!</v>
      </c>
      <c r="D103" s="2267" t="e">
        <f ca="1">D20</f>
        <v>#REF!</v>
      </c>
      <c r="E103" s="3428" t="s">
        <v>1684</v>
      </c>
      <c r="F103" s="3429"/>
      <c r="G103" s="1768" t="s">
        <v>1685</v>
      </c>
      <c r="H103" s="2274">
        <f>IF(D36="正常操作",H104+H105+H106,H105+H106)</f>
        <v>0</v>
      </c>
      <c r="I103" s="133"/>
    </row>
    <row r="104" spans="1:35" ht="18.75" customHeight="1">
      <c r="A104" s="3467"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68" t="str">
        <f>IF(项目基本情况!E8="已注销","——","3.房地产抵押价值")</f>
        <v>3.房地产抵押价值</v>
      </c>
      <c r="F107" s="3436"/>
      <c r="G107" s="1767" t="s">
        <v>1681</v>
      </c>
      <c r="H107" s="2274" t="e">
        <f ca="1">IF(E107="——","——",H101-H103)</f>
        <v>#REF!</v>
      </c>
      <c r="I107" s="133"/>
    </row>
    <row r="108" spans="1:35" ht="18.75" customHeight="1">
      <c r="A108" s="133"/>
      <c r="B108" s="133"/>
      <c r="C108" s="133"/>
      <c r="D108" s="133"/>
      <c r="E108" s="3468"/>
      <c r="F108" s="3436"/>
      <c r="G108" s="1767" t="s">
        <v>1683</v>
      </c>
      <c r="H108" s="2234" t="e">
        <f ca="1">ROUND(H107*10000/'数据-汇总表'!E3,0)</f>
        <v>#REF!</v>
      </c>
      <c r="I108" s="133"/>
    </row>
    <row r="109" spans="1:35" ht="18.75" customHeight="1">
      <c r="A109" s="133"/>
      <c r="B109" s="133"/>
      <c r="C109" s="133"/>
      <c r="D109" s="133"/>
      <c r="E109" s="3468" t="str">
        <f>IF(项目基本情况!E8="已注销及未注销","4.抵押担保权已注销时的房地产抵押价值",IF(项目基本情况!E8="已注销","3.抵押担保权已注销时的房地产抵押价值","——"))</f>
        <v>——</v>
      </c>
      <c r="F109" s="3436"/>
      <c r="G109" s="1767" t="s">
        <v>1681</v>
      </c>
      <c r="H109" s="2277" t="str">
        <f>IF(E109="——","——",H101-H105-H106)</f>
        <v>——</v>
      </c>
      <c r="I109" s="133"/>
    </row>
    <row r="110" spans="1:35" ht="18.75" customHeight="1">
      <c r="A110" s="133"/>
      <c r="B110" s="133"/>
      <c r="C110" s="133"/>
      <c r="D110" s="133"/>
      <c r="E110" s="3468"/>
      <c r="F110" s="3436"/>
      <c r="G110" s="1767" t="s">
        <v>1683</v>
      </c>
      <c r="H110" s="2234" t="str">
        <f>IF(H109="——","——",ROUND(H109*10000/'数据-汇总表'!E3,0))</f>
        <v>——</v>
      </c>
      <c r="I110" s="133"/>
    </row>
    <row r="111" spans="1:35" ht="18.75" customHeight="1">
      <c r="A111" s="133"/>
      <c r="B111" s="133"/>
      <c r="C111" s="133"/>
      <c r="D111" s="133"/>
      <c r="E111" s="3469" t="str">
        <f>IF(项目基本情况!E9="抵押净值",IF(OR(项目基本情况!E8="已注销",项目基本情况!E8="房地产抵押价值"),"4.抵押净值","5.抵押净值"),"——")</f>
        <v>——</v>
      </c>
      <c r="F111" s="3455"/>
      <c r="G111" s="1767" t="s">
        <v>1681</v>
      </c>
      <c r="H111" s="2274" t="str">
        <f>IF(E111="——","——",N59)</f>
        <v>——</v>
      </c>
      <c r="I111" s="133"/>
    </row>
    <row r="112" spans="1:35" ht="18.75" customHeight="1" thickBot="1">
      <c r="A112" s="133"/>
      <c r="B112" s="133"/>
      <c r="C112" s="133"/>
      <c r="D112" s="133"/>
      <c r="E112" s="3470"/>
      <c r="F112" s="3471"/>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3" t="s">
        <v>1692</v>
      </c>
      <c r="B116" s="3447" t="s">
        <v>1693</v>
      </c>
      <c r="C116" s="3447" t="s">
        <v>1694</v>
      </c>
      <c r="D116" s="3453" t="s">
        <v>1695</v>
      </c>
      <c r="E116" s="3454"/>
      <c r="F116" s="3485" t="s">
        <v>1696</v>
      </c>
      <c r="G116" s="3485"/>
      <c r="H116" s="3443" t="s">
        <v>1697</v>
      </c>
      <c r="I116" s="3443"/>
    </row>
    <row r="117" spans="1:27" ht="18.75" customHeight="1">
      <c r="A117" s="3443"/>
      <c r="B117" s="3448"/>
      <c r="C117" s="3448"/>
      <c r="D117" s="2005" t="s">
        <v>1698</v>
      </c>
      <c r="E117" s="2005" t="s">
        <v>1699</v>
      </c>
      <c r="F117" s="2005" t="s">
        <v>1698</v>
      </c>
      <c r="G117" s="2005" t="s">
        <v>1700</v>
      </c>
      <c r="H117" s="2005" t="s">
        <v>1698</v>
      </c>
      <c r="I117" s="2005" t="s">
        <v>1700</v>
      </c>
    </row>
    <row r="118" spans="1:27" ht="24.75" customHeight="1">
      <c r="A118" s="2279" t="str">
        <f>项目基本情况!S2</f>
        <v>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49" t="str">
        <f>IF(D120=0,"零元整",NUMBERSTRING(INT(D120*10000),2)&amp;"元整")</f>
        <v>零元整</v>
      </c>
      <c r="E121" s="3451"/>
      <c r="F121" s="3451"/>
      <c r="G121" s="3451"/>
      <c r="H121" s="3451"/>
      <c r="I121" s="3450"/>
      <c r="AA121" s="728"/>
    </row>
    <row r="122" spans="1:27" ht="18.75" customHeight="1">
      <c r="A122" s="3455" t="str">
        <f>IF(项目基本情况!B9="房地产市场价值","",MID(E107,3,LEN(E107)-2))</f>
        <v>房地产抵押价值</v>
      </c>
      <c r="B122" s="3455"/>
      <c r="C122" s="3455"/>
      <c r="D122" s="3444" t="e">
        <f ca="1">H107</f>
        <v>#REF!</v>
      </c>
      <c r="E122" s="3445"/>
      <c r="F122" s="3445"/>
      <c r="G122" s="3445"/>
      <c r="H122" s="3445"/>
      <c r="I122" s="3446"/>
      <c r="AA122" s="728"/>
    </row>
    <row r="123" spans="1:27" ht="18.75" customHeight="1">
      <c r="A123" s="3443" t="s">
        <v>1701</v>
      </c>
      <c r="B123" s="3443"/>
      <c r="C123" s="3443"/>
      <c r="D123" s="3449" t="e">
        <f ca="1">NUMBERSTRING(INT(D122*10000),2)&amp;"元整"</f>
        <v>#REF!</v>
      </c>
      <c r="E123" s="3451"/>
      <c r="F123" s="3451"/>
      <c r="G123" s="3451"/>
      <c r="H123" s="3451"/>
      <c r="I123" s="3450"/>
      <c r="AA123" s="728"/>
    </row>
    <row r="124" spans="1:27" ht="18.75" customHeight="1">
      <c r="A124" s="3455" t="str">
        <f>IF(项目基本情况!B9="房地产市场价值","",MID(E109,3,LEN(E109)-2))</f>
        <v/>
      </c>
      <c r="B124" s="3455"/>
      <c r="C124" s="3455"/>
      <c r="D124" s="3444" t="str">
        <f>H109</f>
        <v>——</v>
      </c>
      <c r="E124" s="3445"/>
      <c r="F124" s="3445"/>
      <c r="G124" s="3445"/>
      <c r="H124" s="3445"/>
      <c r="I124" s="3446"/>
      <c r="AA124" s="728"/>
    </row>
    <row r="125" spans="1:27" ht="18.75" customHeight="1">
      <c r="A125" s="3443" t="s">
        <v>1701</v>
      </c>
      <c r="B125" s="3443"/>
      <c r="C125" s="3443"/>
      <c r="D125" s="3449" t="e">
        <f>NUMBERSTRING(INT(D124*10000),2)&amp;"元整"</f>
        <v>#VALUE!</v>
      </c>
      <c r="E125" s="3451"/>
      <c r="F125" s="3451"/>
      <c r="G125" s="3451"/>
      <c r="H125" s="3451"/>
      <c r="I125" s="3450"/>
      <c r="AA125" s="728"/>
    </row>
    <row r="126" spans="1:27" ht="18.75" customHeight="1">
      <c r="A126" s="3455" t="str">
        <f>IF(项目基本情况!B9="房地产市场价值","",MID(E111,3,LEN(E111)-2))</f>
        <v/>
      </c>
      <c r="B126" s="3455"/>
      <c r="C126" s="3455"/>
      <c r="D126" s="3444" t="str">
        <f>H111</f>
        <v>——</v>
      </c>
      <c r="E126" s="3445"/>
      <c r="F126" s="3445"/>
      <c r="G126" s="3445"/>
      <c r="H126" s="3445"/>
      <c r="I126" s="3446"/>
      <c r="AA126" s="728"/>
    </row>
    <row r="127" spans="1:27" ht="18.75" customHeight="1">
      <c r="A127" s="3443" t="s">
        <v>1701</v>
      </c>
      <c r="B127" s="3443"/>
      <c r="C127" s="3443"/>
      <c r="D127" s="3449" t="e">
        <f>NUMBERSTRING(INT(D126*10000),2)&amp;"元整"</f>
        <v>#VALUE!</v>
      </c>
      <c r="E127" s="3451"/>
      <c r="F127" s="3451"/>
      <c r="G127" s="3451"/>
      <c r="H127" s="3451"/>
      <c r="I127" s="3450"/>
      <c r="AA127" s="728"/>
    </row>
    <row r="128" spans="1:27" ht="21.75" customHeight="1">
      <c r="A128" s="3452" t="s">
        <v>1702</v>
      </c>
      <c r="B128" s="3452"/>
      <c r="C128" s="3452"/>
      <c r="D128" s="3452"/>
      <c r="E128" s="3452"/>
      <c r="F128" s="3452"/>
      <c r="G128" s="3452"/>
      <c r="H128" s="3452"/>
      <c r="I128" s="345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3" t="s">
        <v>2608</v>
      </c>
      <c r="K2" s="3534"/>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35" t="s">
        <v>2618</v>
      </c>
      <c r="K3" s="3536"/>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35" t="s">
        <v>2620</v>
      </c>
      <c r="K4" s="3536"/>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37" t="s">
        <v>2624</v>
      </c>
      <c r="B6" s="3538"/>
      <c r="C6" s="3539"/>
      <c r="D6" s="2537"/>
      <c r="E6" s="2538"/>
      <c r="F6" s="2539"/>
      <c r="G6" s="2540"/>
      <c r="H6" s="2515"/>
      <c r="I6" s="2516"/>
      <c r="J6" s="3540">
        <v>1</v>
      </c>
      <c r="K6" s="3541"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40"/>
      <c r="K7" s="3542"/>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4" t="s">
        <v>2638</v>
      </c>
      <c r="C8" s="3545"/>
      <c r="D8" s="2556" t="s">
        <v>2639</v>
      </c>
      <c r="E8" s="2557" t="s">
        <v>2640</v>
      </c>
      <c r="F8" s="2558" t="s">
        <v>2641</v>
      </c>
      <c r="G8" s="2559"/>
      <c r="H8" s="2515"/>
      <c r="I8" s="2516"/>
      <c r="J8" s="3540"/>
      <c r="K8" s="3542"/>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4" t="s">
        <v>2644</v>
      </c>
      <c r="C9" s="3545"/>
      <c r="D9" s="2556">
        <f>ROUND(D6*E9,0)</f>
        <v>0</v>
      </c>
      <c r="E9" s="2560"/>
      <c r="F9" s="2561" t="s">
        <v>2645</v>
      </c>
      <c r="G9" s="2540"/>
      <c r="H9" s="2515"/>
      <c r="I9" s="2516"/>
      <c r="J9" s="3540"/>
      <c r="K9" s="3542"/>
      <c r="L9" s="2550" t="s">
        <v>2646</v>
      </c>
      <c r="M9" s="2551"/>
      <c r="N9" s="2527"/>
      <c r="O9" s="2552"/>
      <c r="P9" s="2552"/>
      <c r="Q9" s="2553">
        <v>365</v>
      </c>
      <c r="R9" s="2554">
        <f t="shared" si="0"/>
        <v>0</v>
      </c>
      <c r="S9" s="2508"/>
      <c r="T9" s="2508"/>
      <c r="U9" s="2508"/>
      <c r="V9" s="2516"/>
    </row>
    <row r="10" spans="1:22" s="2520" customFormat="1" ht="13.15" customHeight="1">
      <c r="A10" s="2555">
        <v>2</v>
      </c>
      <c r="B10" s="3544" t="s">
        <v>2647</v>
      </c>
      <c r="C10" s="3545"/>
      <c r="D10" s="2556">
        <f>ROUND(D6*E10,0)</f>
        <v>0</v>
      </c>
      <c r="E10" s="2560"/>
      <c r="F10" s="2561" t="s">
        <v>2648</v>
      </c>
      <c r="G10" s="2540"/>
      <c r="H10" s="2515"/>
      <c r="I10" s="2516"/>
      <c r="J10" s="3540"/>
      <c r="K10" s="3542"/>
      <c r="L10" s="2550" t="s">
        <v>2649</v>
      </c>
      <c r="M10" s="2551"/>
      <c r="N10" s="2527"/>
      <c r="O10" s="2552"/>
      <c r="P10" s="2552"/>
      <c r="Q10" s="2553">
        <v>365</v>
      </c>
      <c r="R10" s="2554">
        <f t="shared" si="0"/>
        <v>0</v>
      </c>
      <c r="S10" s="2508"/>
      <c r="T10" s="2508"/>
      <c r="U10" s="2508"/>
      <c r="V10" s="2516"/>
    </row>
    <row r="11" spans="1:22" s="2520" customFormat="1" ht="13.15" customHeight="1">
      <c r="A11" s="2555">
        <v>3</v>
      </c>
      <c r="B11" s="3544" t="s">
        <v>2650</v>
      </c>
      <c r="C11" s="3545"/>
      <c r="D11" s="2556">
        <f>D12+D14+D15+D16</f>
        <v>0</v>
      </c>
      <c r="E11" s="2562" t="e">
        <f>D11/D6</f>
        <v>#DIV/0!</v>
      </c>
      <c r="F11" s="2558"/>
      <c r="G11" s="2559"/>
      <c r="H11" s="2515"/>
      <c r="I11" s="2516"/>
      <c r="J11" s="3540"/>
      <c r="K11" s="3542"/>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6" t="s">
        <v>2653</v>
      </c>
      <c r="C12" s="3547"/>
      <c r="D12" s="2564">
        <f>ROUND(D13*1.2%*(1-30%),0)</f>
        <v>0</v>
      </c>
      <c r="E12" s="2565">
        <v>1.2E-2</v>
      </c>
      <c r="F12" s="2558" t="s">
        <v>2654</v>
      </c>
      <c r="G12" s="2559"/>
      <c r="H12" s="2515"/>
      <c r="I12" s="2516"/>
      <c r="J12" s="3540"/>
      <c r="K12" s="3542"/>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40"/>
      <c r="K13" s="3542"/>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6" t="s">
        <v>2659</v>
      </c>
      <c r="C14" s="3547"/>
      <c r="D14" s="2564">
        <f>ROUND(E14*B5/10000,0)</f>
        <v>0</v>
      </c>
      <c r="E14" s="2553"/>
      <c r="F14" s="2558" t="s">
        <v>2660</v>
      </c>
      <c r="G14" s="2559"/>
      <c r="H14" s="2515"/>
      <c r="I14" s="2516"/>
      <c r="J14" s="3540"/>
      <c r="K14" s="3543"/>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6" t="s">
        <v>2663</v>
      </c>
      <c r="C15" s="3547"/>
      <c r="D15" s="2564">
        <f>ROUND(D6*E15,0)</f>
        <v>0</v>
      </c>
      <c r="E15" s="2565">
        <v>5.5E-2</v>
      </c>
      <c r="F15" s="2558" t="s">
        <v>2664</v>
      </c>
      <c r="G15" s="2540"/>
      <c r="H15" s="2515"/>
      <c r="I15" s="2516"/>
      <c r="J15" s="3540">
        <v>2</v>
      </c>
      <c r="K15" s="3541"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6" t="s">
        <v>2672</v>
      </c>
      <c r="C16" s="3547"/>
      <c r="D16" s="2575">
        <f>D6*E16</f>
        <v>0</v>
      </c>
      <c r="E16" s="2576"/>
      <c r="F16" s="2561" t="s">
        <v>2673</v>
      </c>
      <c r="G16" s="2540"/>
      <c r="H16" s="2515"/>
      <c r="I16" s="2516"/>
      <c r="J16" s="3540"/>
      <c r="K16" s="3542"/>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8" t="s">
        <v>2675</v>
      </c>
      <c r="C17" s="3549"/>
      <c r="D17" s="2578">
        <f>ROUND(D6*E17,0)</f>
        <v>0</v>
      </c>
      <c r="E17" s="2579"/>
      <c r="F17" s="2580" t="s">
        <v>2676</v>
      </c>
      <c r="G17" s="2540"/>
      <c r="H17" s="2515"/>
      <c r="I17" s="2516"/>
      <c r="J17" s="3540"/>
      <c r="K17" s="3542"/>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40"/>
      <c r="K18" s="3542"/>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40"/>
      <c r="K19" s="3543"/>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40">
        <v>3</v>
      </c>
      <c r="K20" s="3541"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40"/>
      <c r="K21" s="3542"/>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40"/>
      <c r="K22" s="3542"/>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40"/>
      <c r="K23" s="3542"/>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40"/>
      <c r="K24" s="3543"/>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50">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51"/>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3" t="s">
        <v>2608</v>
      </c>
      <c r="K32" s="3534"/>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35" t="s">
        <v>2618</v>
      </c>
      <c r="K33" s="3536"/>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35" t="s">
        <v>2620</v>
      </c>
      <c r="K34" s="3536"/>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40">
        <v>1</v>
      </c>
      <c r="K36" s="3541"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40"/>
      <c r="K37" s="3542"/>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40"/>
      <c r="K38" s="3542"/>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40"/>
      <c r="K39" s="3542"/>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40"/>
      <c r="K40" s="3543"/>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50">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51"/>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59" t="s">
        <v>1921</v>
      </c>
      <c r="S4" s="3560"/>
      <c r="T4" s="3559" t="s">
        <v>1922</v>
      </c>
      <c r="U4" s="3560"/>
      <c r="V4" s="3584" t="s">
        <v>1923</v>
      </c>
      <c r="W4" s="3584"/>
      <c r="X4" s="1294"/>
      <c r="Y4" s="3559" t="s">
        <v>1925</v>
      </c>
      <c r="Z4" s="3560"/>
      <c r="AA4" s="3554" t="s">
        <v>1921</v>
      </c>
      <c r="AB4" s="3554" t="s">
        <v>1922</v>
      </c>
      <c r="AC4" s="3554" t="s">
        <v>1923</v>
      </c>
    </row>
    <row r="5" spans="1:29" ht="15">
      <c r="A5" s="359"/>
      <c r="B5" s="360"/>
      <c r="C5" s="3565" t="s">
        <v>1926</v>
      </c>
      <c r="D5" s="3566"/>
      <c r="E5" s="3563" t="s">
        <v>1927</v>
      </c>
      <c r="F5" s="3564"/>
      <c r="G5" s="3565" t="s">
        <v>1928</v>
      </c>
      <c r="H5" s="3566"/>
      <c r="I5" s="3565" t="s">
        <v>1929</v>
      </c>
      <c r="J5" s="3566"/>
      <c r="K5" s="1830"/>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1830"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44733</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57" t="s">
        <v>1933</v>
      </c>
      <c r="Q7" s="3585"/>
      <c r="R7" s="704" t="s">
        <v>23</v>
      </c>
      <c r="S7" s="705">
        <f t="shared" ref="S7:S15" si="0">F7</f>
        <v>0</v>
      </c>
      <c r="T7" s="704" t="s">
        <v>23</v>
      </c>
      <c r="U7" s="705">
        <f t="shared" ref="U7:U15" si="1">H7</f>
        <v>0</v>
      </c>
      <c r="V7" s="704" t="s">
        <v>23</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57" t="s">
        <v>1936</v>
      </c>
      <c r="Q8" s="3558"/>
      <c r="R8" s="704" t="s">
        <v>23</v>
      </c>
      <c r="S8" s="705">
        <f t="shared" si="0"/>
        <v>0</v>
      </c>
      <c r="T8" s="704" t="s">
        <v>23</v>
      </c>
      <c r="U8" s="705">
        <f t="shared" si="1"/>
        <v>0</v>
      </c>
      <c r="V8" s="704" t="s">
        <v>23</v>
      </c>
      <c r="W8" s="705">
        <f t="shared" si="2"/>
        <v>0</v>
      </c>
      <c r="X8" s="706"/>
      <c r="Y8" s="3557" t="s">
        <v>1936</v>
      </c>
      <c r="Z8" s="355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1"/>
      <c r="Q11" s="1284" t="str">
        <f t="shared" si="6"/>
        <v>容积率</v>
      </c>
      <c r="R11" s="704" t="s">
        <v>21</v>
      </c>
      <c r="S11" s="705" t="e">
        <f t="shared" si="0"/>
        <v>#N/A</v>
      </c>
      <c r="T11" s="704" t="s">
        <v>21</v>
      </c>
      <c r="U11" s="705" t="e">
        <f t="shared" si="1"/>
        <v>#N/A</v>
      </c>
      <c r="V11" s="704" t="s">
        <v>21</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1"/>
      <c r="Q12" s="1284">
        <f t="shared" si="6"/>
        <v>111</v>
      </c>
      <c r="R12" s="704" t="s">
        <v>21</v>
      </c>
      <c r="S12" s="705">
        <f t="shared" si="0"/>
        <v>100</v>
      </c>
      <c r="T12" s="704" t="s">
        <v>21</v>
      </c>
      <c r="U12" s="705">
        <f t="shared" si="1"/>
        <v>100</v>
      </c>
      <c r="V12" s="704" t="s">
        <v>21</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1"/>
      <c r="Q13" s="1284">
        <f t="shared" si="6"/>
        <v>111</v>
      </c>
      <c r="R13" s="704" t="s">
        <v>21</v>
      </c>
      <c r="S13" s="705">
        <f t="shared" si="0"/>
        <v>100</v>
      </c>
      <c r="T13" s="704" t="s">
        <v>21</v>
      </c>
      <c r="U13" s="705">
        <f t="shared" si="1"/>
        <v>100</v>
      </c>
      <c r="V13" s="704" t="s">
        <v>21</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1"/>
      <c r="Q14" s="1284">
        <f t="shared" si="6"/>
        <v>111</v>
      </c>
      <c r="R14" s="704" t="s">
        <v>21</v>
      </c>
      <c r="S14" s="705">
        <f t="shared" si="0"/>
        <v>100</v>
      </c>
      <c r="T14" s="704" t="s">
        <v>21</v>
      </c>
      <c r="U14" s="705">
        <f t="shared" si="1"/>
        <v>100</v>
      </c>
      <c r="V14" s="704" t="s">
        <v>21</v>
      </c>
      <c r="W14" s="705">
        <f t="shared" si="2"/>
        <v>100</v>
      </c>
      <c r="X14" s="706"/>
      <c r="Y14" s="3501"/>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98" t="s">
        <v>1944</v>
      </c>
      <c r="Q15" s="1291" t="str">
        <f t="shared" si="6"/>
        <v>居住社区成熟度</v>
      </c>
      <c r="R15" s="708" t="s">
        <v>21</v>
      </c>
      <c r="S15" s="709">
        <f t="shared" si="0"/>
        <v>100</v>
      </c>
      <c r="T15" s="708" t="s">
        <v>21</v>
      </c>
      <c r="U15" s="709">
        <f t="shared" si="1"/>
        <v>100</v>
      </c>
      <c r="V15" s="708" t="s">
        <v>21</v>
      </c>
      <c r="W15" s="709">
        <f t="shared" si="2"/>
        <v>100</v>
      </c>
      <c r="X15" s="1294"/>
      <c r="Y15" s="359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99"/>
      <c r="Q17" s="1291" t="str">
        <f>B17</f>
        <v>交通便捷度</v>
      </c>
      <c r="R17" s="708" t="s">
        <v>21</v>
      </c>
      <c r="S17" s="709">
        <f>F17</f>
        <v>100</v>
      </c>
      <c r="T17" s="708" t="s">
        <v>21</v>
      </c>
      <c r="U17" s="709">
        <f>H17</f>
        <v>100</v>
      </c>
      <c r="V17" s="708" t="s">
        <v>21</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99"/>
      <c r="Q19" s="1291" t="str">
        <f>B19</f>
        <v>公共配套设施</v>
      </c>
      <c r="R19" s="708" t="s">
        <v>21</v>
      </c>
      <c r="S19" s="709">
        <f>F19</f>
        <v>100</v>
      </c>
      <c r="T19" s="708" t="s">
        <v>21</v>
      </c>
      <c r="U19" s="709">
        <f>H19</f>
        <v>100</v>
      </c>
      <c r="V19" s="708" t="s">
        <v>21</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99"/>
      <c r="Q23" s="1291" t="str">
        <f>B23</f>
        <v>自然及人文环境</v>
      </c>
      <c r="R23" s="708" t="s">
        <v>21</v>
      </c>
      <c r="S23" s="709">
        <f>F23</f>
        <v>100</v>
      </c>
      <c r="T23" s="708" t="s">
        <v>21</v>
      </c>
      <c r="U23" s="709">
        <f>H23</f>
        <v>100</v>
      </c>
      <c r="V23" s="708" t="s">
        <v>21</v>
      </c>
      <c r="W23" s="709">
        <f>J23</f>
        <v>100</v>
      </c>
      <c r="X23" s="1294"/>
      <c r="Y23" s="359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9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99"/>
      <c r="Q26" s="1291" t="str">
        <f t="shared" si="11"/>
        <v>朝向</v>
      </c>
      <c r="R26" s="708" t="s">
        <v>21</v>
      </c>
      <c r="S26" s="709">
        <f t="shared" si="12"/>
        <v>100</v>
      </c>
      <c r="T26" s="708" t="s">
        <v>21</v>
      </c>
      <c r="U26" s="709">
        <f t="shared" si="13"/>
        <v>100</v>
      </c>
      <c r="V26" s="708" t="s">
        <v>21</v>
      </c>
      <c r="W26" s="709">
        <f t="shared" si="14"/>
        <v>100</v>
      </c>
      <c r="X26" s="1294"/>
      <c r="Y26" s="359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99"/>
      <c r="Q27" s="1284">
        <f t="shared" si="11"/>
        <v>111</v>
      </c>
      <c r="R27" s="704" t="s">
        <v>21</v>
      </c>
      <c r="S27" s="705">
        <f t="shared" si="12"/>
        <v>100</v>
      </c>
      <c r="T27" s="704" t="s">
        <v>21</v>
      </c>
      <c r="U27" s="705">
        <f t="shared" si="13"/>
        <v>100</v>
      </c>
      <c r="V27" s="704" t="s">
        <v>21</v>
      </c>
      <c r="W27" s="705">
        <f t="shared" si="14"/>
        <v>100</v>
      </c>
      <c r="X27" s="706"/>
      <c r="Y27" s="359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99"/>
      <c r="Q28" s="1291">
        <f t="shared" si="11"/>
        <v>111</v>
      </c>
      <c r="R28" s="708" t="s">
        <v>21</v>
      </c>
      <c r="S28" s="709">
        <f t="shared" si="12"/>
        <v>100</v>
      </c>
      <c r="T28" s="708" t="s">
        <v>21</v>
      </c>
      <c r="U28" s="709">
        <f t="shared" si="13"/>
        <v>100</v>
      </c>
      <c r="V28" s="708" t="s">
        <v>21</v>
      </c>
      <c r="W28" s="709">
        <f t="shared" si="14"/>
        <v>100</v>
      </c>
      <c r="X28" s="1294"/>
      <c r="Y28" s="359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99"/>
      <c r="Q29" s="1291">
        <f t="shared" si="11"/>
        <v>111</v>
      </c>
      <c r="R29" s="708" t="s">
        <v>21</v>
      </c>
      <c r="S29" s="709">
        <f t="shared" si="12"/>
        <v>100</v>
      </c>
      <c r="T29" s="708" t="s">
        <v>21</v>
      </c>
      <c r="U29" s="709">
        <f t="shared" si="13"/>
        <v>100</v>
      </c>
      <c r="V29" s="708" t="s">
        <v>21</v>
      </c>
      <c r="W29" s="709">
        <f t="shared" si="14"/>
        <v>100</v>
      </c>
      <c r="X29" s="1294"/>
      <c r="Y29" s="359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99"/>
      <c r="Q30" s="1291">
        <f t="shared" si="11"/>
        <v>111</v>
      </c>
      <c r="R30" s="708" t="s">
        <v>21</v>
      </c>
      <c r="S30" s="709">
        <f t="shared" si="12"/>
        <v>100</v>
      </c>
      <c r="T30" s="708" t="s">
        <v>21</v>
      </c>
      <c r="U30" s="709">
        <f t="shared" si="13"/>
        <v>100</v>
      </c>
      <c r="V30" s="708" t="s">
        <v>21</v>
      </c>
      <c r="W30" s="709">
        <f t="shared" si="14"/>
        <v>100</v>
      </c>
      <c r="X30" s="1294"/>
      <c r="Y30" s="359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99"/>
      <c r="Q31" s="1291">
        <f t="shared" si="11"/>
        <v>111</v>
      </c>
      <c r="R31" s="708" t="s">
        <v>21</v>
      </c>
      <c r="S31" s="709">
        <f t="shared" si="12"/>
        <v>100</v>
      </c>
      <c r="T31" s="708" t="s">
        <v>21</v>
      </c>
      <c r="U31" s="709">
        <f t="shared" si="13"/>
        <v>100</v>
      </c>
      <c r="V31" s="708" t="s">
        <v>21</v>
      </c>
      <c r="W31" s="709">
        <f t="shared" si="14"/>
        <v>100</v>
      </c>
      <c r="X31" s="1294"/>
      <c r="Y31" s="359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93" t="s">
        <v>1949</v>
      </c>
      <c r="Q32" s="1291" t="str">
        <f t="shared" si="11"/>
        <v>建筑类型</v>
      </c>
      <c r="R32" s="708" t="s">
        <v>21</v>
      </c>
      <c r="S32" s="709">
        <f t="shared" si="12"/>
        <v>100</v>
      </c>
      <c r="T32" s="708" t="s">
        <v>21</v>
      </c>
      <c r="U32" s="709">
        <f t="shared" si="13"/>
        <v>100</v>
      </c>
      <c r="V32" s="708" t="s">
        <v>21</v>
      </c>
      <c r="W32" s="709">
        <f t="shared" si="14"/>
        <v>100</v>
      </c>
      <c r="X32" s="1294"/>
      <c r="Y32" s="359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94"/>
      <c r="Q33" s="710" t="str">
        <f t="shared" si="11"/>
        <v>项目建筑规模</v>
      </c>
      <c r="R33" s="711" t="s">
        <v>21</v>
      </c>
      <c r="S33" s="712" t="e">
        <f t="shared" si="12"/>
        <v>#N/A</v>
      </c>
      <c r="T33" s="711" t="s">
        <v>21</v>
      </c>
      <c r="U33" s="712" t="e">
        <f t="shared" si="13"/>
        <v>#N/A</v>
      </c>
      <c r="V33" s="711" t="s">
        <v>21</v>
      </c>
      <c r="W33" s="712" t="e">
        <f t="shared" si="14"/>
        <v>#N/A</v>
      </c>
      <c r="X33" s="713"/>
      <c r="Y33" s="359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94"/>
      <c r="Q34" s="1291" t="str">
        <f t="shared" si="11"/>
        <v>建筑结构</v>
      </c>
      <c r="R34" s="708" t="s">
        <v>21</v>
      </c>
      <c r="S34" s="709">
        <f t="shared" si="12"/>
        <v>100</v>
      </c>
      <c r="T34" s="708" t="s">
        <v>21</v>
      </c>
      <c r="U34" s="709">
        <f t="shared" si="13"/>
        <v>100</v>
      </c>
      <c r="V34" s="708" t="s">
        <v>21</v>
      </c>
      <c r="W34" s="709">
        <f t="shared" si="14"/>
        <v>100</v>
      </c>
      <c r="X34" s="1294"/>
      <c r="Y34" s="359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94"/>
      <c r="Q35" s="1291" t="str">
        <f t="shared" si="11"/>
        <v>建筑品质</v>
      </c>
      <c r="R35" s="708" t="s">
        <v>21</v>
      </c>
      <c r="S35" s="709">
        <f t="shared" si="12"/>
        <v>100</v>
      </c>
      <c r="T35" s="708" t="s">
        <v>21</v>
      </c>
      <c r="U35" s="709">
        <f t="shared" si="13"/>
        <v>100</v>
      </c>
      <c r="V35" s="708" t="s">
        <v>21</v>
      </c>
      <c r="W35" s="709">
        <f t="shared" si="14"/>
        <v>100</v>
      </c>
      <c r="X35" s="1294"/>
      <c r="Y35" s="359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94"/>
      <c r="Q36" s="1291" t="str">
        <f t="shared" si="11"/>
        <v>公共部分装修</v>
      </c>
      <c r="R36" s="708" t="s">
        <v>21</v>
      </c>
      <c r="S36" s="709">
        <f t="shared" si="12"/>
        <v>100</v>
      </c>
      <c r="T36" s="708" t="s">
        <v>21</v>
      </c>
      <c r="U36" s="709">
        <f t="shared" si="13"/>
        <v>100</v>
      </c>
      <c r="V36" s="708" t="s">
        <v>21</v>
      </c>
      <c r="W36" s="709">
        <f t="shared" si="14"/>
        <v>100</v>
      </c>
      <c r="X36" s="1294"/>
      <c r="Y36" s="359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94"/>
      <c r="Q37" s="1284" t="str">
        <f t="shared" si="11"/>
        <v>成新度</v>
      </c>
      <c r="R37" s="704" t="s">
        <v>21</v>
      </c>
      <c r="S37" s="705" t="e">
        <f t="shared" si="12"/>
        <v>#N/A</v>
      </c>
      <c r="T37" s="704" t="s">
        <v>21</v>
      </c>
      <c r="U37" s="705" t="e">
        <f t="shared" si="13"/>
        <v>#N/A</v>
      </c>
      <c r="V37" s="704" t="s">
        <v>21</v>
      </c>
      <c r="W37" s="705" t="e">
        <f t="shared" si="14"/>
        <v>#N/A</v>
      </c>
      <c r="X37" s="706"/>
      <c r="Y37" s="359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94" t="s">
        <v>1949</v>
      </c>
      <c r="Q38" s="1291" t="str">
        <f t="shared" si="11"/>
        <v>物业管理</v>
      </c>
      <c r="R38" s="708" t="s">
        <v>21</v>
      </c>
      <c r="S38" s="709">
        <f t="shared" si="12"/>
        <v>100</v>
      </c>
      <c r="T38" s="708" t="s">
        <v>21</v>
      </c>
      <c r="U38" s="709">
        <f t="shared" si="13"/>
        <v>100</v>
      </c>
      <c r="V38" s="708" t="s">
        <v>21</v>
      </c>
      <c r="W38" s="709">
        <f t="shared" si="14"/>
        <v>100</v>
      </c>
      <c r="X38" s="1294"/>
      <c r="Y38" s="359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94"/>
      <c r="Q39" s="1291" t="str">
        <f t="shared" si="11"/>
        <v>市政基础设施</v>
      </c>
      <c r="R39" s="708" t="s">
        <v>21</v>
      </c>
      <c r="S39" s="709">
        <f t="shared" si="12"/>
        <v>100</v>
      </c>
      <c r="T39" s="708" t="s">
        <v>21</v>
      </c>
      <c r="U39" s="709">
        <f t="shared" si="13"/>
        <v>100</v>
      </c>
      <c r="V39" s="708" t="s">
        <v>21</v>
      </c>
      <c r="W39" s="709">
        <f t="shared" si="14"/>
        <v>100</v>
      </c>
      <c r="X39" s="1294"/>
      <c r="Y39" s="359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94"/>
      <c r="Q40" s="1291" t="str">
        <f t="shared" si="11"/>
        <v>房型</v>
      </c>
      <c r="R40" s="708" t="s">
        <v>21</v>
      </c>
      <c r="S40" s="709">
        <f t="shared" si="12"/>
        <v>100</v>
      </c>
      <c r="T40" s="708" t="s">
        <v>21</v>
      </c>
      <c r="U40" s="709">
        <f t="shared" si="13"/>
        <v>100</v>
      </c>
      <c r="V40" s="708" t="s">
        <v>21</v>
      </c>
      <c r="W40" s="709">
        <f t="shared" si="14"/>
        <v>100</v>
      </c>
      <c r="X40" s="1294"/>
      <c r="Y40" s="359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94"/>
      <c r="Q41" s="710" t="str">
        <f t="shared" si="11"/>
        <v>单套/主力户型建筑面积</v>
      </c>
      <c r="R41" s="711" t="s">
        <v>21</v>
      </c>
      <c r="S41" s="712">
        <f t="shared" si="12"/>
        <v>100</v>
      </c>
      <c r="T41" s="711" t="s">
        <v>21</v>
      </c>
      <c r="U41" s="712">
        <f t="shared" si="13"/>
        <v>100</v>
      </c>
      <c r="V41" s="711" t="s">
        <v>21</v>
      </c>
      <c r="W41" s="712">
        <f t="shared" si="14"/>
        <v>100</v>
      </c>
      <c r="X41" s="713"/>
      <c r="Y41" s="359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94"/>
      <c r="Q42" s="1291" t="str">
        <f t="shared" si="11"/>
        <v>内部装修</v>
      </c>
      <c r="R42" s="708" t="s">
        <v>21</v>
      </c>
      <c r="S42" s="709">
        <f t="shared" si="12"/>
        <v>100</v>
      </c>
      <c r="T42" s="708" t="s">
        <v>21</v>
      </c>
      <c r="U42" s="709">
        <f t="shared" si="13"/>
        <v>100</v>
      </c>
      <c r="V42" s="708" t="s">
        <v>21</v>
      </c>
      <c r="W42" s="709">
        <f t="shared" si="14"/>
        <v>100</v>
      </c>
      <c r="X42" s="1294"/>
      <c r="Y42" s="359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94"/>
      <c r="Q43" s="1291" t="str">
        <f t="shared" si="11"/>
        <v>内部装修维护情况</v>
      </c>
      <c r="R43" s="708" t="s">
        <v>21</v>
      </c>
      <c r="S43" s="709">
        <f t="shared" si="12"/>
        <v>100</v>
      </c>
      <c r="T43" s="708" t="s">
        <v>21</v>
      </c>
      <c r="U43" s="709">
        <f t="shared" si="13"/>
        <v>100</v>
      </c>
      <c r="V43" s="708" t="s">
        <v>21</v>
      </c>
      <c r="W43" s="709">
        <f t="shared" si="14"/>
        <v>100</v>
      </c>
      <c r="X43" s="1294"/>
      <c r="Y43" s="359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94"/>
      <c r="Q44" s="1284">
        <f t="shared" si="11"/>
        <v>111</v>
      </c>
      <c r="R44" s="704" t="s">
        <v>21</v>
      </c>
      <c r="S44" s="705">
        <f t="shared" si="12"/>
        <v>100</v>
      </c>
      <c r="T44" s="704" t="s">
        <v>21</v>
      </c>
      <c r="U44" s="705">
        <f t="shared" si="13"/>
        <v>100</v>
      </c>
      <c r="V44" s="704" t="s">
        <v>21</v>
      </c>
      <c r="W44" s="705">
        <f t="shared" si="14"/>
        <v>100</v>
      </c>
      <c r="X44" s="706"/>
      <c r="Y44" s="359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94"/>
      <c r="Q45" s="1291">
        <f t="shared" si="11"/>
        <v>111</v>
      </c>
      <c r="R45" s="708" t="s">
        <v>21</v>
      </c>
      <c r="S45" s="709">
        <f t="shared" si="12"/>
        <v>100</v>
      </c>
      <c r="T45" s="708" t="s">
        <v>21</v>
      </c>
      <c r="U45" s="709">
        <f t="shared" si="13"/>
        <v>100</v>
      </c>
      <c r="V45" s="708" t="s">
        <v>21</v>
      </c>
      <c r="W45" s="709">
        <f t="shared" si="14"/>
        <v>100</v>
      </c>
      <c r="X45" s="1294"/>
      <c r="Y45" s="359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95"/>
      <c r="Q46" s="1291">
        <f t="shared" si="11"/>
        <v>111</v>
      </c>
      <c r="R46" s="708" t="s">
        <v>20</v>
      </c>
      <c r="S46" s="709">
        <f t="shared" si="12"/>
        <v>100</v>
      </c>
      <c r="T46" s="708" t="s">
        <v>20</v>
      </c>
      <c r="U46" s="709">
        <f t="shared" si="13"/>
        <v>100</v>
      </c>
      <c r="V46" s="708" t="s">
        <v>20</v>
      </c>
      <c r="W46" s="709">
        <f t="shared" si="14"/>
        <v>100</v>
      </c>
      <c r="X46" s="1294"/>
      <c r="Y46" s="359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89" t="str">
        <f>A47</f>
        <v>成交单价（元/平方米）</v>
      </c>
      <c r="Q47" s="3589"/>
      <c r="R47" s="3590">
        <f>E47</f>
        <v>0</v>
      </c>
      <c r="S47" s="3590"/>
      <c r="T47" s="3590">
        <f>G47</f>
        <v>0</v>
      </c>
      <c r="U47" s="3590"/>
      <c r="V47" s="3590">
        <f>I47</f>
        <v>0</v>
      </c>
      <c r="W47" s="359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84"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84"/>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84"/>
      <c r="AC6" s="3556"/>
    </row>
    <row r="7" spans="1:29" s="112" customFormat="1" ht="15.75" thickBot="1">
      <c r="A7" s="363" t="s">
        <v>1932</v>
      </c>
      <c r="B7" s="364"/>
      <c r="C7" s="365">
        <f>'数据-取费表'!B2</f>
        <v>44733</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98" t="s">
        <v>1944</v>
      </c>
      <c r="Q15" s="1291" t="str">
        <f t="shared" si="6"/>
        <v>商业繁华度</v>
      </c>
      <c r="R15" s="708" t="s">
        <v>17</v>
      </c>
      <c r="S15" s="709">
        <f t="shared" si="0"/>
        <v>100</v>
      </c>
      <c r="T15" s="708" t="s">
        <v>17</v>
      </c>
      <c r="U15" s="709">
        <f t="shared" si="1"/>
        <v>100</v>
      </c>
      <c r="V15" s="708" t="s">
        <v>17</v>
      </c>
      <c r="W15" s="709">
        <f t="shared" si="2"/>
        <v>100</v>
      </c>
      <c r="X15" s="1294"/>
      <c r="Y15" s="359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99"/>
      <c r="Q23" s="1291" t="str">
        <f>B23</f>
        <v>自然及人文环境</v>
      </c>
      <c r="R23" s="708" t="s">
        <v>17</v>
      </c>
      <c r="S23" s="709">
        <f>F23</f>
        <v>100</v>
      </c>
      <c r="T23" s="708" t="s">
        <v>17</v>
      </c>
      <c r="U23" s="709">
        <f>H23</f>
        <v>100</v>
      </c>
      <c r="V23" s="708" t="s">
        <v>17</v>
      </c>
      <c r="W23" s="709">
        <f>J23</f>
        <v>100</v>
      </c>
      <c r="X23" s="1294"/>
      <c r="Y23" s="359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99"/>
      <c r="Q25" s="1291" t="str">
        <f t="shared" ref="Q25:Q46" si="11">B25</f>
        <v>临街状况</v>
      </c>
      <c r="R25" s="708" t="s">
        <v>17</v>
      </c>
      <c r="S25" s="709">
        <f>F25</f>
        <v>100</v>
      </c>
      <c r="T25" s="708" t="s">
        <v>17</v>
      </c>
      <c r="U25" s="709">
        <f>H25</f>
        <v>100</v>
      </c>
      <c r="V25" s="708" t="s">
        <v>17</v>
      </c>
      <c r="W25" s="709">
        <f>J25</f>
        <v>100</v>
      </c>
      <c r="X25" s="1294"/>
      <c r="Y25" s="359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99"/>
      <c r="Q26" s="1291" t="str">
        <f t="shared" si="11"/>
        <v>平面位置/可视性</v>
      </c>
      <c r="R26" s="708" t="s">
        <v>17</v>
      </c>
      <c r="S26" s="709">
        <f>F26</f>
        <v>100</v>
      </c>
      <c r="T26" s="708" t="s">
        <v>17</v>
      </c>
      <c r="U26" s="709">
        <f>H26</f>
        <v>100</v>
      </c>
      <c r="V26" s="708" t="s">
        <v>17</v>
      </c>
      <c r="W26" s="709">
        <f>J26</f>
        <v>100</v>
      </c>
      <c r="X26" s="1294"/>
      <c r="Y26" s="359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99"/>
      <c r="Q27" s="1284" t="str">
        <f t="shared" si="11"/>
        <v>人流量</v>
      </c>
      <c r="R27" s="704" t="s">
        <v>17</v>
      </c>
      <c r="S27" s="705">
        <f>F27</f>
        <v>100</v>
      </c>
      <c r="T27" s="704" t="s">
        <v>17</v>
      </c>
      <c r="U27" s="705">
        <f>H27</f>
        <v>100</v>
      </c>
      <c r="V27" s="704" t="s">
        <v>17</v>
      </c>
      <c r="W27" s="705">
        <f>J27</f>
        <v>100</v>
      </c>
      <c r="X27" s="706"/>
      <c r="Y27" s="359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9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99"/>
      <c r="Q29" s="1291">
        <f t="shared" si="11"/>
        <v>111</v>
      </c>
      <c r="R29" s="708" t="s">
        <v>17</v>
      </c>
      <c r="S29" s="709">
        <f t="shared" si="12"/>
        <v>100</v>
      </c>
      <c r="T29" s="708" t="s">
        <v>17</v>
      </c>
      <c r="U29" s="709">
        <f t="shared" si="13"/>
        <v>100</v>
      </c>
      <c r="V29" s="708" t="s">
        <v>17</v>
      </c>
      <c r="W29" s="709">
        <f t="shared" si="14"/>
        <v>100</v>
      </c>
      <c r="X29" s="1294"/>
      <c r="Y29" s="359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93" t="s">
        <v>1949</v>
      </c>
      <c r="Q32" s="1291" t="str">
        <f t="shared" si="11"/>
        <v>商业类型</v>
      </c>
      <c r="R32" s="708" t="s">
        <v>17</v>
      </c>
      <c r="S32" s="709">
        <f t="shared" si="12"/>
        <v>100</v>
      </c>
      <c r="T32" s="708" t="s">
        <v>17</v>
      </c>
      <c r="U32" s="709">
        <f t="shared" si="13"/>
        <v>100</v>
      </c>
      <c r="V32" s="708" t="s">
        <v>17</v>
      </c>
      <c r="W32" s="709">
        <f t="shared" si="14"/>
        <v>100</v>
      </c>
      <c r="X32" s="1294"/>
      <c r="Y32" s="359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94"/>
      <c r="Q33" s="710" t="str">
        <f t="shared" si="11"/>
        <v>项目建筑规模</v>
      </c>
      <c r="R33" s="711" t="s">
        <v>17</v>
      </c>
      <c r="S33" s="712" t="e">
        <f t="shared" si="12"/>
        <v>#N/A</v>
      </c>
      <c r="T33" s="711" t="s">
        <v>17</v>
      </c>
      <c r="U33" s="712" t="e">
        <f t="shared" si="13"/>
        <v>#N/A</v>
      </c>
      <c r="V33" s="711" t="s">
        <v>17</v>
      </c>
      <c r="W33" s="712" t="e">
        <f t="shared" si="14"/>
        <v>#N/A</v>
      </c>
      <c r="X33" s="713"/>
      <c r="Y33" s="359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94"/>
      <c r="Q34" s="1291" t="str">
        <f t="shared" si="11"/>
        <v>建筑结构</v>
      </c>
      <c r="R34" s="708" t="s">
        <v>17</v>
      </c>
      <c r="S34" s="709">
        <f t="shared" si="12"/>
        <v>100</v>
      </c>
      <c r="T34" s="708" t="s">
        <v>17</v>
      </c>
      <c r="U34" s="709">
        <f t="shared" si="13"/>
        <v>100</v>
      </c>
      <c r="V34" s="708" t="s">
        <v>17</v>
      </c>
      <c r="W34" s="709">
        <f t="shared" si="14"/>
        <v>100</v>
      </c>
      <c r="X34" s="1294"/>
      <c r="Y34" s="359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94"/>
      <c r="Q35" s="1291" t="str">
        <f t="shared" si="11"/>
        <v>公共部分装修</v>
      </c>
      <c r="R35" s="708" t="s">
        <v>17</v>
      </c>
      <c r="S35" s="709">
        <f t="shared" si="12"/>
        <v>100</v>
      </c>
      <c r="T35" s="708" t="s">
        <v>17</v>
      </c>
      <c r="U35" s="709">
        <f t="shared" si="13"/>
        <v>100</v>
      </c>
      <c r="V35" s="708" t="s">
        <v>17</v>
      </c>
      <c r="W35" s="709">
        <f t="shared" si="14"/>
        <v>100</v>
      </c>
      <c r="X35" s="1294"/>
      <c r="Y35" s="359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94"/>
      <c r="Q36" s="1291" t="str">
        <f t="shared" si="11"/>
        <v>成新度</v>
      </c>
      <c r="R36" s="708" t="s">
        <v>17</v>
      </c>
      <c r="S36" s="709" t="e">
        <f t="shared" si="12"/>
        <v>#N/A</v>
      </c>
      <c r="T36" s="708" t="s">
        <v>17</v>
      </c>
      <c r="U36" s="709" t="e">
        <f t="shared" si="13"/>
        <v>#N/A</v>
      </c>
      <c r="V36" s="708" t="s">
        <v>17</v>
      </c>
      <c r="W36" s="709" t="e">
        <f t="shared" si="14"/>
        <v>#N/A</v>
      </c>
      <c r="X36" s="1294"/>
      <c r="Y36" s="359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94"/>
      <c r="Q37" s="1284" t="str">
        <f t="shared" si="11"/>
        <v>市政基础设施</v>
      </c>
      <c r="R37" s="704" t="s">
        <v>17</v>
      </c>
      <c r="S37" s="705">
        <f t="shared" si="12"/>
        <v>100</v>
      </c>
      <c r="T37" s="704" t="s">
        <v>17</v>
      </c>
      <c r="U37" s="705">
        <f t="shared" si="13"/>
        <v>100</v>
      </c>
      <c r="V37" s="704" t="s">
        <v>17</v>
      </c>
      <c r="W37" s="705">
        <f t="shared" si="14"/>
        <v>100</v>
      </c>
      <c r="X37" s="706"/>
      <c r="Y37" s="359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94" t="s">
        <v>1949</v>
      </c>
      <c r="Q38" s="1291" t="str">
        <f t="shared" si="11"/>
        <v>业态</v>
      </c>
      <c r="R38" s="708" t="s">
        <v>17</v>
      </c>
      <c r="S38" s="709">
        <f t="shared" si="12"/>
        <v>100</v>
      </c>
      <c r="T38" s="708" t="s">
        <v>17</v>
      </c>
      <c r="U38" s="709">
        <f t="shared" si="13"/>
        <v>100</v>
      </c>
      <c r="V38" s="708" t="s">
        <v>17</v>
      </c>
      <c r="W38" s="709">
        <f t="shared" si="14"/>
        <v>100</v>
      </c>
      <c r="X38" s="1294"/>
      <c r="Y38" s="359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94"/>
      <c r="Q39" s="1291" t="str">
        <f t="shared" si="11"/>
        <v>层高</v>
      </c>
      <c r="R39" s="708" t="s">
        <v>17</v>
      </c>
      <c r="S39" s="709">
        <f t="shared" si="12"/>
        <v>100</v>
      </c>
      <c r="T39" s="708" t="s">
        <v>17</v>
      </c>
      <c r="U39" s="709">
        <f t="shared" si="13"/>
        <v>100</v>
      </c>
      <c r="V39" s="708" t="s">
        <v>17</v>
      </c>
      <c r="W39" s="709">
        <f t="shared" si="14"/>
        <v>100</v>
      </c>
      <c r="X39" s="1294"/>
      <c r="Y39" s="359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94"/>
      <c r="Q40" s="1291" t="str">
        <f t="shared" si="11"/>
        <v>单套建筑面积</v>
      </c>
      <c r="R40" s="708" t="s">
        <v>17</v>
      </c>
      <c r="S40" s="709">
        <f t="shared" si="12"/>
        <v>100</v>
      </c>
      <c r="T40" s="708" t="s">
        <v>17</v>
      </c>
      <c r="U40" s="709">
        <f t="shared" si="13"/>
        <v>100</v>
      </c>
      <c r="V40" s="708" t="s">
        <v>17</v>
      </c>
      <c r="W40" s="709">
        <f t="shared" si="14"/>
        <v>100</v>
      </c>
      <c r="X40" s="1294"/>
      <c r="Y40" s="359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94"/>
      <c r="Q41" s="710" t="str">
        <f t="shared" si="11"/>
        <v>进深比</v>
      </c>
      <c r="R41" s="711" t="s">
        <v>17</v>
      </c>
      <c r="S41" s="712">
        <f t="shared" si="12"/>
        <v>100</v>
      </c>
      <c r="T41" s="711" t="s">
        <v>17</v>
      </c>
      <c r="U41" s="712">
        <f t="shared" si="13"/>
        <v>100</v>
      </c>
      <c r="V41" s="711" t="s">
        <v>17</v>
      </c>
      <c r="W41" s="712">
        <f t="shared" si="14"/>
        <v>100</v>
      </c>
      <c r="X41" s="713"/>
      <c r="Y41" s="359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94"/>
      <c r="Q42" s="1291" t="str">
        <f t="shared" si="11"/>
        <v>内部装修</v>
      </c>
      <c r="R42" s="708" t="s">
        <v>17</v>
      </c>
      <c r="S42" s="709">
        <f t="shared" si="12"/>
        <v>100</v>
      </c>
      <c r="T42" s="708" t="s">
        <v>17</v>
      </c>
      <c r="U42" s="709">
        <f t="shared" si="13"/>
        <v>100</v>
      </c>
      <c r="V42" s="708" t="s">
        <v>17</v>
      </c>
      <c r="W42" s="709">
        <f t="shared" si="14"/>
        <v>100</v>
      </c>
      <c r="X42" s="1294"/>
      <c r="Y42" s="359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94"/>
      <c r="Q43" s="1291" t="str">
        <f t="shared" si="11"/>
        <v>内部装修维护情况</v>
      </c>
      <c r="R43" s="708" t="s">
        <v>17</v>
      </c>
      <c r="S43" s="709">
        <f t="shared" si="12"/>
        <v>100</v>
      </c>
      <c r="T43" s="708" t="s">
        <v>17</v>
      </c>
      <c r="U43" s="709">
        <f t="shared" si="13"/>
        <v>100</v>
      </c>
      <c r="V43" s="708" t="s">
        <v>17</v>
      </c>
      <c r="W43" s="709">
        <f t="shared" si="14"/>
        <v>100</v>
      </c>
      <c r="X43" s="1294"/>
      <c r="Y43" s="359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94"/>
      <c r="Q44" s="1284">
        <f t="shared" si="11"/>
        <v>111</v>
      </c>
      <c r="R44" s="704" t="s">
        <v>17</v>
      </c>
      <c r="S44" s="705">
        <f t="shared" si="12"/>
        <v>100</v>
      </c>
      <c r="T44" s="704" t="s">
        <v>17</v>
      </c>
      <c r="U44" s="705">
        <f t="shared" si="13"/>
        <v>100</v>
      </c>
      <c r="V44" s="704" t="s">
        <v>17</v>
      </c>
      <c r="W44" s="705">
        <f t="shared" si="14"/>
        <v>100</v>
      </c>
      <c r="X44" s="706"/>
      <c r="Y44" s="359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94"/>
      <c r="Q45" s="1291">
        <f t="shared" si="11"/>
        <v>111</v>
      </c>
      <c r="R45" s="708" t="s">
        <v>17</v>
      </c>
      <c r="S45" s="709">
        <f t="shared" si="12"/>
        <v>100</v>
      </c>
      <c r="T45" s="708" t="s">
        <v>17</v>
      </c>
      <c r="U45" s="709">
        <f t="shared" si="13"/>
        <v>100</v>
      </c>
      <c r="V45" s="708" t="s">
        <v>17</v>
      </c>
      <c r="W45" s="709">
        <f t="shared" si="14"/>
        <v>100</v>
      </c>
      <c r="X45" s="1294"/>
      <c r="Y45" s="359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89" t="str">
        <f>A47</f>
        <v>成交单价（元/平方米）</v>
      </c>
      <c r="Q47" s="3589"/>
      <c r="R47" s="3584">
        <f>E47</f>
        <v>0</v>
      </c>
      <c r="S47" s="3584"/>
      <c r="T47" s="3584">
        <f>G47</f>
        <v>0</v>
      </c>
      <c r="U47" s="3584"/>
      <c r="V47" s="3584">
        <f>I47</f>
        <v>0</v>
      </c>
      <c r="W47" s="3584"/>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01" t="s">
        <v>2031</v>
      </c>
      <c r="S4" s="3602"/>
      <c r="T4" s="3601" t="s">
        <v>2032</v>
      </c>
      <c r="U4" s="3602"/>
      <c r="V4" s="3610" t="s">
        <v>2033</v>
      </c>
      <c r="W4" s="3610"/>
      <c r="X4" s="1898"/>
      <c r="Y4" s="3601" t="s">
        <v>2035</v>
      </c>
      <c r="Z4" s="3602"/>
      <c r="AA4" s="3600" t="s">
        <v>2031</v>
      </c>
      <c r="AB4" s="3600" t="s">
        <v>2032</v>
      </c>
      <c r="AC4" s="3603" t="s">
        <v>2033</v>
      </c>
    </row>
    <row r="5" spans="1:29" ht="15">
      <c r="A5" s="359"/>
      <c r="B5" s="360"/>
      <c r="C5" s="3565" t="s">
        <v>1926</v>
      </c>
      <c r="D5" s="3566"/>
      <c r="E5" s="3563" t="s">
        <v>1927</v>
      </c>
      <c r="F5" s="3564"/>
      <c r="G5" s="3565" t="s">
        <v>1928</v>
      </c>
      <c r="H5" s="3566"/>
      <c r="I5" s="3565" t="s">
        <v>1929</v>
      </c>
      <c r="J5" s="3566"/>
      <c r="K5" s="562"/>
      <c r="L5" s="2395"/>
      <c r="M5" s="2396"/>
      <c r="N5" s="2396"/>
      <c r="O5" s="2396"/>
      <c r="P5" s="3608"/>
      <c r="Q5" s="3579"/>
      <c r="R5" s="3561"/>
      <c r="S5" s="3562"/>
      <c r="T5" s="3561"/>
      <c r="U5" s="3562"/>
      <c r="V5" s="3584"/>
      <c r="W5" s="3584"/>
      <c r="X5" s="1294"/>
      <c r="Y5" s="3561"/>
      <c r="Z5" s="3562"/>
      <c r="AA5" s="3555"/>
      <c r="AB5" s="3555"/>
      <c r="AC5" s="3604"/>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609"/>
      <c r="Q6" s="3581"/>
      <c r="R6" s="3561"/>
      <c r="S6" s="3562"/>
      <c r="T6" s="3582"/>
      <c r="U6" s="3583"/>
      <c r="V6" s="3584"/>
      <c r="W6" s="3584"/>
      <c r="X6" s="1294"/>
      <c r="Y6" s="3582"/>
      <c r="Z6" s="3583"/>
      <c r="AA6" s="3556"/>
      <c r="AB6" s="3556"/>
      <c r="AC6" s="3605"/>
    </row>
    <row r="7" spans="1:29" s="112" customFormat="1" ht="15.75" thickBot="1">
      <c r="A7" s="363" t="s">
        <v>1932</v>
      </c>
      <c r="B7" s="364"/>
      <c r="C7" s="365">
        <f>'数据-取费表'!B2</f>
        <v>44733</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1"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1" t="s">
        <v>1936</v>
      </c>
      <c r="Q8" s="3558"/>
      <c r="R8" s="704" t="s">
        <v>17</v>
      </c>
      <c r="S8" s="705">
        <f t="shared" si="0"/>
        <v>0</v>
      </c>
      <c r="T8" s="704" t="s">
        <v>17</v>
      </c>
      <c r="U8" s="705">
        <f t="shared" si="1"/>
        <v>0</v>
      </c>
      <c r="V8" s="704" t="s">
        <v>17</v>
      </c>
      <c r="W8" s="705">
        <f t="shared" si="2"/>
        <v>0</v>
      </c>
      <c r="X8" s="706"/>
      <c r="Y8" s="3557" t="s">
        <v>1936</v>
      </c>
      <c r="Z8" s="355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98" t="s">
        <v>1944</v>
      </c>
      <c r="Q15" s="1291" t="str">
        <f t="shared" si="6"/>
        <v>办公集聚程度</v>
      </c>
      <c r="R15" s="708" t="s">
        <v>17</v>
      </c>
      <c r="S15" s="709">
        <f t="shared" si="0"/>
        <v>100</v>
      </c>
      <c r="T15" s="708" t="s">
        <v>17</v>
      </c>
      <c r="U15" s="709">
        <f t="shared" si="1"/>
        <v>100</v>
      </c>
      <c r="V15" s="708" t="s">
        <v>17</v>
      </c>
      <c r="W15" s="709">
        <f t="shared" si="2"/>
        <v>100</v>
      </c>
      <c r="X15" s="1294"/>
      <c r="Y15" s="359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99"/>
      <c r="Q22" s="1291"/>
      <c r="R22" s="708"/>
      <c r="S22" s="709"/>
      <c r="T22" s="708"/>
      <c r="U22" s="709"/>
      <c r="V22" s="708"/>
      <c r="W22" s="709"/>
      <c r="X22" s="1294"/>
      <c r="Y22" s="3592"/>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99"/>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99"/>
      <c r="Q25" s="1291" t="str">
        <f>B25</f>
        <v>毗邻道路的类型与等级</v>
      </c>
      <c r="R25" s="708" t="s">
        <v>17</v>
      </c>
      <c r="S25" s="709">
        <f>F25</f>
        <v>100</v>
      </c>
      <c r="T25" s="708" t="s">
        <v>17</v>
      </c>
      <c r="U25" s="709">
        <f>H25</f>
        <v>100</v>
      </c>
      <c r="V25" s="708" t="s">
        <v>17</v>
      </c>
      <c r="W25" s="709">
        <f>J25</f>
        <v>100</v>
      </c>
      <c r="X25" s="1294"/>
      <c r="Y25" s="359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99"/>
      <c r="Q26" s="1291"/>
      <c r="R26" s="708"/>
      <c r="S26" s="709"/>
      <c r="T26" s="708"/>
      <c r="U26" s="709"/>
      <c r="V26" s="708"/>
      <c r="W26" s="709"/>
      <c r="X26" s="1294"/>
      <c r="Y26" s="359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99"/>
      <c r="Q27" s="1291" t="str">
        <f t="shared" ref="Q27:Q47" si="11">B27</f>
        <v>楼层</v>
      </c>
      <c r="R27" s="708" t="s">
        <v>17</v>
      </c>
      <c r="S27" s="709">
        <f>F27</f>
        <v>100</v>
      </c>
      <c r="T27" s="708" t="s">
        <v>17</v>
      </c>
      <c r="U27" s="709">
        <f>H27</f>
        <v>100</v>
      </c>
      <c r="V27" s="708" t="s">
        <v>17</v>
      </c>
      <c r="W27" s="709">
        <f>J27</f>
        <v>100</v>
      </c>
      <c r="X27" s="1294"/>
      <c r="Y27" s="359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99"/>
      <c r="Q28" s="1284" t="str">
        <f t="shared" si="11"/>
        <v>朝向</v>
      </c>
      <c r="R28" s="704" t="s">
        <v>17</v>
      </c>
      <c r="S28" s="705">
        <f>F28</f>
        <v>100</v>
      </c>
      <c r="T28" s="704" t="s">
        <v>17</v>
      </c>
      <c r="U28" s="705">
        <f>H28</f>
        <v>100</v>
      </c>
      <c r="V28" s="704" t="s">
        <v>17</v>
      </c>
      <c r="W28" s="705">
        <f>J28</f>
        <v>100</v>
      </c>
      <c r="X28" s="706"/>
      <c r="Y28" s="359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99"/>
      <c r="Q29" s="1291">
        <f t="shared" si="11"/>
        <v>111</v>
      </c>
      <c r="R29" s="708" t="s">
        <v>17</v>
      </c>
      <c r="S29" s="709">
        <f t="shared" ref="S29:S47" si="12">F29</f>
        <v>100</v>
      </c>
      <c r="T29" s="708" t="s">
        <v>17</v>
      </c>
      <c r="U29" s="709">
        <f t="shared" ref="U29:U47" si="13">H29</f>
        <v>100</v>
      </c>
      <c r="V29" s="708" t="s">
        <v>17</v>
      </c>
      <c r="W29" s="709">
        <f t="shared" ref="W29:W47" si="14">J29</f>
        <v>100</v>
      </c>
      <c r="X29" s="1294"/>
      <c r="Y29" s="359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99"/>
      <c r="Q32" s="1291">
        <f t="shared" si="11"/>
        <v>111</v>
      </c>
      <c r="R32" s="708" t="s">
        <v>17</v>
      </c>
      <c r="S32" s="709">
        <f t="shared" si="12"/>
        <v>100</v>
      </c>
      <c r="T32" s="708" t="s">
        <v>17</v>
      </c>
      <c r="U32" s="709">
        <f t="shared" si="13"/>
        <v>100</v>
      </c>
      <c r="V32" s="708" t="s">
        <v>17</v>
      </c>
      <c r="W32" s="709">
        <f t="shared" si="14"/>
        <v>100</v>
      </c>
      <c r="X32" s="1294"/>
      <c r="Y32" s="359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93" t="s">
        <v>1949</v>
      </c>
      <c r="Q33" s="1291" t="str">
        <f t="shared" si="11"/>
        <v>建筑类型</v>
      </c>
      <c r="R33" s="708" t="s">
        <v>17</v>
      </c>
      <c r="S33" s="709">
        <f t="shared" si="12"/>
        <v>100</v>
      </c>
      <c r="T33" s="708" t="s">
        <v>17</v>
      </c>
      <c r="U33" s="709">
        <f t="shared" si="13"/>
        <v>100</v>
      </c>
      <c r="V33" s="708" t="s">
        <v>17</v>
      </c>
      <c r="W33" s="709">
        <f t="shared" si="14"/>
        <v>100</v>
      </c>
      <c r="X33" s="1294"/>
      <c r="Y33" s="359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94"/>
      <c r="Q34" s="710" t="str">
        <f t="shared" si="11"/>
        <v>项目建筑规模</v>
      </c>
      <c r="R34" s="711" t="s">
        <v>17</v>
      </c>
      <c r="S34" s="712" t="e">
        <f t="shared" si="12"/>
        <v>#N/A</v>
      </c>
      <c r="T34" s="711" t="s">
        <v>17</v>
      </c>
      <c r="U34" s="712" t="e">
        <f t="shared" si="13"/>
        <v>#N/A</v>
      </c>
      <c r="V34" s="711" t="s">
        <v>17</v>
      </c>
      <c r="W34" s="712" t="e">
        <f t="shared" si="14"/>
        <v>#N/A</v>
      </c>
      <c r="X34" s="713"/>
      <c r="Y34" s="359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94"/>
      <c r="Q35" s="1291" t="str">
        <f t="shared" si="11"/>
        <v>建筑结构</v>
      </c>
      <c r="R35" s="708" t="s">
        <v>17</v>
      </c>
      <c r="S35" s="709">
        <f t="shared" si="12"/>
        <v>100</v>
      </c>
      <c r="T35" s="708" t="s">
        <v>17</v>
      </c>
      <c r="U35" s="709">
        <f t="shared" si="13"/>
        <v>100</v>
      </c>
      <c r="V35" s="708" t="s">
        <v>17</v>
      </c>
      <c r="W35" s="709">
        <f t="shared" si="14"/>
        <v>100</v>
      </c>
      <c r="X35" s="1294"/>
      <c r="Y35" s="359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94"/>
      <c r="Q36" s="1291" t="str">
        <f t="shared" si="11"/>
        <v>公共部分装修</v>
      </c>
      <c r="R36" s="708" t="s">
        <v>17</v>
      </c>
      <c r="S36" s="709">
        <f t="shared" si="12"/>
        <v>100</v>
      </c>
      <c r="T36" s="708" t="s">
        <v>17</v>
      </c>
      <c r="U36" s="709">
        <f t="shared" si="13"/>
        <v>100</v>
      </c>
      <c r="V36" s="708" t="s">
        <v>17</v>
      </c>
      <c r="W36" s="709">
        <f t="shared" si="14"/>
        <v>100</v>
      </c>
      <c r="X36" s="1294"/>
      <c r="Y36" s="359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94"/>
      <c r="Q37" s="1291" t="str">
        <f t="shared" si="11"/>
        <v>成新度</v>
      </c>
      <c r="R37" s="708" t="s">
        <v>17</v>
      </c>
      <c r="S37" s="709" t="e">
        <f t="shared" si="12"/>
        <v>#N/A</v>
      </c>
      <c r="T37" s="708" t="s">
        <v>17</v>
      </c>
      <c r="U37" s="709" t="e">
        <f t="shared" si="13"/>
        <v>#N/A</v>
      </c>
      <c r="V37" s="708" t="s">
        <v>17</v>
      </c>
      <c r="W37" s="709" t="e">
        <f t="shared" si="14"/>
        <v>#N/A</v>
      </c>
      <c r="X37" s="1294"/>
      <c r="Y37" s="359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94"/>
      <c r="Q38" s="1284" t="str">
        <f t="shared" si="11"/>
        <v>写字楼等级</v>
      </c>
      <c r="R38" s="704" t="s">
        <v>17</v>
      </c>
      <c r="S38" s="705">
        <f t="shared" si="12"/>
        <v>100</v>
      </c>
      <c r="T38" s="704" t="s">
        <v>17</v>
      </c>
      <c r="U38" s="705">
        <f t="shared" si="13"/>
        <v>100</v>
      </c>
      <c r="V38" s="704" t="s">
        <v>17</v>
      </c>
      <c r="W38" s="705">
        <f t="shared" si="14"/>
        <v>100</v>
      </c>
      <c r="X38" s="706"/>
      <c r="Y38" s="359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94" t="s">
        <v>1949</v>
      </c>
      <c r="Q39" s="1291" t="str">
        <f t="shared" si="11"/>
        <v>物业管理</v>
      </c>
      <c r="R39" s="708" t="s">
        <v>17</v>
      </c>
      <c r="S39" s="709">
        <f t="shared" si="12"/>
        <v>100</v>
      </c>
      <c r="T39" s="708" t="s">
        <v>17</v>
      </c>
      <c r="U39" s="709">
        <f t="shared" si="13"/>
        <v>100</v>
      </c>
      <c r="V39" s="708" t="s">
        <v>17</v>
      </c>
      <c r="W39" s="709">
        <f t="shared" si="14"/>
        <v>100</v>
      </c>
      <c r="X39" s="1294"/>
      <c r="Y39" s="359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94"/>
      <c r="Q40" s="1291" t="str">
        <f t="shared" si="11"/>
        <v>市政基础设施</v>
      </c>
      <c r="R40" s="708" t="s">
        <v>17</v>
      </c>
      <c r="S40" s="709">
        <f t="shared" si="12"/>
        <v>100</v>
      </c>
      <c r="T40" s="708" t="s">
        <v>17</v>
      </c>
      <c r="U40" s="709">
        <f t="shared" si="13"/>
        <v>100</v>
      </c>
      <c r="V40" s="708" t="s">
        <v>17</v>
      </c>
      <c r="W40" s="709">
        <f t="shared" si="14"/>
        <v>100</v>
      </c>
      <c r="X40" s="1294"/>
      <c r="Y40" s="359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94"/>
      <c r="Q41" s="1291" t="str">
        <f t="shared" si="11"/>
        <v>层高</v>
      </c>
      <c r="R41" s="708" t="s">
        <v>17</v>
      </c>
      <c r="S41" s="709">
        <f t="shared" si="12"/>
        <v>100</v>
      </c>
      <c r="T41" s="708" t="s">
        <v>17</v>
      </c>
      <c r="U41" s="709">
        <f t="shared" si="13"/>
        <v>100</v>
      </c>
      <c r="V41" s="708" t="s">
        <v>17</v>
      </c>
      <c r="W41" s="709">
        <f t="shared" si="14"/>
        <v>100</v>
      </c>
      <c r="X41" s="1294"/>
      <c r="Y41" s="359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94"/>
      <c r="Q42" s="710" t="str">
        <f t="shared" si="11"/>
        <v>单套建筑面积</v>
      </c>
      <c r="R42" s="711" t="s">
        <v>17</v>
      </c>
      <c r="S42" s="712">
        <f t="shared" si="12"/>
        <v>100</v>
      </c>
      <c r="T42" s="711" t="s">
        <v>17</v>
      </c>
      <c r="U42" s="712">
        <f t="shared" si="13"/>
        <v>100</v>
      </c>
      <c r="V42" s="711" t="s">
        <v>17</v>
      </c>
      <c r="W42" s="712">
        <f t="shared" si="14"/>
        <v>100</v>
      </c>
      <c r="X42" s="713"/>
      <c r="Y42" s="359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94"/>
      <c r="Q43" s="1291" t="str">
        <f t="shared" si="11"/>
        <v>内部装修</v>
      </c>
      <c r="R43" s="708" t="s">
        <v>17</v>
      </c>
      <c r="S43" s="709">
        <f t="shared" si="12"/>
        <v>100</v>
      </c>
      <c r="T43" s="708" t="s">
        <v>17</v>
      </c>
      <c r="U43" s="709">
        <f t="shared" si="13"/>
        <v>100</v>
      </c>
      <c r="V43" s="708" t="s">
        <v>17</v>
      </c>
      <c r="W43" s="709">
        <f t="shared" si="14"/>
        <v>100</v>
      </c>
      <c r="X43" s="1294"/>
      <c r="Y43" s="359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94"/>
      <c r="Q44" s="1291" t="str">
        <f t="shared" si="11"/>
        <v>内部装修维护情况</v>
      </c>
      <c r="R44" s="708" t="s">
        <v>17</v>
      </c>
      <c r="S44" s="709">
        <f t="shared" si="12"/>
        <v>100</v>
      </c>
      <c r="T44" s="708" t="s">
        <v>17</v>
      </c>
      <c r="U44" s="709">
        <f t="shared" si="13"/>
        <v>100</v>
      </c>
      <c r="V44" s="708" t="s">
        <v>17</v>
      </c>
      <c r="W44" s="709">
        <f t="shared" si="14"/>
        <v>100</v>
      </c>
      <c r="X44" s="1294"/>
      <c r="Y44" s="359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94"/>
      <c r="Q45" s="1284">
        <f t="shared" si="11"/>
        <v>111</v>
      </c>
      <c r="R45" s="704" t="s">
        <v>17</v>
      </c>
      <c r="S45" s="705">
        <f t="shared" si="12"/>
        <v>100</v>
      </c>
      <c r="T45" s="704" t="s">
        <v>17</v>
      </c>
      <c r="U45" s="705">
        <f t="shared" si="13"/>
        <v>100</v>
      </c>
      <c r="V45" s="704" t="s">
        <v>17</v>
      </c>
      <c r="W45" s="705">
        <f t="shared" si="14"/>
        <v>100</v>
      </c>
      <c r="X45" s="706"/>
      <c r="Y45" s="359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94"/>
      <c r="Q46" s="1291">
        <f t="shared" si="11"/>
        <v>111</v>
      </c>
      <c r="R46" s="708" t="s">
        <v>17</v>
      </c>
      <c r="S46" s="709">
        <f t="shared" si="12"/>
        <v>100</v>
      </c>
      <c r="T46" s="708" t="s">
        <v>17</v>
      </c>
      <c r="U46" s="709">
        <f t="shared" si="13"/>
        <v>100</v>
      </c>
      <c r="V46" s="708" t="s">
        <v>17</v>
      </c>
      <c r="W46" s="709">
        <f t="shared" si="14"/>
        <v>100</v>
      </c>
      <c r="X46" s="1294"/>
      <c r="Y46" s="359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95"/>
      <c r="Q47" s="1291">
        <f t="shared" si="11"/>
        <v>111</v>
      </c>
      <c r="R47" s="708" t="s">
        <v>17</v>
      </c>
      <c r="S47" s="709">
        <f t="shared" si="12"/>
        <v>100</v>
      </c>
      <c r="T47" s="708" t="s">
        <v>17</v>
      </c>
      <c r="U47" s="709">
        <f t="shared" si="13"/>
        <v>100</v>
      </c>
      <c r="V47" s="708" t="s">
        <v>17</v>
      </c>
      <c r="W47" s="709">
        <f t="shared" si="14"/>
        <v>100</v>
      </c>
      <c r="X47" s="1294"/>
      <c r="Y47" s="359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1" t="str">
        <f>A48</f>
        <v>成交单价（元/平方米）</v>
      </c>
      <c r="Q48" s="3589"/>
      <c r="R48" s="3590">
        <f>E48</f>
        <v>0</v>
      </c>
      <c r="S48" s="3590"/>
      <c r="T48" s="3590">
        <f>G48</f>
        <v>0</v>
      </c>
      <c r="U48" s="3590"/>
      <c r="V48" s="3590">
        <f>I48</f>
        <v>0</v>
      </c>
      <c r="W48" s="359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882"/>
      <c r="M5" s="883"/>
      <c r="N5" s="883"/>
      <c r="O5" s="883"/>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882"/>
      <c r="M6" s="883"/>
      <c r="N6" s="883"/>
      <c r="O6" s="883"/>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44733</v>
      </c>
      <c r="D7" s="366">
        <v>100</v>
      </c>
      <c r="E7" s="367"/>
      <c r="F7" s="368">
        <f>SUMIF(52:52,YEAR(E7)&amp;"-"&amp;MONTH(E7),53:53)</f>
        <v>0</v>
      </c>
      <c r="G7" s="367"/>
      <c r="H7" s="366">
        <f>SUMIF(52:52,YEAR(G7)&amp;"-"&amp;MONTH(G7),53:53)</f>
        <v>0</v>
      </c>
      <c r="I7" s="367"/>
      <c r="J7" s="366">
        <f>SUMIF(52:52,YEAR(I7)&amp;"-"&amp;MONTH(I7),53:53)</f>
        <v>0</v>
      </c>
      <c r="K7" s="563"/>
      <c r="L7" s="884"/>
      <c r="M7" s="885"/>
      <c r="N7" s="885"/>
      <c r="O7" s="885"/>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2"/>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2"/>
      <c r="Q18" s="1291"/>
      <c r="R18" s="708"/>
      <c r="S18" s="709"/>
      <c r="T18" s="708"/>
      <c r="U18" s="709"/>
      <c r="V18" s="708"/>
      <c r="W18" s="709"/>
      <c r="X18" s="1294"/>
      <c r="Y18" s="359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2"/>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2"/>
      <c r="Q20" s="1291"/>
      <c r="R20" s="708"/>
      <c r="S20" s="709"/>
      <c r="T20" s="708"/>
      <c r="U20" s="709"/>
      <c r="V20" s="708"/>
      <c r="W20" s="709"/>
      <c r="X20" s="1294"/>
      <c r="Y20" s="359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2"/>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2"/>
      <c r="Q22" s="1291"/>
      <c r="R22" s="708"/>
      <c r="S22" s="709"/>
      <c r="T22" s="708"/>
      <c r="U22" s="709"/>
      <c r="V22" s="708"/>
      <c r="W22" s="709"/>
      <c r="X22" s="1294"/>
      <c r="Y22" s="359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2"/>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2"/>
      <c r="Q24" s="1291"/>
      <c r="R24" s="708"/>
      <c r="S24" s="709"/>
      <c r="T24" s="708"/>
      <c r="U24" s="709"/>
      <c r="V24" s="708"/>
      <c r="W24" s="709"/>
      <c r="X24" s="1294"/>
      <c r="Y24" s="359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2"/>
      <c r="Q25" s="1291">
        <f>B25</f>
        <v>111</v>
      </c>
      <c r="R25" s="708" t="s">
        <v>17</v>
      </c>
      <c r="S25" s="709">
        <f>F25</f>
        <v>100</v>
      </c>
      <c r="T25" s="708" t="s">
        <v>17</v>
      </c>
      <c r="U25" s="709">
        <f>H25</f>
        <v>100</v>
      </c>
      <c r="V25" s="708" t="s">
        <v>17</v>
      </c>
      <c r="W25" s="709">
        <f>J25</f>
        <v>100</v>
      </c>
      <c r="X25" s="1294"/>
      <c r="Y25" s="359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2"/>
      <c r="Q26" s="1291">
        <f t="shared" ref="Q26:Q40" si="11">B26</f>
        <v>111</v>
      </c>
      <c r="R26" s="708" t="s">
        <v>17</v>
      </c>
      <c r="S26" s="709">
        <f>F26</f>
        <v>100</v>
      </c>
      <c r="T26" s="708" t="s">
        <v>17</v>
      </c>
      <c r="U26" s="709">
        <f>H26</f>
        <v>100</v>
      </c>
      <c r="V26" s="708" t="s">
        <v>17</v>
      </c>
      <c r="W26" s="709">
        <f>J26</f>
        <v>100</v>
      </c>
      <c r="X26" s="1294"/>
      <c r="Y26" s="359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2"/>
      <c r="Q27" s="1284">
        <f t="shared" si="11"/>
        <v>111</v>
      </c>
      <c r="R27" s="704" t="s">
        <v>17</v>
      </c>
      <c r="S27" s="705">
        <f>F27</f>
        <v>100</v>
      </c>
      <c r="T27" s="704" t="s">
        <v>17</v>
      </c>
      <c r="U27" s="705">
        <f>H27</f>
        <v>100</v>
      </c>
      <c r="V27" s="704" t="s">
        <v>17</v>
      </c>
      <c r="W27" s="705">
        <f>J27</f>
        <v>100</v>
      </c>
      <c r="X27" s="706"/>
      <c r="Y27" s="359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2"/>
      <c r="Q28" s="1291">
        <f t="shared" si="11"/>
        <v>111</v>
      </c>
      <c r="R28" s="708" t="s">
        <v>17</v>
      </c>
      <c r="S28" s="709">
        <f t="shared" ref="S28:S40" si="12">F28</f>
        <v>100</v>
      </c>
      <c r="T28" s="708" t="s">
        <v>17</v>
      </c>
      <c r="U28" s="709">
        <f t="shared" ref="U28:U40" si="13">H28</f>
        <v>100</v>
      </c>
      <c r="V28" s="708" t="s">
        <v>17</v>
      </c>
      <c r="W28" s="709">
        <f t="shared" ref="W28:W40" si="14">J28</f>
        <v>100</v>
      </c>
      <c r="X28" s="1294"/>
      <c r="Y28" s="359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9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6"/>
      <c r="Q30" s="710" t="str">
        <f t="shared" si="11"/>
        <v>项目建筑规模</v>
      </c>
      <c r="R30" s="711" t="s">
        <v>17</v>
      </c>
      <c r="S30" s="712" t="e">
        <f t="shared" si="12"/>
        <v>#N/A</v>
      </c>
      <c r="T30" s="711" t="s">
        <v>17</v>
      </c>
      <c r="U30" s="712" t="e">
        <f t="shared" si="13"/>
        <v>#N/A</v>
      </c>
      <c r="V30" s="711" t="s">
        <v>17</v>
      </c>
      <c r="W30" s="712" t="e">
        <f t="shared" si="14"/>
        <v>#N/A</v>
      </c>
      <c r="X30" s="713"/>
      <c r="Y30" s="359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6"/>
      <c r="Q31" s="1291" t="str">
        <f t="shared" si="11"/>
        <v>建筑结构</v>
      </c>
      <c r="R31" s="708" t="s">
        <v>17</v>
      </c>
      <c r="S31" s="709">
        <f t="shared" si="12"/>
        <v>100</v>
      </c>
      <c r="T31" s="708" t="s">
        <v>17</v>
      </c>
      <c r="U31" s="709">
        <f t="shared" si="13"/>
        <v>100</v>
      </c>
      <c r="V31" s="708" t="s">
        <v>17</v>
      </c>
      <c r="W31" s="709">
        <f t="shared" si="14"/>
        <v>100</v>
      </c>
      <c r="X31" s="1294"/>
      <c r="Y31" s="359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6"/>
      <c r="Q32" s="1291" t="str">
        <f t="shared" si="11"/>
        <v>公共部分装修</v>
      </c>
      <c r="R32" s="708" t="s">
        <v>17</v>
      </c>
      <c r="S32" s="709">
        <f t="shared" si="12"/>
        <v>100</v>
      </c>
      <c r="T32" s="708" t="s">
        <v>17</v>
      </c>
      <c r="U32" s="709">
        <f t="shared" si="13"/>
        <v>100</v>
      </c>
      <c r="V32" s="708" t="s">
        <v>17</v>
      </c>
      <c r="W32" s="709">
        <f t="shared" si="14"/>
        <v>100</v>
      </c>
      <c r="X32" s="1294"/>
      <c r="Y32" s="359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6"/>
      <c r="Q33" s="1291" t="str">
        <f t="shared" si="11"/>
        <v>成新度</v>
      </c>
      <c r="R33" s="708" t="s">
        <v>17</v>
      </c>
      <c r="S33" s="709" t="e">
        <f t="shared" si="12"/>
        <v>#N/A</v>
      </c>
      <c r="T33" s="708" t="s">
        <v>17</v>
      </c>
      <c r="U33" s="709" t="e">
        <f t="shared" si="13"/>
        <v>#N/A</v>
      </c>
      <c r="V33" s="708" t="s">
        <v>17</v>
      </c>
      <c r="W33" s="709" t="e">
        <f t="shared" si="14"/>
        <v>#N/A</v>
      </c>
      <c r="X33" s="1294"/>
      <c r="Y33" s="359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6"/>
      <c r="Q34" s="1284" t="str">
        <f t="shared" si="11"/>
        <v>物业管理</v>
      </c>
      <c r="R34" s="704" t="s">
        <v>17</v>
      </c>
      <c r="S34" s="705">
        <f t="shared" si="12"/>
        <v>100</v>
      </c>
      <c r="T34" s="704" t="s">
        <v>17</v>
      </c>
      <c r="U34" s="705">
        <f t="shared" si="13"/>
        <v>100</v>
      </c>
      <c r="V34" s="704" t="s">
        <v>17</v>
      </c>
      <c r="W34" s="705">
        <f t="shared" si="14"/>
        <v>100</v>
      </c>
      <c r="X34" s="706"/>
      <c r="Y34" s="359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6" t="s">
        <v>1949</v>
      </c>
      <c r="Q35" s="1291" t="str">
        <f t="shared" si="11"/>
        <v>市政基础设施</v>
      </c>
      <c r="R35" s="708" t="s">
        <v>17</v>
      </c>
      <c r="S35" s="709">
        <f t="shared" si="12"/>
        <v>100</v>
      </c>
      <c r="T35" s="708" t="s">
        <v>17</v>
      </c>
      <c r="U35" s="709">
        <f t="shared" si="13"/>
        <v>100</v>
      </c>
      <c r="V35" s="708" t="s">
        <v>17</v>
      </c>
      <c r="W35" s="709">
        <f t="shared" si="14"/>
        <v>100</v>
      </c>
      <c r="X35" s="1294"/>
      <c r="Y35" s="359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6"/>
      <c r="Q36" s="1291" t="str">
        <f t="shared" si="11"/>
        <v>内部装修</v>
      </c>
      <c r="R36" s="708" t="s">
        <v>17</v>
      </c>
      <c r="S36" s="709">
        <f t="shared" si="12"/>
        <v>100</v>
      </c>
      <c r="T36" s="708" t="s">
        <v>17</v>
      </c>
      <c r="U36" s="709">
        <f t="shared" si="13"/>
        <v>100</v>
      </c>
      <c r="V36" s="708" t="s">
        <v>17</v>
      </c>
      <c r="W36" s="709">
        <f t="shared" si="14"/>
        <v>100</v>
      </c>
      <c r="X36" s="1294"/>
      <c r="Y36" s="359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6"/>
      <c r="Q37" s="1291" t="str">
        <f t="shared" si="11"/>
        <v>内部装修状况</v>
      </c>
      <c r="R37" s="708" t="s">
        <v>17</v>
      </c>
      <c r="S37" s="709">
        <f t="shared" si="12"/>
        <v>100</v>
      </c>
      <c r="T37" s="708" t="s">
        <v>17</v>
      </c>
      <c r="U37" s="709">
        <f t="shared" si="13"/>
        <v>100</v>
      </c>
      <c r="V37" s="708" t="s">
        <v>17</v>
      </c>
      <c r="W37" s="709">
        <f t="shared" si="14"/>
        <v>100</v>
      </c>
      <c r="X37" s="1294"/>
      <c r="Y37" s="359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6"/>
      <c r="Q38" s="710">
        <f t="shared" si="11"/>
        <v>111</v>
      </c>
      <c r="R38" s="711" t="s">
        <v>17</v>
      </c>
      <c r="S38" s="712">
        <f t="shared" si="12"/>
        <v>100</v>
      </c>
      <c r="T38" s="711" t="s">
        <v>17</v>
      </c>
      <c r="U38" s="712">
        <f t="shared" si="13"/>
        <v>100</v>
      </c>
      <c r="V38" s="711" t="s">
        <v>17</v>
      </c>
      <c r="W38" s="712">
        <f t="shared" si="14"/>
        <v>100</v>
      </c>
      <c r="X38" s="713"/>
      <c r="Y38" s="359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6"/>
      <c r="Q39" s="1291">
        <f t="shared" si="11"/>
        <v>111</v>
      </c>
      <c r="R39" s="708" t="s">
        <v>17</v>
      </c>
      <c r="S39" s="709">
        <f t="shared" si="12"/>
        <v>100</v>
      </c>
      <c r="T39" s="708" t="s">
        <v>17</v>
      </c>
      <c r="U39" s="709">
        <f t="shared" si="13"/>
        <v>100</v>
      </c>
      <c r="V39" s="708" t="s">
        <v>17</v>
      </c>
      <c r="W39" s="709">
        <f t="shared" si="14"/>
        <v>100</v>
      </c>
      <c r="X39" s="1294"/>
      <c r="Y39" s="359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7"/>
      <c r="Q40" s="1291">
        <f t="shared" si="11"/>
        <v>111</v>
      </c>
      <c r="R40" s="708" t="s">
        <v>17</v>
      </c>
      <c r="S40" s="709">
        <f t="shared" si="12"/>
        <v>100</v>
      </c>
      <c r="T40" s="708" t="s">
        <v>17</v>
      </c>
      <c r="U40" s="709">
        <f t="shared" si="13"/>
        <v>100</v>
      </c>
      <c r="V40" s="708" t="s">
        <v>17</v>
      </c>
      <c r="W40" s="709">
        <f t="shared" si="14"/>
        <v>100</v>
      </c>
      <c r="X40" s="1294"/>
      <c r="Y40" s="359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89" t="str">
        <f>A41</f>
        <v>成交单价（元/平方米）</v>
      </c>
      <c r="Q41" s="3589"/>
      <c r="R41" s="3590">
        <f>E41</f>
        <v>0</v>
      </c>
      <c r="S41" s="3590"/>
      <c r="T41" s="3590">
        <f>G41</f>
        <v>0</v>
      </c>
      <c r="U41" s="3590"/>
      <c r="V41" s="3590">
        <f>I41</f>
        <v>0</v>
      </c>
      <c r="W41" s="359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2022年6月21日（评估专业人员实地查勘之日）</v>
      </c>
    </row>
    <row r="16" spans="1:1" ht="18.75">
      <c r="A16" s="1424" t="s">
        <v>1147</v>
      </c>
    </row>
    <row r="17" spans="1:1" ht="75">
      <c r="A17" s="1419" t="s">
        <v>1148</v>
      </c>
    </row>
    <row r="18" spans="1:1" ht="36">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本次估价的“房地产价值”是指在正常市场情况下，在价值时点2022年6月21日，估价对象规划用途为，土地取得方式为，假定未设立法定优先受偿款下的房地产市场价值。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44733</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92"/>
      <c r="Q15" s="1291"/>
      <c r="R15" s="708"/>
      <c r="S15" s="709"/>
      <c r="T15" s="708"/>
      <c r="U15" s="709"/>
      <c r="V15" s="708"/>
      <c r="W15" s="709"/>
      <c r="X15" s="1294"/>
      <c r="Y15" s="3592"/>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92"/>
      <c r="Q17" s="1291"/>
      <c r="R17" s="708"/>
      <c r="S17" s="709"/>
      <c r="T17" s="708"/>
      <c r="U17" s="709"/>
      <c r="V17" s="708"/>
      <c r="W17" s="709"/>
      <c r="X17" s="1294"/>
      <c r="Y17" s="3592"/>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92"/>
      <c r="Q19" s="1291"/>
      <c r="R19" s="708"/>
      <c r="S19" s="709"/>
      <c r="T19" s="708"/>
      <c r="U19" s="709"/>
      <c r="V19" s="708"/>
      <c r="W19" s="709"/>
      <c r="X19" s="1294"/>
      <c r="Y19" s="3592"/>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92"/>
      <c r="Q21" s="1291"/>
      <c r="R21" s="708"/>
      <c r="S21" s="709"/>
      <c r="T21" s="708"/>
      <c r="U21" s="709"/>
      <c r="V21" s="708"/>
      <c r="W21" s="709"/>
      <c r="X21" s="1294"/>
      <c r="Y21" s="359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92"/>
      <c r="Q24" s="1291">
        <f t="shared" ref="Q24:Q36"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96"/>
      <c r="Q27" s="710" t="str">
        <f t="shared" si="11"/>
        <v>项目停车位配比</v>
      </c>
      <c r="R27" s="711" t="s">
        <v>17</v>
      </c>
      <c r="S27" s="712">
        <f t="shared" si="12"/>
        <v>100</v>
      </c>
      <c r="T27" s="711" t="s">
        <v>17</v>
      </c>
      <c r="U27" s="712">
        <f t="shared" si="13"/>
        <v>100</v>
      </c>
      <c r="V27" s="711" t="s">
        <v>17</v>
      </c>
      <c r="W27" s="712">
        <f t="shared" si="14"/>
        <v>100</v>
      </c>
      <c r="X27" s="713"/>
      <c r="Y27" s="359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96"/>
      <c r="Q28" s="1291" t="str">
        <f t="shared" si="11"/>
        <v>公共部分装修</v>
      </c>
      <c r="R28" s="708" t="s">
        <v>17</v>
      </c>
      <c r="S28" s="709">
        <f t="shared" si="12"/>
        <v>100</v>
      </c>
      <c r="T28" s="708" t="s">
        <v>17</v>
      </c>
      <c r="U28" s="709">
        <f t="shared" si="13"/>
        <v>100</v>
      </c>
      <c r="V28" s="708" t="s">
        <v>17</v>
      </c>
      <c r="W28" s="709">
        <f t="shared" si="14"/>
        <v>100</v>
      </c>
      <c r="X28" s="1294"/>
      <c r="Y28" s="359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96"/>
      <c r="Q29" s="1291" t="str">
        <f t="shared" si="11"/>
        <v>成新率</v>
      </c>
      <c r="R29" s="708" t="s">
        <v>17</v>
      </c>
      <c r="S29" s="709" t="e">
        <f t="shared" si="12"/>
        <v>#N/A</v>
      </c>
      <c r="T29" s="708" t="s">
        <v>17</v>
      </c>
      <c r="U29" s="709" t="e">
        <f t="shared" si="13"/>
        <v>#N/A</v>
      </c>
      <c r="V29" s="708" t="s">
        <v>17</v>
      </c>
      <c r="W29" s="709" t="e">
        <f t="shared" si="14"/>
        <v>#N/A</v>
      </c>
      <c r="X29" s="1294"/>
      <c r="Y29" s="359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96"/>
      <c r="Q30" s="1291" t="str">
        <f t="shared" si="11"/>
        <v>物业等级</v>
      </c>
      <c r="R30" s="708" t="s">
        <v>17</v>
      </c>
      <c r="S30" s="709">
        <f t="shared" si="12"/>
        <v>100</v>
      </c>
      <c r="T30" s="708" t="s">
        <v>17</v>
      </c>
      <c r="U30" s="709">
        <f t="shared" si="13"/>
        <v>100</v>
      </c>
      <c r="V30" s="708" t="s">
        <v>17</v>
      </c>
      <c r="W30" s="709">
        <f t="shared" si="14"/>
        <v>100</v>
      </c>
      <c r="X30" s="1294"/>
      <c r="Y30" s="359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96"/>
      <c r="Q31" s="1284" t="str">
        <f t="shared" si="11"/>
        <v>停车位面积</v>
      </c>
      <c r="R31" s="704" t="s">
        <v>17</v>
      </c>
      <c r="S31" s="705" t="e">
        <f t="shared" si="12"/>
        <v>#N/A</v>
      </c>
      <c r="T31" s="704" t="s">
        <v>17</v>
      </c>
      <c r="U31" s="705" t="e">
        <f t="shared" si="13"/>
        <v>#N/A</v>
      </c>
      <c r="V31" s="704" t="s">
        <v>17</v>
      </c>
      <c r="W31" s="705" t="e">
        <f t="shared" si="14"/>
        <v>#N/A</v>
      </c>
      <c r="X31" s="706"/>
      <c r="Y31" s="359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96" t="s">
        <v>1949</v>
      </c>
      <c r="Q32" s="1291" t="str">
        <f t="shared" si="11"/>
        <v>车位类型</v>
      </c>
      <c r="R32" s="708" t="s">
        <v>17</v>
      </c>
      <c r="S32" s="709">
        <f t="shared" si="12"/>
        <v>100</v>
      </c>
      <c r="T32" s="708" t="s">
        <v>17</v>
      </c>
      <c r="U32" s="709">
        <f t="shared" si="13"/>
        <v>100</v>
      </c>
      <c r="V32" s="708" t="s">
        <v>17</v>
      </c>
      <c r="W32" s="709">
        <f t="shared" si="14"/>
        <v>100</v>
      </c>
      <c r="X32" s="1294"/>
      <c r="Y32" s="359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96"/>
      <c r="Q33" s="1291" t="str">
        <f t="shared" si="11"/>
        <v>是否直接入户</v>
      </c>
      <c r="R33" s="708" t="s">
        <v>17</v>
      </c>
      <c r="S33" s="709">
        <f t="shared" si="12"/>
        <v>100</v>
      </c>
      <c r="T33" s="708" t="s">
        <v>17</v>
      </c>
      <c r="U33" s="709">
        <f t="shared" si="13"/>
        <v>100</v>
      </c>
      <c r="V33" s="708" t="s">
        <v>17</v>
      </c>
      <c r="W33" s="709">
        <f t="shared" si="14"/>
        <v>100</v>
      </c>
      <c r="X33" s="1294"/>
      <c r="Y33" s="359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96"/>
      <c r="Q35" s="710">
        <f t="shared" si="11"/>
        <v>111</v>
      </c>
      <c r="R35" s="711" t="s">
        <v>17</v>
      </c>
      <c r="S35" s="712">
        <f t="shared" si="12"/>
        <v>100</v>
      </c>
      <c r="T35" s="711" t="s">
        <v>17</v>
      </c>
      <c r="U35" s="712">
        <f t="shared" si="13"/>
        <v>100</v>
      </c>
      <c r="V35" s="711" t="s">
        <v>17</v>
      </c>
      <c r="W35" s="712">
        <f t="shared" si="14"/>
        <v>100</v>
      </c>
      <c r="X35" s="713"/>
      <c r="Y35" s="359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96"/>
      <c r="Q36" s="1291">
        <f t="shared" si="11"/>
        <v>111</v>
      </c>
      <c r="R36" s="708" t="s">
        <v>17</v>
      </c>
      <c r="S36" s="709">
        <f t="shared" si="12"/>
        <v>100</v>
      </c>
      <c r="T36" s="708" t="s">
        <v>17</v>
      </c>
      <c r="U36" s="709">
        <f t="shared" si="13"/>
        <v>100</v>
      </c>
      <c r="V36" s="708" t="s">
        <v>17</v>
      </c>
      <c r="W36" s="709">
        <f t="shared" si="14"/>
        <v>100</v>
      </c>
      <c r="X36" s="1294"/>
      <c r="Y36" s="359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89" t="str">
        <f>A37</f>
        <v>成交单价</v>
      </c>
      <c r="Q37" s="3589"/>
      <c r="R37" s="3590">
        <f>E37</f>
        <v>0</v>
      </c>
      <c r="S37" s="3590"/>
      <c r="T37" s="3590">
        <f>G37</f>
        <v>0</v>
      </c>
      <c r="U37" s="3590"/>
      <c r="V37" s="3590">
        <f>I37</f>
        <v>0</v>
      </c>
      <c r="W37" s="359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86" t="str">
        <f>A39</f>
        <v>估价对象XX用房的比较价值（楼面单价，元/平方米）</v>
      </c>
      <c r="Q39" s="3587"/>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44733</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92"/>
      <c r="Q15" s="1291"/>
      <c r="R15" s="708"/>
      <c r="S15" s="709"/>
      <c r="T15" s="708"/>
      <c r="U15" s="709"/>
      <c r="V15" s="708"/>
      <c r="W15" s="709"/>
      <c r="X15" s="1294"/>
      <c r="Y15" s="3592"/>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92"/>
      <c r="Q17" s="1291"/>
      <c r="R17" s="708"/>
      <c r="S17" s="709"/>
      <c r="T17" s="708"/>
      <c r="U17" s="709"/>
      <c r="V17" s="708"/>
      <c r="W17" s="709"/>
      <c r="X17" s="1294"/>
      <c r="Y17" s="3592"/>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92"/>
      <c r="Q19" s="1291"/>
      <c r="R19" s="708"/>
      <c r="S19" s="709"/>
      <c r="T19" s="708"/>
      <c r="U19" s="709"/>
      <c r="V19" s="708"/>
      <c r="W19" s="709"/>
      <c r="X19" s="1294"/>
      <c r="Y19" s="3592"/>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92"/>
      <c r="Q21" s="1291"/>
      <c r="R21" s="708"/>
      <c r="S21" s="709"/>
      <c r="T21" s="708"/>
      <c r="U21" s="709"/>
      <c r="V21" s="708"/>
      <c r="W21" s="709"/>
      <c r="X21" s="1294"/>
      <c r="Y21" s="359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92"/>
      <c r="Q24" s="1291">
        <f t="shared" ref="Q24:Q34"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96"/>
      <c r="Q27" s="710" t="str">
        <f t="shared" si="11"/>
        <v>成新率</v>
      </c>
      <c r="R27" s="711" t="s">
        <v>17</v>
      </c>
      <c r="S27" s="712" t="e">
        <f t="shared" si="12"/>
        <v>#N/A</v>
      </c>
      <c r="T27" s="711" t="s">
        <v>17</v>
      </c>
      <c r="U27" s="712" t="e">
        <f t="shared" si="13"/>
        <v>#N/A</v>
      </c>
      <c r="V27" s="711" t="s">
        <v>17</v>
      </c>
      <c r="W27" s="712" t="e">
        <f t="shared" si="14"/>
        <v>#N/A</v>
      </c>
      <c r="X27" s="713"/>
      <c r="Y27" s="359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96"/>
      <c r="Q28" s="1291" t="str">
        <f t="shared" si="11"/>
        <v>物业等级</v>
      </c>
      <c r="R28" s="708" t="s">
        <v>17</v>
      </c>
      <c r="S28" s="709">
        <f t="shared" si="12"/>
        <v>100</v>
      </c>
      <c r="T28" s="708" t="s">
        <v>17</v>
      </c>
      <c r="U28" s="709">
        <f t="shared" si="13"/>
        <v>100</v>
      </c>
      <c r="V28" s="708" t="s">
        <v>17</v>
      </c>
      <c r="W28" s="709">
        <f t="shared" si="14"/>
        <v>100</v>
      </c>
      <c r="X28" s="1294"/>
      <c r="Y28" s="359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96"/>
      <c r="Q29" s="1291" t="str">
        <f t="shared" si="11"/>
        <v>有无电梯</v>
      </c>
      <c r="R29" s="708" t="s">
        <v>17</v>
      </c>
      <c r="S29" s="709">
        <f t="shared" si="12"/>
        <v>100</v>
      </c>
      <c r="T29" s="708" t="s">
        <v>17</v>
      </c>
      <c r="U29" s="709">
        <f t="shared" si="13"/>
        <v>100</v>
      </c>
      <c r="V29" s="708" t="s">
        <v>17</v>
      </c>
      <c r="W29" s="709">
        <f t="shared" si="14"/>
        <v>100</v>
      </c>
      <c r="X29" s="1294"/>
      <c r="Y29" s="359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96"/>
      <c r="Q30" s="1291" t="str">
        <f t="shared" si="11"/>
        <v>建筑面积</v>
      </c>
      <c r="R30" s="708" t="s">
        <v>17</v>
      </c>
      <c r="S30" s="709" t="e">
        <f t="shared" si="12"/>
        <v>#N/A</v>
      </c>
      <c r="T30" s="708" t="s">
        <v>17</v>
      </c>
      <c r="U30" s="709" t="e">
        <f t="shared" si="13"/>
        <v>#N/A</v>
      </c>
      <c r="V30" s="708" t="s">
        <v>17</v>
      </c>
      <c r="W30" s="709" t="e">
        <f t="shared" si="14"/>
        <v>#N/A</v>
      </c>
      <c r="X30" s="1294"/>
      <c r="Y30" s="359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96"/>
      <c r="Q31" s="1284" t="str">
        <f t="shared" si="11"/>
        <v>是否封闭</v>
      </c>
      <c r="R31" s="704" t="s">
        <v>17</v>
      </c>
      <c r="S31" s="705">
        <f t="shared" si="12"/>
        <v>100</v>
      </c>
      <c r="T31" s="704" t="s">
        <v>17</v>
      </c>
      <c r="U31" s="705">
        <f t="shared" si="13"/>
        <v>100</v>
      </c>
      <c r="V31" s="704" t="s">
        <v>17</v>
      </c>
      <c r="W31" s="705">
        <f t="shared" si="14"/>
        <v>100</v>
      </c>
      <c r="X31" s="706"/>
      <c r="Y31" s="359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96" t="s">
        <v>1949</v>
      </c>
      <c r="Q32" s="1291">
        <f t="shared" si="11"/>
        <v>111</v>
      </c>
      <c r="R32" s="708" t="s">
        <v>17</v>
      </c>
      <c r="S32" s="709">
        <f t="shared" si="12"/>
        <v>100</v>
      </c>
      <c r="T32" s="708" t="s">
        <v>17</v>
      </c>
      <c r="U32" s="709">
        <f t="shared" si="13"/>
        <v>100</v>
      </c>
      <c r="V32" s="708" t="s">
        <v>17</v>
      </c>
      <c r="W32" s="709">
        <f t="shared" si="14"/>
        <v>100</v>
      </c>
      <c r="X32" s="1294"/>
      <c r="Y32" s="359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96"/>
      <c r="Q33" s="1291">
        <f t="shared" si="11"/>
        <v>111</v>
      </c>
      <c r="R33" s="708" t="s">
        <v>17</v>
      </c>
      <c r="S33" s="709">
        <f t="shared" si="12"/>
        <v>100</v>
      </c>
      <c r="T33" s="708" t="s">
        <v>17</v>
      </c>
      <c r="U33" s="709">
        <f t="shared" si="13"/>
        <v>100</v>
      </c>
      <c r="V33" s="708" t="s">
        <v>17</v>
      </c>
      <c r="W33" s="709">
        <f t="shared" si="14"/>
        <v>100</v>
      </c>
      <c r="X33" s="1294"/>
      <c r="Y33" s="359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89" t="str">
        <f>A35</f>
        <v>成交单价（元/平方米）</v>
      </c>
      <c r="Q35" s="3589"/>
      <c r="R35" s="3590">
        <f>E35</f>
        <v>0</v>
      </c>
      <c r="S35" s="3590"/>
      <c r="T35" s="3590">
        <f>G35</f>
        <v>0</v>
      </c>
      <c r="U35" s="3590"/>
      <c r="V35" s="3590">
        <f>I35</f>
        <v>0</v>
      </c>
      <c r="W35" s="359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86" t="str">
        <f>A37</f>
        <v>估价对象XX用房的比较价值（楼面单价，元/平方米）</v>
      </c>
      <c r="Q37" s="3587"/>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30"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30"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30" s="112" customFormat="1" ht="15.75" thickBot="1">
      <c r="A7" s="363" t="s">
        <v>1932</v>
      </c>
      <c r="B7" s="364"/>
      <c r="C7" s="365">
        <f>'数据-取费表'!B2</f>
        <v>44733</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89"/>
      <c r="Q12" s="1284" t="str">
        <f t="shared" si="6"/>
        <v>配建</v>
      </c>
      <c r="R12" s="704" t="s">
        <v>17</v>
      </c>
      <c r="S12" s="705">
        <f t="shared" si="0"/>
        <v>100</v>
      </c>
      <c r="T12" s="704" t="s">
        <v>17</v>
      </c>
      <c r="U12" s="705">
        <f t="shared" si="1"/>
        <v>100</v>
      </c>
      <c r="V12" s="704" t="s">
        <v>17</v>
      </c>
      <c r="W12" s="705">
        <f t="shared" si="2"/>
        <v>100</v>
      </c>
      <c r="X12" s="706"/>
      <c r="Y12" s="350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91" t="s">
        <v>1944</v>
      </c>
      <c r="Q15" s="1291" t="str">
        <f t="shared" si="6"/>
        <v>居住社区成熟度</v>
      </c>
      <c r="R15" s="708" t="s">
        <v>17</v>
      </c>
      <c r="S15" s="709">
        <f t="shared" si="0"/>
        <v>100</v>
      </c>
      <c r="T15" s="708" t="s">
        <v>17</v>
      </c>
      <c r="U15" s="709">
        <f t="shared" si="1"/>
        <v>100</v>
      </c>
      <c r="V15" s="708" t="s">
        <v>17</v>
      </c>
      <c r="W15" s="709">
        <f t="shared" si="2"/>
        <v>100</v>
      </c>
      <c r="X15" s="1294"/>
      <c r="Y15" s="359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92"/>
      <c r="Q17" s="1291" t="str">
        <f>B17</f>
        <v>商业繁华度</v>
      </c>
      <c r="R17" s="708" t="s">
        <v>17</v>
      </c>
      <c r="S17" s="709">
        <f>F17</f>
        <v>100</v>
      </c>
      <c r="T17" s="708" t="s">
        <v>17</v>
      </c>
      <c r="U17" s="709">
        <f>H17</f>
        <v>100</v>
      </c>
      <c r="V17" s="708" t="s">
        <v>17</v>
      </c>
      <c r="W17" s="709">
        <f>J17</f>
        <v>100</v>
      </c>
      <c r="X17" s="1294"/>
      <c r="Y17" s="359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92"/>
      <c r="Q19" s="1291" t="str">
        <f>B19</f>
        <v>办公集聚程度</v>
      </c>
      <c r="R19" s="708" t="s">
        <v>17</v>
      </c>
      <c r="S19" s="709">
        <f>F19</f>
        <v>100</v>
      </c>
      <c r="T19" s="708" t="s">
        <v>17</v>
      </c>
      <c r="U19" s="709">
        <f>H19</f>
        <v>100</v>
      </c>
      <c r="V19" s="708" t="s">
        <v>17</v>
      </c>
      <c r="W19" s="709">
        <f>J19</f>
        <v>100</v>
      </c>
      <c r="X19" s="1294"/>
      <c r="Y19" s="359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92"/>
      <c r="Q20" s="1291"/>
      <c r="R20" s="708"/>
      <c r="S20" s="709"/>
      <c r="T20" s="708"/>
      <c r="U20" s="709"/>
      <c r="V20" s="708"/>
      <c r="W20" s="709"/>
      <c r="X20" s="1294"/>
      <c r="Y20" s="3592"/>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92"/>
      <c r="Q21" s="1291" t="str">
        <f>B21</f>
        <v>交通便捷度</v>
      </c>
      <c r="R21" s="708" t="s">
        <v>17</v>
      </c>
      <c r="S21" s="709">
        <f>F21</f>
        <v>100</v>
      </c>
      <c r="T21" s="708" t="s">
        <v>17</v>
      </c>
      <c r="U21" s="709">
        <f>H21</f>
        <v>100</v>
      </c>
      <c r="V21" s="708" t="s">
        <v>17</v>
      </c>
      <c r="W21" s="709">
        <f>J21</f>
        <v>100</v>
      </c>
      <c r="X21" s="1294"/>
      <c r="Y21" s="359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92"/>
      <c r="Q23" s="1291" t="str">
        <f t="shared" ref="Q23:Q37" si="8">B23</f>
        <v>区域土地利用方向</v>
      </c>
      <c r="R23" s="708" t="s">
        <v>17</v>
      </c>
      <c r="S23" s="709">
        <f>F23</f>
        <v>100</v>
      </c>
      <c r="T23" s="708" t="s">
        <v>17</v>
      </c>
      <c r="U23" s="709">
        <f>H23</f>
        <v>100</v>
      </c>
      <c r="V23" s="708" t="s">
        <v>17</v>
      </c>
      <c r="W23" s="709">
        <f>J23</f>
        <v>100</v>
      </c>
      <c r="X23" s="1294"/>
      <c r="Y23" s="359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92"/>
      <c r="Q24" s="1291"/>
      <c r="R24" s="708"/>
      <c r="S24" s="709"/>
      <c r="T24" s="708"/>
      <c r="U24" s="709"/>
      <c r="V24" s="708"/>
      <c r="W24" s="709"/>
      <c r="X24" s="1294"/>
      <c r="Y24" s="3592"/>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92"/>
      <c r="Q25" s="1291" t="str">
        <f t="shared" si="8"/>
        <v>自然及人文环境状况</v>
      </c>
      <c r="R25" s="708" t="s">
        <v>17</v>
      </c>
      <c r="S25" s="709">
        <f>F25</f>
        <v>100</v>
      </c>
      <c r="T25" s="708" t="s">
        <v>17</v>
      </c>
      <c r="U25" s="709">
        <f>H25</f>
        <v>100</v>
      </c>
      <c r="V25" s="708" t="s">
        <v>17</v>
      </c>
      <c r="W25" s="709">
        <f>J25</f>
        <v>100</v>
      </c>
      <c r="X25" s="1294"/>
      <c r="Y25" s="359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92"/>
      <c r="Q26" s="1291"/>
      <c r="R26" s="708"/>
      <c r="S26" s="709"/>
      <c r="T26" s="708"/>
      <c r="U26" s="709"/>
      <c r="V26" s="708"/>
      <c r="W26" s="709"/>
      <c r="X26" s="1294"/>
      <c r="Y26" s="3592"/>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92"/>
      <c r="Q27" s="1284" t="str">
        <f t="shared" si="8"/>
        <v>公共配套设施</v>
      </c>
      <c r="R27" s="704" t="s">
        <v>17</v>
      </c>
      <c r="S27" s="705">
        <f>F27</f>
        <v>100</v>
      </c>
      <c r="T27" s="704" t="s">
        <v>17</v>
      </c>
      <c r="U27" s="705">
        <f>H27</f>
        <v>100</v>
      </c>
      <c r="V27" s="704" t="s">
        <v>17</v>
      </c>
      <c r="W27" s="705">
        <f>J27</f>
        <v>100</v>
      </c>
      <c r="X27" s="706"/>
      <c r="Y27" s="359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92"/>
      <c r="Q28" s="1284"/>
      <c r="R28" s="704"/>
      <c r="S28" s="705"/>
      <c r="T28" s="704"/>
      <c r="U28" s="705"/>
      <c r="V28" s="704"/>
      <c r="W28" s="705"/>
      <c r="X28" s="706"/>
      <c r="Y28" s="3592"/>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92"/>
      <c r="Q29" s="1284" t="str">
        <f t="shared" ref="Q29" si="9">B29</f>
        <v>基础设施水平</v>
      </c>
      <c r="R29" s="704" t="s">
        <v>17</v>
      </c>
      <c r="S29" s="705">
        <f>F29</f>
        <v>100</v>
      </c>
      <c r="T29" s="704" t="s">
        <v>17</v>
      </c>
      <c r="U29" s="705">
        <f>H29</f>
        <v>100</v>
      </c>
      <c r="V29" s="704" t="s">
        <v>17</v>
      </c>
      <c r="W29" s="705">
        <f>J29</f>
        <v>100</v>
      </c>
      <c r="X29" s="706"/>
      <c r="Y29" s="359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92"/>
      <c r="Q30" s="1284"/>
      <c r="R30" s="704"/>
      <c r="S30" s="705"/>
      <c r="T30" s="704"/>
      <c r="U30" s="705"/>
      <c r="V30" s="704"/>
      <c r="W30" s="705"/>
      <c r="X30" s="706"/>
      <c r="Y30" s="359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9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92"/>
      <c r="Q32" s="1291" t="str">
        <f t="shared" si="8"/>
        <v>毗邻道路的类型与等级</v>
      </c>
      <c r="R32" s="708" t="s">
        <v>17</v>
      </c>
      <c r="S32" s="709">
        <f t="shared" si="10"/>
        <v>100</v>
      </c>
      <c r="T32" s="708" t="s">
        <v>17</v>
      </c>
      <c r="U32" s="709">
        <f t="shared" si="11"/>
        <v>100</v>
      </c>
      <c r="V32" s="708" t="s">
        <v>17</v>
      </c>
      <c r="W32" s="709">
        <f t="shared" si="12"/>
        <v>100</v>
      </c>
      <c r="X32" s="1294"/>
      <c r="Y32" s="359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92"/>
      <c r="Q33" s="1291"/>
      <c r="R33" s="708"/>
      <c r="S33" s="709"/>
      <c r="T33" s="708"/>
      <c r="U33" s="709"/>
      <c r="V33" s="708"/>
      <c r="W33" s="709"/>
      <c r="X33" s="1294"/>
      <c r="Y33" s="359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92"/>
      <c r="Q34" s="1291" t="str">
        <f t="shared" si="8"/>
        <v>土地级别</v>
      </c>
      <c r="R34" s="708" t="s">
        <v>17</v>
      </c>
      <c r="S34" s="709">
        <f t="shared" si="10"/>
        <v>100</v>
      </c>
      <c r="T34" s="708" t="s">
        <v>17</v>
      </c>
      <c r="U34" s="709">
        <f t="shared" si="11"/>
        <v>100</v>
      </c>
      <c r="V34" s="708" t="s">
        <v>17</v>
      </c>
      <c r="W34" s="709">
        <f t="shared" si="12"/>
        <v>100</v>
      </c>
      <c r="X34" s="1294"/>
      <c r="Y34" s="359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92"/>
      <c r="Q35" s="1291">
        <f t="shared" si="8"/>
        <v>111</v>
      </c>
      <c r="R35" s="708" t="s">
        <v>17</v>
      </c>
      <c r="S35" s="709">
        <f t="shared" si="10"/>
        <v>100</v>
      </c>
      <c r="T35" s="708" t="s">
        <v>17</v>
      </c>
      <c r="U35" s="709">
        <f t="shared" si="11"/>
        <v>100</v>
      </c>
      <c r="V35" s="708" t="s">
        <v>17</v>
      </c>
      <c r="W35" s="709">
        <f t="shared" si="12"/>
        <v>100</v>
      </c>
      <c r="X35" s="1294"/>
      <c r="Y35" s="359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9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96"/>
      <c r="Q37" s="1291">
        <f t="shared" si="8"/>
        <v>111</v>
      </c>
      <c r="R37" s="711" t="s">
        <v>17</v>
      </c>
      <c r="S37" s="712">
        <f t="shared" si="10"/>
        <v>100</v>
      </c>
      <c r="T37" s="711" t="s">
        <v>17</v>
      </c>
      <c r="U37" s="712">
        <f t="shared" si="11"/>
        <v>100</v>
      </c>
      <c r="V37" s="711" t="s">
        <v>17</v>
      </c>
      <c r="W37" s="712">
        <f t="shared" si="12"/>
        <v>100</v>
      </c>
      <c r="X37" s="713"/>
      <c r="Y37" s="359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96"/>
      <c r="Q38" s="1291" t="str">
        <f>B38</f>
        <v>宗地面积</v>
      </c>
      <c r="R38" s="708" t="s">
        <v>17</v>
      </c>
      <c r="S38" s="709" t="e">
        <f t="shared" si="10"/>
        <v>#N/A</v>
      </c>
      <c r="T38" s="708" t="s">
        <v>17</v>
      </c>
      <c r="U38" s="709" t="e">
        <f t="shared" si="11"/>
        <v>#N/A</v>
      </c>
      <c r="V38" s="708" t="s">
        <v>17</v>
      </c>
      <c r="W38" s="709" t="e">
        <f t="shared" si="12"/>
        <v>#N/A</v>
      </c>
      <c r="X38" s="1294"/>
      <c r="Y38" s="359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96"/>
      <c r="Q39" s="1291" t="str">
        <f t="shared" ref="Q39:Q45" si="14">B39</f>
        <v>宗地形状</v>
      </c>
      <c r="R39" s="708" t="s">
        <v>17</v>
      </c>
      <c r="S39" s="709">
        <f t="shared" si="10"/>
        <v>100</v>
      </c>
      <c r="T39" s="708" t="s">
        <v>17</v>
      </c>
      <c r="U39" s="709">
        <f t="shared" si="11"/>
        <v>100</v>
      </c>
      <c r="V39" s="708" t="s">
        <v>17</v>
      </c>
      <c r="W39" s="709">
        <f t="shared" si="12"/>
        <v>100</v>
      </c>
      <c r="X39" s="1294"/>
      <c r="Y39" s="359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96"/>
      <c r="Q40" s="1291" t="str">
        <f t="shared" si="14"/>
        <v>临街宽度及深度</v>
      </c>
      <c r="R40" s="708" t="s">
        <v>17</v>
      </c>
      <c r="S40" s="709">
        <f t="shared" si="10"/>
        <v>100</v>
      </c>
      <c r="T40" s="708" t="s">
        <v>17</v>
      </c>
      <c r="U40" s="709">
        <f t="shared" si="11"/>
        <v>100</v>
      </c>
      <c r="V40" s="708" t="s">
        <v>17</v>
      </c>
      <c r="W40" s="709">
        <f t="shared" si="12"/>
        <v>100</v>
      </c>
      <c r="X40" s="1294"/>
      <c r="Y40" s="359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96"/>
      <c r="Q41" s="1291" t="str">
        <f t="shared" si="14"/>
        <v>宗地开发程度</v>
      </c>
      <c r="R41" s="704" t="s">
        <v>17</v>
      </c>
      <c r="S41" s="705">
        <f t="shared" si="10"/>
        <v>100</v>
      </c>
      <c r="T41" s="704" t="s">
        <v>17</v>
      </c>
      <c r="U41" s="705">
        <f t="shared" si="11"/>
        <v>100</v>
      </c>
      <c r="V41" s="704" t="s">
        <v>17</v>
      </c>
      <c r="W41" s="705">
        <f t="shared" si="12"/>
        <v>100</v>
      </c>
      <c r="X41" s="706"/>
      <c r="Y41" s="359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96" t="s">
        <v>1949</v>
      </c>
      <c r="Q42" s="1291" t="str">
        <f t="shared" si="14"/>
        <v>工程地质条件</v>
      </c>
      <c r="R42" s="708" t="s">
        <v>17</v>
      </c>
      <c r="S42" s="709">
        <f t="shared" si="10"/>
        <v>100</v>
      </c>
      <c r="T42" s="708" t="s">
        <v>17</v>
      </c>
      <c r="U42" s="709">
        <f t="shared" si="11"/>
        <v>100</v>
      </c>
      <c r="V42" s="708" t="s">
        <v>17</v>
      </c>
      <c r="W42" s="709">
        <f t="shared" si="12"/>
        <v>100</v>
      </c>
      <c r="X42" s="1294"/>
      <c r="Y42" s="359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96"/>
      <c r="Q43" s="1291">
        <f t="shared" si="14"/>
        <v>111</v>
      </c>
      <c r="R43" s="708" t="s">
        <v>17</v>
      </c>
      <c r="S43" s="709">
        <f t="shared" si="10"/>
        <v>100</v>
      </c>
      <c r="T43" s="708" t="s">
        <v>17</v>
      </c>
      <c r="U43" s="709">
        <f t="shared" si="11"/>
        <v>100</v>
      </c>
      <c r="V43" s="708" t="s">
        <v>17</v>
      </c>
      <c r="W43" s="709">
        <f t="shared" si="12"/>
        <v>100</v>
      </c>
      <c r="X43" s="1294"/>
      <c r="Y43" s="359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96"/>
      <c r="Q44" s="1291">
        <f t="shared" si="14"/>
        <v>111</v>
      </c>
      <c r="R44" s="708" t="s">
        <v>17</v>
      </c>
      <c r="S44" s="709">
        <f t="shared" si="10"/>
        <v>100</v>
      </c>
      <c r="T44" s="708" t="s">
        <v>17</v>
      </c>
      <c r="U44" s="709">
        <f t="shared" si="11"/>
        <v>100</v>
      </c>
      <c r="V44" s="708" t="s">
        <v>17</v>
      </c>
      <c r="W44" s="709">
        <f t="shared" si="12"/>
        <v>100</v>
      </c>
      <c r="X44" s="1294"/>
      <c r="Y44" s="359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96"/>
      <c r="Q45" s="1291">
        <f t="shared" si="14"/>
        <v>111</v>
      </c>
      <c r="R45" s="711" t="s">
        <v>17</v>
      </c>
      <c r="S45" s="712">
        <f t="shared" si="10"/>
        <v>100</v>
      </c>
      <c r="T45" s="711" t="s">
        <v>17</v>
      </c>
      <c r="U45" s="712">
        <f t="shared" si="11"/>
        <v>100</v>
      </c>
      <c r="V45" s="711" t="s">
        <v>17</v>
      </c>
      <c r="W45" s="712">
        <f t="shared" si="12"/>
        <v>100</v>
      </c>
      <c r="X45" s="713"/>
      <c r="Y45" s="359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89" t="str">
        <f>A46</f>
        <v>成交单价</v>
      </c>
      <c r="Q46" s="3589"/>
      <c r="R46" s="3584">
        <f>E46</f>
        <v>0</v>
      </c>
      <c r="S46" s="3584"/>
      <c r="T46" s="3584">
        <f>G46</f>
        <v>0</v>
      </c>
      <c r="U46" s="3584"/>
      <c r="V46" s="3584">
        <f>I46</f>
        <v>0</v>
      </c>
      <c r="W46" s="3584"/>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89" t="str">
        <f>A47</f>
        <v>比较价值（元/平方米）</v>
      </c>
      <c r="Q47" s="3589"/>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86" t="str">
        <f>A48</f>
        <v>估价对象XX用房的比较价值（楼面单价，元/平方米）</v>
      </c>
      <c r="Q48" s="3587"/>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1"/>
      <c r="H56" s="358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0"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0"/>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0"/>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0.25</v>
      </c>
      <c r="D61" s="914">
        <v>0.25</v>
      </c>
      <c r="E61" s="218">
        <f>'数据-汇总表'!E11</f>
        <v>0</v>
      </c>
      <c r="F61" s="855" t="e">
        <f t="shared" si="15"/>
        <v>#DIV/0!</v>
      </c>
      <c r="G61" s="1927" t="s">
        <v>2158</v>
      </c>
      <c r="H61" s="856" t="str">
        <f>项目基本情况!C37</f>
        <v>六级</v>
      </c>
      <c r="I61" s="860">
        <f>SUMIF(修正!A57:A68,H61,修正!E57:E68)</f>
        <v>0.25</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0.25</v>
      </c>
      <c r="D62" s="914">
        <v>0.25</v>
      </c>
      <c r="E62" s="218">
        <f>'数据-汇总表'!E12</f>
        <v>0</v>
      </c>
      <c r="F62" s="855" t="e">
        <f t="shared" si="15"/>
        <v>#DIV/0!</v>
      </c>
      <c r="G62" s="861" t="s">
        <v>2160</v>
      </c>
      <c r="H62" s="856" t="str">
        <f>IF(G62="商业",项目基本情况!B37,IF(G62="办公",项目基本情况!C37,IF(G62="住宅",项目基本情况!D37,项目基本情况!E37)))</f>
        <v>六级</v>
      </c>
      <c r="I62" s="860">
        <f>SUMIF(修正!A57:A68,H62,修正!F57:F68)</f>
        <v>0.25</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0.15</v>
      </c>
      <c r="D65" s="914">
        <v>0.25</v>
      </c>
      <c r="E65" s="218">
        <f>'数据-汇总表'!E15</f>
        <v>0</v>
      </c>
      <c r="F65" s="855" t="e">
        <f t="shared" si="15"/>
        <v>#DIV/0!</v>
      </c>
      <c r="G65" s="1928" t="s">
        <v>2158</v>
      </c>
      <c r="H65" s="866" t="str">
        <f>项目基本情况!C37</f>
        <v>六级</v>
      </c>
      <c r="I65" s="862">
        <f>SUMIF(修正!A57:A68,H65,修正!G57:G68)</f>
        <v>0.15</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44733</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92"/>
      <c r="Q19" s="1291" t="str">
        <f t="shared" ref="Q19:Q33" si="8">B19</f>
        <v>区域土地利用方向</v>
      </c>
      <c r="R19" s="708" t="s">
        <v>17</v>
      </c>
      <c r="S19" s="709">
        <f>F19</f>
        <v>100</v>
      </c>
      <c r="T19" s="708" t="s">
        <v>17</v>
      </c>
      <c r="U19" s="709">
        <f>H19</f>
        <v>100</v>
      </c>
      <c r="V19" s="708" t="s">
        <v>17</v>
      </c>
      <c r="W19" s="709">
        <f>J19</f>
        <v>100</v>
      </c>
      <c r="X19" s="1294"/>
      <c r="Y19" s="359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92"/>
      <c r="Q20" s="1291"/>
      <c r="R20" s="708"/>
      <c r="S20" s="709"/>
      <c r="T20" s="708"/>
      <c r="U20" s="709"/>
      <c r="V20" s="708"/>
      <c r="W20" s="709"/>
      <c r="X20" s="1294"/>
      <c r="Y20" s="359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92"/>
      <c r="Q21" s="1291" t="str">
        <f t="shared" si="8"/>
        <v>环境状况</v>
      </c>
      <c r="R21" s="708" t="s">
        <v>17</v>
      </c>
      <c r="S21" s="709">
        <f>F21</f>
        <v>100</v>
      </c>
      <c r="T21" s="708" t="s">
        <v>17</v>
      </c>
      <c r="U21" s="709">
        <f>H21</f>
        <v>100</v>
      </c>
      <c r="V21" s="708" t="s">
        <v>17</v>
      </c>
      <c r="W21" s="709">
        <f>J21</f>
        <v>100</v>
      </c>
      <c r="X21" s="1294"/>
      <c r="Y21" s="359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92"/>
      <c r="Q23" s="1284" t="str">
        <f t="shared" si="8"/>
        <v>公共配套设施</v>
      </c>
      <c r="R23" s="704" t="s">
        <v>17</v>
      </c>
      <c r="S23" s="705">
        <f>F23</f>
        <v>100</v>
      </c>
      <c r="T23" s="704" t="s">
        <v>17</v>
      </c>
      <c r="U23" s="705">
        <f>H23</f>
        <v>100</v>
      </c>
      <c r="V23" s="704" t="s">
        <v>17</v>
      </c>
      <c r="W23" s="705">
        <f>J23</f>
        <v>100</v>
      </c>
      <c r="X23" s="706"/>
      <c r="Y23" s="359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92"/>
      <c r="Q24" s="1284"/>
      <c r="R24" s="704"/>
      <c r="S24" s="705"/>
      <c r="T24" s="704"/>
      <c r="U24" s="705"/>
      <c r="V24" s="704"/>
      <c r="W24" s="705"/>
      <c r="X24" s="706"/>
      <c r="Y24" s="359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92"/>
      <c r="Q25" s="1284" t="str">
        <f t="shared" ref="Q25" si="9">B25</f>
        <v>基础设施水平</v>
      </c>
      <c r="R25" s="704" t="s">
        <v>17</v>
      </c>
      <c r="S25" s="705">
        <f>F25</f>
        <v>100</v>
      </c>
      <c r="T25" s="704" t="s">
        <v>17</v>
      </c>
      <c r="U25" s="705">
        <f>H25</f>
        <v>100</v>
      </c>
      <c r="V25" s="704" t="s">
        <v>17</v>
      </c>
      <c r="W25" s="705">
        <f>J25</f>
        <v>100</v>
      </c>
      <c r="X25" s="706"/>
      <c r="Y25" s="359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92"/>
      <c r="Q26" s="1284"/>
      <c r="R26" s="704"/>
      <c r="S26" s="705"/>
      <c r="T26" s="704"/>
      <c r="U26" s="705"/>
      <c r="V26" s="704"/>
      <c r="W26" s="705"/>
      <c r="X26" s="706"/>
      <c r="Y26" s="359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9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92"/>
      <c r="Q28" s="1291" t="str">
        <f t="shared" si="8"/>
        <v>毗邻道路的类型与等级</v>
      </c>
      <c r="R28" s="708" t="s">
        <v>17</v>
      </c>
      <c r="S28" s="709">
        <f t="shared" si="10"/>
        <v>100</v>
      </c>
      <c r="T28" s="708" t="s">
        <v>17</v>
      </c>
      <c r="U28" s="709">
        <f t="shared" si="11"/>
        <v>100</v>
      </c>
      <c r="V28" s="708" t="s">
        <v>17</v>
      </c>
      <c r="W28" s="709">
        <f t="shared" si="12"/>
        <v>100</v>
      </c>
      <c r="X28" s="1294"/>
      <c r="Y28" s="359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92"/>
      <c r="Q29" s="1291"/>
      <c r="R29" s="708"/>
      <c r="S29" s="709"/>
      <c r="T29" s="708"/>
      <c r="U29" s="709"/>
      <c r="V29" s="708"/>
      <c r="W29" s="709"/>
      <c r="X29" s="1294"/>
      <c r="Y29" s="359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92"/>
      <c r="Q30" s="1291" t="str">
        <f t="shared" si="8"/>
        <v>土地级别</v>
      </c>
      <c r="R30" s="708" t="s">
        <v>17</v>
      </c>
      <c r="S30" s="709">
        <f t="shared" si="10"/>
        <v>100</v>
      </c>
      <c r="T30" s="708" t="s">
        <v>17</v>
      </c>
      <c r="U30" s="709">
        <f t="shared" si="11"/>
        <v>100</v>
      </c>
      <c r="V30" s="708" t="s">
        <v>17</v>
      </c>
      <c r="W30" s="709">
        <f t="shared" si="12"/>
        <v>100</v>
      </c>
      <c r="X30" s="1294"/>
      <c r="Y30" s="359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92"/>
      <c r="Q31" s="1291">
        <f t="shared" si="8"/>
        <v>111</v>
      </c>
      <c r="R31" s="708" t="s">
        <v>17</v>
      </c>
      <c r="S31" s="709">
        <f t="shared" si="10"/>
        <v>100</v>
      </c>
      <c r="T31" s="708" t="s">
        <v>17</v>
      </c>
      <c r="U31" s="709">
        <f t="shared" si="11"/>
        <v>100</v>
      </c>
      <c r="V31" s="708" t="s">
        <v>17</v>
      </c>
      <c r="W31" s="709">
        <f t="shared" si="12"/>
        <v>100</v>
      </c>
      <c r="X31" s="1294"/>
      <c r="Y31" s="359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9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96"/>
      <c r="Q33" s="1291">
        <f t="shared" si="8"/>
        <v>111</v>
      </c>
      <c r="R33" s="711" t="s">
        <v>17</v>
      </c>
      <c r="S33" s="712">
        <f t="shared" si="10"/>
        <v>100</v>
      </c>
      <c r="T33" s="711" t="s">
        <v>17</v>
      </c>
      <c r="U33" s="712">
        <f t="shared" si="11"/>
        <v>100</v>
      </c>
      <c r="V33" s="711" t="s">
        <v>17</v>
      </c>
      <c r="W33" s="712">
        <f t="shared" si="12"/>
        <v>100</v>
      </c>
      <c r="X33" s="713"/>
      <c r="Y33" s="359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96"/>
      <c r="Q34" s="1291" t="str">
        <f>B34</f>
        <v>宗地面积</v>
      </c>
      <c r="R34" s="708" t="s">
        <v>17</v>
      </c>
      <c r="S34" s="709" t="e">
        <f t="shared" si="10"/>
        <v>#N/A</v>
      </c>
      <c r="T34" s="708" t="s">
        <v>17</v>
      </c>
      <c r="U34" s="709" t="e">
        <f t="shared" si="11"/>
        <v>#N/A</v>
      </c>
      <c r="V34" s="708" t="s">
        <v>17</v>
      </c>
      <c r="W34" s="709" t="e">
        <f t="shared" si="12"/>
        <v>#N/A</v>
      </c>
      <c r="X34" s="1294"/>
      <c r="Y34" s="359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96"/>
      <c r="Q35" s="1291" t="str">
        <f t="shared" ref="Q35:Q40" si="14">B35</f>
        <v>宗地形状</v>
      </c>
      <c r="R35" s="708" t="s">
        <v>17</v>
      </c>
      <c r="S35" s="709">
        <f t="shared" si="10"/>
        <v>100</v>
      </c>
      <c r="T35" s="708" t="s">
        <v>17</v>
      </c>
      <c r="U35" s="709">
        <f t="shared" si="11"/>
        <v>100</v>
      </c>
      <c r="V35" s="708" t="s">
        <v>17</v>
      </c>
      <c r="W35" s="709">
        <f t="shared" si="12"/>
        <v>100</v>
      </c>
      <c r="X35" s="1294"/>
      <c r="Y35" s="359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96"/>
      <c r="Q36" s="1291" t="str">
        <f t="shared" si="14"/>
        <v>宗地开发程度</v>
      </c>
      <c r="R36" s="704" t="s">
        <v>17</v>
      </c>
      <c r="S36" s="705">
        <f t="shared" si="10"/>
        <v>100</v>
      </c>
      <c r="T36" s="704" t="s">
        <v>17</v>
      </c>
      <c r="U36" s="705">
        <f t="shared" si="11"/>
        <v>100</v>
      </c>
      <c r="V36" s="704" t="s">
        <v>17</v>
      </c>
      <c r="W36" s="705">
        <f t="shared" si="12"/>
        <v>100</v>
      </c>
      <c r="X36" s="706"/>
      <c r="Y36" s="359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96" t="s">
        <v>1949</v>
      </c>
      <c r="Q37" s="1291" t="str">
        <f t="shared" si="14"/>
        <v>工程地质条件</v>
      </c>
      <c r="R37" s="708" t="s">
        <v>17</v>
      </c>
      <c r="S37" s="709">
        <f t="shared" si="10"/>
        <v>100</v>
      </c>
      <c r="T37" s="708" t="s">
        <v>17</v>
      </c>
      <c r="U37" s="709">
        <f t="shared" si="11"/>
        <v>100</v>
      </c>
      <c r="V37" s="708" t="s">
        <v>17</v>
      </c>
      <c r="W37" s="709">
        <f t="shared" si="12"/>
        <v>100</v>
      </c>
      <c r="X37" s="1294"/>
      <c r="Y37" s="359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96"/>
      <c r="Q38" s="1291">
        <f t="shared" si="14"/>
        <v>111</v>
      </c>
      <c r="R38" s="708" t="s">
        <v>17</v>
      </c>
      <c r="S38" s="709">
        <f t="shared" si="10"/>
        <v>100</v>
      </c>
      <c r="T38" s="708" t="s">
        <v>17</v>
      </c>
      <c r="U38" s="709">
        <f t="shared" si="11"/>
        <v>100</v>
      </c>
      <c r="V38" s="708" t="s">
        <v>17</v>
      </c>
      <c r="W38" s="709">
        <f t="shared" si="12"/>
        <v>100</v>
      </c>
      <c r="X38" s="1294"/>
      <c r="Y38" s="359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96"/>
      <c r="Q39" s="1291">
        <f t="shared" si="14"/>
        <v>111</v>
      </c>
      <c r="R39" s="708" t="s">
        <v>17</v>
      </c>
      <c r="S39" s="709">
        <f t="shared" si="10"/>
        <v>100</v>
      </c>
      <c r="T39" s="708" t="s">
        <v>17</v>
      </c>
      <c r="U39" s="709">
        <f t="shared" si="11"/>
        <v>100</v>
      </c>
      <c r="V39" s="708" t="s">
        <v>17</v>
      </c>
      <c r="W39" s="709">
        <f t="shared" si="12"/>
        <v>100</v>
      </c>
      <c r="X39" s="1294"/>
      <c r="Y39" s="359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96"/>
      <c r="Q40" s="1291">
        <f t="shared" si="14"/>
        <v>111</v>
      </c>
      <c r="R40" s="711" t="s">
        <v>17</v>
      </c>
      <c r="S40" s="712">
        <f t="shared" si="10"/>
        <v>100</v>
      </c>
      <c r="T40" s="711" t="s">
        <v>17</v>
      </c>
      <c r="U40" s="712">
        <f t="shared" si="11"/>
        <v>100</v>
      </c>
      <c r="V40" s="711" t="s">
        <v>17</v>
      </c>
      <c r="W40" s="712">
        <f t="shared" si="12"/>
        <v>100</v>
      </c>
      <c r="X40" s="713"/>
      <c r="Y40" s="359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89" t="str">
        <f>A41</f>
        <v>成交单价</v>
      </c>
      <c r="Q41" s="3589"/>
      <c r="R41" s="3584">
        <f>E41</f>
        <v>0</v>
      </c>
      <c r="S41" s="3584"/>
      <c r="T41" s="3584">
        <f>G41</f>
        <v>0</v>
      </c>
      <c r="U41" s="3584"/>
      <c r="V41" s="3584">
        <f>I41</f>
        <v>0</v>
      </c>
      <c r="W41" s="3584"/>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89" t="str">
        <f>A42</f>
        <v>比较价值（元/平方米）</v>
      </c>
      <c r="Q42" s="3589"/>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86" t="str">
        <f>A43</f>
        <v>估价对象XX用房的比较价值（楼面单价，元/平方米）</v>
      </c>
      <c r="Q43" s="3587"/>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1"/>
      <c r="H51" s="358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0"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0"/>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0"/>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0.25</v>
      </c>
      <c r="D56" s="914">
        <v>0.25</v>
      </c>
      <c r="E56" s="218">
        <f>'数据-汇总表'!E11</f>
        <v>0</v>
      </c>
      <c r="F56" s="642" t="e">
        <f t="shared" si="15"/>
        <v>#DIV/0!</v>
      </c>
      <c r="G56" s="1927" t="s">
        <v>2158</v>
      </c>
      <c r="H56" s="856" t="str">
        <f>项目基本情况!C37</f>
        <v>六级</v>
      </c>
      <c r="I56" s="748">
        <f>SUMIF(修正!A57:A68,H56,修正!E57:E68)</f>
        <v>0.25</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0.25</v>
      </c>
      <c r="D57" s="914">
        <v>0.25</v>
      </c>
      <c r="E57" s="218">
        <f>'数据-汇总表'!E12</f>
        <v>0</v>
      </c>
      <c r="F57" s="642" t="e">
        <f t="shared" si="15"/>
        <v>#DIV/0!</v>
      </c>
      <c r="G57" s="861" t="s">
        <v>2160</v>
      </c>
      <c r="H57" s="856" t="str">
        <f>IF(G57="商业",项目基本情况!B37,IF(G57="办公",项目基本情况!C37,IF(G57="住宅",项目基本情况!D37,项目基本情况!E37)))</f>
        <v>六级</v>
      </c>
      <c r="I57" s="748">
        <f>SUMIF(修正!A57:A68,H57,修正!F57:F68)</f>
        <v>0.25</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0.15</v>
      </c>
      <c r="D60" s="914">
        <v>0.25</v>
      </c>
      <c r="E60" s="218">
        <f>'数据-汇总表'!E15</f>
        <v>0</v>
      </c>
      <c r="F60" s="642" t="e">
        <f t="shared" si="15"/>
        <v>#DIV/0!</v>
      </c>
      <c r="G60" s="1928" t="s">
        <v>2158</v>
      </c>
      <c r="H60" s="866" t="str">
        <f>项目基本情况!C37</f>
        <v>六级</v>
      </c>
      <c r="I60" s="748">
        <f>SUMIF(修正!A57:A68,H60,修正!G57:G68)</f>
        <v>0.15</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tabSelected="1" view="pageBreakPreview" topLeftCell="A7" zoomScaleNormal="80" zoomScaleSheetLayoutView="100" workbookViewId="0">
      <selection activeCell="D30" sqref="D30"/>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0</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0</v>
      </c>
      <c r="C2" s="3138" t="s">
        <v>2197</v>
      </c>
      <c r="D2" s="2695" t="s">
        <v>2198</v>
      </c>
      <c r="E2" s="3139" t="s">
        <v>27</v>
      </c>
      <c r="F2" s="2695" t="s">
        <v>2199</v>
      </c>
      <c r="G2" s="2695" t="str">
        <f>IF(E2="商业",项目基本情况!B37,IF(E2="办公",项目基本情况!C37,IF(E2="住宅",项目基本情况!D37,IF(E2="工业",项目基本情况!E37,项目基本情况!F37))))</f>
        <v>六级</v>
      </c>
      <c r="H2" s="2695" t="s">
        <v>2200</v>
      </c>
      <c r="I2" s="2695" t="str">
        <f>IF(E2="商业",项目基本情况!B38,IF(E2="办公",项目基本情况!C38,IF(E2="住宅",项目基本情况!D38,IF(E2="工业",项目基本情况!E38,项目基本情况!F38))))</f>
        <v>Ⅵ-20</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17079</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t="e">
        <f>ROUND(B2*10000/D1,0)</f>
        <v>#DIV/0!</v>
      </c>
      <c r="C3" s="3138" t="s">
        <v>2203</v>
      </c>
      <c r="D3" s="2695" t="s">
        <v>2204</v>
      </c>
      <c r="E3" s="3139" t="s">
        <v>3110</v>
      </c>
      <c r="F3" s="1935" t="s">
        <v>3114</v>
      </c>
      <c r="G3" s="3144">
        <v>1.53</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13462</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36"/>
      <c r="B4" s="3637"/>
      <c r="C4" s="3637"/>
      <c r="D4" s="3638"/>
      <c r="E4" s="3638"/>
      <c r="F4" s="3638"/>
      <c r="G4" s="3638"/>
      <c r="H4" s="3638"/>
      <c r="I4" s="3638"/>
      <c r="J4" s="3639"/>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1.0004999999999999</v>
      </c>
      <c r="T4" s="3133">
        <f t="shared" si="0"/>
        <v>11378</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11830</v>
      </c>
      <c r="D5" s="3147">
        <f>ROUND(C6+C20,0)</f>
        <v>11830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10034</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11830</v>
      </c>
      <c r="D6" s="3158" t="s">
        <v>2213</v>
      </c>
      <c r="E6" s="2699"/>
      <c r="F6" s="2699"/>
      <c r="G6" s="3159"/>
      <c r="H6" s="3159"/>
      <c r="I6" s="3159"/>
      <c r="J6" s="3160"/>
      <c r="K6" s="1340"/>
      <c r="L6" s="3141" t="s">
        <v>2214</v>
      </c>
      <c r="M6" s="3142">
        <f>SUMPRODUCT((区片价!B127:B189=I2)*(区片价!C3:G3=E2)*(区片价!C127:G189))</f>
        <v>11830</v>
      </c>
      <c r="N6" s="2254">
        <f>SUMPRODUCT((因素修正幅度!B127:B189=I2)*(因素修正幅度!C3:G3=E2)*(因素修正幅度!C127:G189))</f>
        <v>0.127</v>
      </c>
      <c r="O6" s="1939"/>
      <c r="P6" s="1939"/>
      <c r="Q6" s="1939"/>
      <c r="R6" s="3133">
        <v>5</v>
      </c>
      <c r="S6" s="3133">
        <f>ROUND(SUMPRODUCT((B107:B111=R6)*(C106:N106=G2)*(C107:N111)),4)</f>
        <v>0.84799999999999998</v>
      </c>
      <c r="T6" s="3133">
        <f t="shared" si="0"/>
        <v>9643</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六级</v>
      </c>
      <c r="Y7" s="3167" t="s">
        <v>2219</v>
      </c>
      <c r="Z7" s="3168">
        <f>G3</f>
        <v>1.53</v>
      </c>
      <c r="AA7" s="3134"/>
      <c r="AB7" s="3134"/>
      <c r="AC7" s="3134"/>
      <c r="AD7" s="3135"/>
      <c r="AE7" s="3135"/>
      <c r="AF7" s="3135"/>
      <c r="AG7" s="3135"/>
      <c r="AH7" s="3135"/>
      <c r="AI7" s="3135"/>
      <c r="AJ7" s="3136"/>
    </row>
    <row r="8" spans="1:36" ht="25.5">
      <c r="A8" s="3169"/>
      <c r="B8" s="174" t="s">
        <v>2220</v>
      </c>
      <c r="C8" s="3170" t="s">
        <v>3111</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34" t="s">
        <v>2223</v>
      </c>
      <c r="X8" s="3635"/>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35"/>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35"/>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0</v>
      </c>
      <c r="D20" s="3640" t="s">
        <v>2262</v>
      </c>
      <c r="E20" s="3641"/>
      <c r="F20" s="3640" t="s">
        <v>2259</v>
      </c>
      <c r="G20" s="3641"/>
      <c r="H20" s="3227"/>
      <c r="I20" s="3227"/>
      <c r="J20" s="3228"/>
      <c r="K20" s="3229"/>
      <c r="L20" s="3229"/>
      <c r="M20" s="3229"/>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2.5</v>
      </c>
      <c r="D21" s="2259" t="str">
        <f>IF(OR(G2="八级",G2="九级",G2="十级",G2="十一级",G2="十二级"),"五通一平","七通一平")</f>
        <v>七通一平</v>
      </c>
      <c r="E21" s="3232">
        <f>SUMPRODUCT((修正!B1:M1=G2)*(修正!B17:M17))</f>
        <v>315</v>
      </c>
      <c r="F21" s="3233" t="s">
        <v>3112</v>
      </c>
      <c r="G21" s="2717">
        <f>SUM(H21:O21)</f>
        <v>0</v>
      </c>
      <c r="H21" s="3231">
        <f>SUMPRODUCT((七通一平=H20)*(修正!B1:M1=G2)*(修正!B8:M16))</f>
        <v>0</v>
      </c>
      <c r="I21" s="3231">
        <f>SUMPRODUCT((七通一平=I20)*(修正!B1:M1=G2)*(修正!B8:M16))</f>
        <v>0</v>
      </c>
      <c r="J21" s="3234">
        <f>SUMPRODUCT((七通一平=J20)*(修正!B1:M1=G2)*(修正!B8:M16))</f>
        <v>0</v>
      </c>
      <c r="K21" s="3231">
        <f>SUMPRODUCT((七通一平=K20)*(修正!B1:M1=G2)*(修正!B8:M16))</f>
        <v>0</v>
      </c>
      <c r="L21" s="3231">
        <f>SUMPRODUCT((七通一平=L20)*(修正!B1:M1=G2)*(修正!B8:M16))</f>
        <v>0</v>
      </c>
      <c r="M21" s="3231">
        <f>SUMPRODUCT((七通一平=M20)*(修正!B1:M1=G2)*(修正!B8:M16))</f>
        <v>0</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1.0182</v>
      </c>
      <c r="D23" s="3242" t="s">
        <v>2266</v>
      </c>
      <c r="E23" s="3243">
        <v>44197</v>
      </c>
      <c r="F23" s="3242" t="s">
        <v>2267</v>
      </c>
      <c r="G23" s="3244">
        <f>项目基本情况!D3</f>
        <v>44733</v>
      </c>
      <c r="H23" s="3245" t="s">
        <v>3101</v>
      </c>
      <c r="I23" s="3246" t="str">
        <f>IF(H23="季度增幅（自定义）",SUMIF(N25:N28,E2,O25:O28),"")</f>
        <v/>
      </c>
      <c r="J23" s="3247"/>
      <c r="K23" s="3218"/>
      <c r="L23" s="3248" t="s">
        <v>2268</v>
      </c>
      <c r="M23" s="3249">
        <f>ROUND(SUMIF(地价!B2:G2,E2,地价!B13:G13),0)</f>
        <v>348</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0.90900000000000003</v>
      </c>
      <c r="D24" s="3252" t="s">
        <v>2271</v>
      </c>
      <c r="E24" s="3253">
        <f>存贷款利率!E20/100</f>
        <v>4.3499999999999997E-2</v>
      </c>
      <c r="F24" s="3252" t="s">
        <v>2263</v>
      </c>
      <c r="G24" s="3254">
        <f>SUMIF(M30:Q30,E2,M33:Q33)</f>
        <v>5.5E-2</v>
      </c>
      <c r="H24" s="3252" t="s">
        <v>2272</v>
      </c>
      <c r="I24" s="3255">
        <v>35</v>
      </c>
      <c r="J24" s="3256">
        <f>IF(E2="住宅",70,IF(E2="商业",40,50))</f>
        <v>50</v>
      </c>
      <c r="K24" s="3218"/>
      <c r="L24" s="3257" t="s">
        <v>2273</v>
      </c>
      <c r="M24" s="3258">
        <f>ROUND(SUMPRODUCT((地价!A4:A13=YEAR(G23)&amp;"-"&amp;ROUNDUP(MONTH(G23)/3,0))*(地价!B2:G2=E2)*(地价!B4:G13)),0)</f>
        <v>354</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3113</v>
      </c>
      <c r="C25" s="3262">
        <f>IF(B25="容积率修正",IF(G3&lt;10,D26,J26),C27)</f>
        <v>1.1168</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1.1168</v>
      </c>
      <c r="E26" s="3269">
        <f>ROUNDDOWN(G3,1)</f>
        <v>1.5</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1.1214999999999999</v>
      </c>
      <c r="G26" s="3269">
        <f>ROUNDUP(G3,1)</f>
        <v>1.6</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1.0386</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0</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12700</v>
      </c>
      <c r="D33" s="3309"/>
      <c r="E33" s="3047">
        <f>ROUND(C33*D33/10000,0)</f>
        <v>0</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3175</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28"/>
      <c r="B37" s="2959" t="s">
        <v>2300</v>
      </c>
      <c r="C37" s="178">
        <f>ROUND(C5*C22*C23*C24*C28*F37,0)</f>
        <v>6823</v>
      </c>
      <c r="D37" s="3309"/>
      <c r="E37" s="174">
        <f>ROUND(C37*D37/10000,0)</f>
        <v>0</v>
      </c>
      <c r="F37" s="174">
        <f>SUMIF(修正!A57:A68,G2,修正!B57:B68)</f>
        <v>0.6</v>
      </c>
      <c r="G37" s="174">
        <f>ROUND(IF(E2="工业",C37*$M$42,C37*$M$41),0)</f>
        <v>1706</v>
      </c>
      <c r="H37" s="174">
        <f>D37</f>
        <v>0</v>
      </c>
      <c r="I37" s="174">
        <f>ROUND(G37*H37/10000,0)</f>
        <v>0</v>
      </c>
      <c r="J37" s="363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29"/>
      <c r="B38" s="2960" t="s">
        <v>2301</v>
      </c>
      <c r="C38" s="178">
        <f>ROUND(C5*C22*C23*C24*C28*F38,0)</f>
        <v>3412</v>
      </c>
      <c r="D38" s="3309"/>
      <c r="E38" s="174">
        <f t="shared" ref="E38:E42" si="4">ROUND(C38*D38/10000,0)</f>
        <v>0</v>
      </c>
      <c r="F38" s="174">
        <f>SUMIF(修正!A57:A68,G2,修正!C57:C68)</f>
        <v>0.3</v>
      </c>
      <c r="G38" s="174">
        <f>ROUND(IF(E2="工业",C38*$M$42,C38*$M$41),0)</f>
        <v>853</v>
      </c>
      <c r="H38" s="174">
        <f t="shared" ref="H38:H42" si="5">D38</f>
        <v>0</v>
      </c>
      <c r="I38" s="174">
        <f t="shared" ref="I38:I42" si="6">ROUND(G38*H38/10000,0)</f>
        <v>0</v>
      </c>
      <c r="J38" s="3629"/>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29"/>
      <c r="B39" s="2960" t="s">
        <v>2965</v>
      </c>
      <c r="C39" s="178">
        <f>ROUND(C5*C22*C23*C24*C28*F39,0)</f>
        <v>2843</v>
      </c>
      <c r="D39" s="3309"/>
      <c r="E39" s="174">
        <f t="shared" si="4"/>
        <v>0</v>
      </c>
      <c r="F39" s="174">
        <f>SUMIF(修正!A57:A68,G2,修正!D57:D68)</f>
        <v>0.25</v>
      </c>
      <c r="G39" s="174">
        <f>ROUND(IF(E2="工业",C39*$M$42,C39*$M$41),0)</f>
        <v>711</v>
      </c>
      <c r="H39" s="174">
        <f t="shared" si="5"/>
        <v>0</v>
      </c>
      <c r="I39" s="174">
        <f t="shared" si="6"/>
        <v>0</v>
      </c>
      <c r="J39" s="362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2843</v>
      </c>
      <c r="D40" s="3309"/>
      <c r="E40" s="174">
        <f t="shared" si="4"/>
        <v>0</v>
      </c>
      <c r="F40" s="178">
        <f>SUMIF(修正!A57:A68,G2,修正!E57:E68)</f>
        <v>0.25</v>
      </c>
      <c r="G40" s="174">
        <f>ROUND(IF(E2="工业",C40*$M$42,C40*$M$41),0)</f>
        <v>711</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0.25</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0.15</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5.5E-2</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1.0386</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t="s">
        <v>3116</v>
      </c>
      <c r="D62" s="2978">
        <f>SUMIF($J$61:$N$61,C62,J62:N62)</f>
        <v>0</v>
      </c>
      <c r="E62" s="2979">
        <f>ROUND(SUM(D62:D70),4)</f>
        <v>3.8600000000000002E-2</v>
      </c>
      <c r="F62" s="2980">
        <f>IF(E2="办公",SUMIF(L1:L12,G2,N1:N12),"——")</f>
        <v>0.127</v>
      </c>
      <c r="G62" s="2981">
        <f>H62</f>
        <v>1.5800000000000002E-2</v>
      </c>
      <c r="H62" s="2982">
        <f t="shared" ref="H62:H70" si="12">IFERROR(ROUNDDOWN($F$62*I62/2,4),"——")</f>
        <v>1.5800000000000002E-2</v>
      </c>
      <c r="I62" s="2983">
        <v>0.25</v>
      </c>
      <c r="J62" s="2984">
        <f t="shared" ref="J62:J70" si="13">K62+$G62</f>
        <v>3.1600000000000003E-2</v>
      </c>
      <c r="K62" s="2984">
        <f t="shared" ref="K62:K70" si="14">$L62+$G62</f>
        <v>1.5800000000000002E-2</v>
      </c>
      <c r="L62" s="2984">
        <v>0</v>
      </c>
      <c r="M62" s="2984">
        <f t="shared" ref="M62:N70" si="15">L62-$G62</f>
        <v>-1.5800000000000002E-2</v>
      </c>
      <c r="N62" s="2984">
        <f t="shared" si="15"/>
        <v>-3.1600000000000003E-2</v>
      </c>
    </row>
    <row r="63" spans="1:14" s="1939" customFormat="1" ht="38.25">
      <c r="A63" s="2971" t="s">
        <v>2317</v>
      </c>
      <c r="B63" s="2985" t="str">
        <f>估价对象房地状况!C18</f>
        <v>估价对象周边道路状况、公共交通通达情况、停车便捷程度，综合评价交通便捷度较好</v>
      </c>
      <c r="C63" s="2977" t="s">
        <v>3115</v>
      </c>
      <c r="D63" s="2978">
        <f t="shared" ref="D63:D70" si="16">SUMIF($J$61:$N$61,C63,J63:N63)</f>
        <v>1.6500000000000001E-2</v>
      </c>
      <c r="E63" s="2986"/>
      <c r="F63" s="2987"/>
      <c r="G63" s="2981">
        <f t="shared" ref="G63:G70" si="17">H63</f>
        <v>1.6500000000000001E-2</v>
      </c>
      <c r="H63" s="2982">
        <f t="shared" si="12"/>
        <v>1.6500000000000001E-2</v>
      </c>
      <c r="I63" s="2983">
        <v>0.26</v>
      </c>
      <c r="J63" s="2984">
        <f t="shared" si="13"/>
        <v>3.3000000000000002E-2</v>
      </c>
      <c r="K63" s="2984">
        <f t="shared" si="14"/>
        <v>1.6500000000000001E-2</v>
      </c>
      <c r="L63" s="2984">
        <v>0</v>
      </c>
      <c r="M63" s="2984">
        <f t="shared" si="15"/>
        <v>-1.6500000000000001E-2</v>
      </c>
      <c r="N63" s="2984">
        <f t="shared" si="15"/>
        <v>-3.3000000000000002E-2</v>
      </c>
    </row>
    <row r="64" spans="1:14" s="1939" customFormat="1" ht="36">
      <c r="A64" s="2988" t="s">
        <v>2839</v>
      </c>
      <c r="B64" s="2985">
        <f>估价对象房地状况!C19</f>
        <v>0</v>
      </c>
      <c r="C64" s="2977" t="s">
        <v>3115</v>
      </c>
      <c r="D64" s="2978">
        <f t="shared" si="16"/>
        <v>6.8999999999999999E-3</v>
      </c>
      <c r="E64" s="2986"/>
      <c r="F64" s="2987"/>
      <c r="G64" s="2981">
        <f t="shared" si="17"/>
        <v>6.8999999999999999E-3</v>
      </c>
      <c r="H64" s="2982">
        <f t="shared" si="12"/>
        <v>6.8999999999999999E-3</v>
      </c>
      <c r="I64" s="2983">
        <v>0.11</v>
      </c>
      <c r="J64" s="2984">
        <f t="shared" si="13"/>
        <v>1.38E-2</v>
      </c>
      <c r="K64" s="2984">
        <f t="shared" si="14"/>
        <v>6.8999999999999999E-3</v>
      </c>
      <c r="L64" s="2984">
        <v>0</v>
      </c>
      <c r="M64" s="2984">
        <f t="shared" si="15"/>
        <v>-6.8999999999999999E-3</v>
      </c>
      <c r="N64" s="2984">
        <f t="shared" si="15"/>
        <v>-1.38E-2</v>
      </c>
    </row>
    <row r="65" spans="1:33" s="1939" customFormat="1" ht="36.75">
      <c r="A65" s="2971" t="s">
        <v>2318</v>
      </c>
      <c r="B65" s="2989" t="s">
        <v>2319</v>
      </c>
      <c r="C65" s="2977" t="s">
        <v>3116</v>
      </c>
      <c r="D65" s="2978">
        <f t="shared" si="16"/>
        <v>0</v>
      </c>
      <c r="E65" s="2986"/>
      <c r="F65" s="2987"/>
      <c r="G65" s="2981">
        <f t="shared" si="17"/>
        <v>3.0999999999999999E-3</v>
      </c>
      <c r="H65" s="2982">
        <f t="shared" si="12"/>
        <v>3.0999999999999999E-3</v>
      </c>
      <c r="I65" s="2983">
        <v>0.05</v>
      </c>
      <c r="J65" s="2984">
        <f t="shared" si="13"/>
        <v>6.1999999999999998E-3</v>
      </c>
      <c r="K65" s="2984">
        <f t="shared" si="14"/>
        <v>3.0999999999999999E-3</v>
      </c>
      <c r="L65" s="2984">
        <v>0</v>
      </c>
      <c r="M65" s="2984">
        <f t="shared" si="15"/>
        <v>-3.0999999999999999E-3</v>
      </c>
      <c r="N65" s="2984">
        <f t="shared" si="15"/>
        <v>-6.1999999999999998E-3</v>
      </c>
    </row>
    <row r="66" spans="1:33" s="1939" customFormat="1" ht="24">
      <c r="A66" s="2971" t="s">
        <v>2320</v>
      </c>
      <c r="B66" s="2985">
        <f>估价对象房地状况!C24</f>
        <v>0</v>
      </c>
      <c r="C66" s="2977" t="s">
        <v>3116</v>
      </c>
      <c r="D66" s="2978">
        <f t="shared" si="16"/>
        <v>0</v>
      </c>
      <c r="E66" s="2986"/>
      <c r="F66" s="2987"/>
      <c r="G66" s="2981">
        <f t="shared" si="17"/>
        <v>3.0999999999999999E-3</v>
      </c>
      <c r="H66" s="2982">
        <f t="shared" si="12"/>
        <v>3.0999999999999999E-3</v>
      </c>
      <c r="I66" s="2983">
        <v>0.05</v>
      </c>
      <c r="J66" s="2984">
        <f t="shared" si="13"/>
        <v>6.1999999999999998E-3</v>
      </c>
      <c r="K66" s="2984">
        <f t="shared" si="14"/>
        <v>3.0999999999999999E-3</v>
      </c>
      <c r="L66" s="2984">
        <v>0</v>
      </c>
      <c r="M66" s="2984">
        <f t="shared" si="15"/>
        <v>-3.0999999999999999E-3</v>
      </c>
      <c r="N66" s="2984">
        <f t="shared" si="15"/>
        <v>-6.1999999999999998E-3</v>
      </c>
    </row>
    <row r="67" spans="1:33" s="1939" customFormat="1" ht="24">
      <c r="A67" s="2971" t="s">
        <v>2321</v>
      </c>
      <c r="B67" s="2990" t="s">
        <v>2322</v>
      </c>
      <c r="C67" s="2977" t="s">
        <v>3115</v>
      </c>
      <c r="D67" s="2978">
        <f t="shared" si="16"/>
        <v>3.8E-3</v>
      </c>
      <c r="E67" s="2986"/>
      <c r="F67" s="2987"/>
      <c r="G67" s="2981">
        <f t="shared" si="17"/>
        <v>3.8E-3</v>
      </c>
      <c r="H67" s="2982">
        <f t="shared" si="12"/>
        <v>3.8E-3</v>
      </c>
      <c r="I67" s="2983">
        <v>0.06</v>
      </c>
      <c r="J67" s="2984">
        <f t="shared" si="13"/>
        <v>7.6E-3</v>
      </c>
      <c r="K67" s="2984">
        <f t="shared" si="14"/>
        <v>3.8E-3</v>
      </c>
      <c r="L67" s="2984">
        <v>0</v>
      </c>
      <c r="M67" s="2984">
        <f t="shared" si="15"/>
        <v>-3.8E-3</v>
      </c>
      <c r="N67" s="2984">
        <f t="shared" si="15"/>
        <v>-7.6E-3</v>
      </c>
    </row>
    <row r="68" spans="1:33" s="1939" customFormat="1" ht="25.5">
      <c r="A68" s="2971" t="s">
        <v>2323</v>
      </c>
      <c r="B68" s="2992" t="str">
        <f>估价对象房地状况!C21</f>
        <v>估价对象所在区域公共配套设施齐备情况</v>
      </c>
      <c r="C68" s="2977" t="s">
        <v>3116</v>
      </c>
      <c r="D68" s="2978">
        <f t="shared" si="16"/>
        <v>0</v>
      </c>
      <c r="E68" s="2986"/>
      <c r="F68" s="2987"/>
      <c r="G68" s="2981">
        <f t="shared" si="17"/>
        <v>3.8E-3</v>
      </c>
      <c r="H68" s="2982">
        <f t="shared" si="12"/>
        <v>3.8E-3</v>
      </c>
      <c r="I68" s="2983">
        <v>0.06</v>
      </c>
      <c r="J68" s="2984">
        <f t="shared" si="13"/>
        <v>7.6E-3</v>
      </c>
      <c r="K68" s="2984">
        <f t="shared" si="14"/>
        <v>3.8E-3</v>
      </c>
      <c r="L68" s="2984">
        <v>0</v>
      </c>
      <c r="M68" s="2984">
        <f t="shared" si="15"/>
        <v>-3.8E-3</v>
      </c>
      <c r="N68" s="2984">
        <f t="shared" si="15"/>
        <v>-7.6E-3</v>
      </c>
    </row>
    <row r="69" spans="1:33" s="1939" customFormat="1" ht="24">
      <c r="A69" s="2971" t="s">
        <v>2324</v>
      </c>
      <c r="B69" s="2992" t="str">
        <f>估价对象房地状况!C22</f>
        <v>估价对象所在区域基础设施水平</v>
      </c>
      <c r="C69" s="2977" t="s">
        <v>3117</v>
      </c>
      <c r="D69" s="2978">
        <f t="shared" si="16"/>
        <v>1.14E-2</v>
      </c>
      <c r="E69" s="2986"/>
      <c r="F69" s="2987"/>
      <c r="G69" s="2981">
        <f t="shared" si="17"/>
        <v>5.7000000000000002E-3</v>
      </c>
      <c r="H69" s="2982">
        <f t="shared" si="12"/>
        <v>5.7000000000000002E-3</v>
      </c>
      <c r="I69" s="2983">
        <v>0.09</v>
      </c>
      <c r="J69" s="2984">
        <f t="shared" si="13"/>
        <v>1.14E-2</v>
      </c>
      <c r="K69" s="2984">
        <f t="shared" si="14"/>
        <v>5.7000000000000002E-3</v>
      </c>
      <c r="L69" s="2984">
        <v>0</v>
      </c>
      <c r="M69" s="2984">
        <f t="shared" si="15"/>
        <v>-5.7000000000000002E-3</v>
      </c>
      <c r="N69" s="2984">
        <f t="shared" si="15"/>
        <v>-1.14E-2</v>
      </c>
    </row>
    <row r="70" spans="1:33" s="1939" customFormat="1" ht="26.25" thickBot="1">
      <c r="A70" s="2993" t="s">
        <v>2325</v>
      </c>
      <c r="B70" s="2999" t="str">
        <f>估价对象房地状况!C20</f>
        <v>区域自然环境：；人文环境；综合评价环境状况一般</v>
      </c>
      <c r="C70" s="2977" t="s">
        <v>3116</v>
      </c>
      <c r="D70" s="2978">
        <f t="shared" si="16"/>
        <v>0</v>
      </c>
      <c r="E70" s="2995"/>
      <c r="F70" s="2987"/>
      <c r="G70" s="2981">
        <f t="shared" si="17"/>
        <v>4.4000000000000003E-3</v>
      </c>
      <c r="H70" s="2982">
        <f t="shared" si="12"/>
        <v>4.4000000000000003E-3</v>
      </c>
      <c r="I70" s="2996">
        <v>7.0000000000000007E-2</v>
      </c>
      <c r="J70" s="2984">
        <f t="shared" si="13"/>
        <v>8.8000000000000005E-3</v>
      </c>
      <c r="K70" s="2984">
        <f t="shared" si="14"/>
        <v>4.4000000000000003E-3</v>
      </c>
      <c r="L70" s="2984">
        <v>0</v>
      </c>
      <c r="M70" s="2984">
        <f t="shared" si="15"/>
        <v>-4.4000000000000003E-3</v>
      </c>
      <c r="N70" s="2984">
        <f t="shared" si="15"/>
        <v>-8.8000000000000005E-3</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8">SUMIF($J$72:$N$72,C73,J73:N73)</f>
        <v>0</v>
      </c>
      <c r="E73" s="2979">
        <f>ROUND(SUM(D73:D81),4)</f>
        <v>0</v>
      </c>
      <c r="F73" s="2980" t="str">
        <f>IF(E2="住宅",SUMIF(L1:L12,G2,N1:N12),"——")</f>
        <v>——</v>
      </c>
      <c r="G73" s="2981"/>
      <c r="H73" s="2982" t="str">
        <f t="shared" ref="H73:H81" si="19">IFERROR(ROUNDDOWN($F$73*I73/2,4),"——")</f>
        <v>——</v>
      </c>
      <c r="I73" s="2983">
        <v>0.2</v>
      </c>
      <c r="J73" s="2984">
        <f t="shared" ref="J73:J81" si="20">K73+$G73</f>
        <v>0</v>
      </c>
      <c r="K73" s="2984">
        <f t="shared" ref="K73:K81" si="21">$L73+$G73</f>
        <v>0</v>
      </c>
      <c r="L73" s="2984">
        <v>0</v>
      </c>
      <c r="M73" s="2984">
        <f t="shared" ref="M73:N81" si="22">L73-$G73</f>
        <v>0</v>
      </c>
      <c r="N73" s="2984">
        <f t="shared" si="22"/>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8"/>
        <v>0</v>
      </c>
      <c r="E74" s="2986"/>
      <c r="F74" s="2980"/>
      <c r="G74" s="2981"/>
      <c r="H74" s="2982" t="str">
        <f t="shared" si="19"/>
        <v>——</v>
      </c>
      <c r="I74" s="2983">
        <v>0.26</v>
      </c>
      <c r="J74" s="2984">
        <f t="shared" si="20"/>
        <v>0</v>
      </c>
      <c r="K74" s="2984">
        <f t="shared" si="21"/>
        <v>0</v>
      </c>
      <c r="L74" s="2984">
        <v>0</v>
      </c>
      <c r="M74" s="2984">
        <f t="shared" si="22"/>
        <v>0</v>
      </c>
      <c r="N74" s="2984">
        <f t="shared" si="22"/>
        <v>0</v>
      </c>
      <c r="S74" s="2674"/>
      <c r="T74" s="2674"/>
      <c r="U74" s="2674"/>
      <c r="V74" s="2674"/>
      <c r="W74" s="2674"/>
      <c r="X74" s="2674"/>
      <c r="Y74" s="2674"/>
    </row>
    <row r="75" spans="1:33" ht="36">
      <c r="A75" s="2988" t="s">
        <v>2839</v>
      </c>
      <c r="B75" s="2985">
        <f>估价对象房地状况!C19</f>
        <v>0</v>
      </c>
      <c r="C75" s="2977"/>
      <c r="D75" s="2978">
        <f t="shared" si="18"/>
        <v>0</v>
      </c>
      <c r="E75" s="2986"/>
      <c r="F75" s="2980"/>
      <c r="G75" s="2981"/>
      <c r="H75" s="2982" t="str">
        <f t="shared" si="19"/>
        <v>——</v>
      </c>
      <c r="I75" s="2983">
        <v>0.1</v>
      </c>
      <c r="J75" s="2984">
        <f t="shared" si="20"/>
        <v>0</v>
      </c>
      <c r="K75" s="2984">
        <f t="shared" si="21"/>
        <v>0</v>
      </c>
      <c r="L75" s="2984">
        <v>0</v>
      </c>
      <c r="M75" s="2984">
        <f t="shared" si="22"/>
        <v>0</v>
      </c>
      <c r="N75" s="2984">
        <f t="shared" si="22"/>
        <v>0</v>
      </c>
      <c r="O75" s="1939"/>
      <c r="P75" s="1939"/>
      <c r="Q75" s="1939"/>
      <c r="AA75" s="2674"/>
      <c r="AG75" s="1939"/>
    </row>
    <row r="76" spans="1:33" ht="14.25">
      <c r="A76" s="2971" t="s">
        <v>2330</v>
      </c>
      <c r="B76" s="2985">
        <f>估价对象房地状况!C24</f>
        <v>0</v>
      </c>
      <c r="C76" s="2977"/>
      <c r="D76" s="2978">
        <f t="shared" si="18"/>
        <v>0</v>
      </c>
      <c r="E76" s="2986"/>
      <c r="F76" s="2980"/>
      <c r="G76" s="2981"/>
      <c r="H76" s="2982" t="str">
        <f t="shared" si="19"/>
        <v>——</v>
      </c>
      <c r="I76" s="2983">
        <v>0.05</v>
      </c>
      <c r="J76" s="2984">
        <f t="shared" si="20"/>
        <v>0</v>
      </c>
      <c r="K76" s="2984">
        <f t="shared" si="21"/>
        <v>0</v>
      </c>
      <c r="L76" s="2984">
        <v>0</v>
      </c>
      <c r="M76" s="2984">
        <f t="shared" si="22"/>
        <v>0</v>
      </c>
      <c r="N76" s="2984">
        <f t="shared" si="22"/>
        <v>0</v>
      </c>
      <c r="O76" s="1939"/>
      <c r="P76" s="1939"/>
      <c r="Q76" s="1939"/>
      <c r="AA76" s="2674"/>
      <c r="AG76" s="1939"/>
    </row>
    <row r="77" spans="1:33" ht="25.5">
      <c r="A77" s="2971" t="s">
        <v>2323</v>
      </c>
      <c r="B77" s="2992" t="str">
        <f>估价对象房地状况!C21</f>
        <v>估价对象所在区域公共配套设施齐备情况</v>
      </c>
      <c r="C77" s="2977"/>
      <c r="D77" s="2978">
        <f t="shared" si="18"/>
        <v>0</v>
      </c>
      <c r="E77" s="2986"/>
      <c r="F77" s="2980"/>
      <c r="G77" s="2981"/>
      <c r="H77" s="2982" t="str">
        <f t="shared" si="19"/>
        <v>——</v>
      </c>
      <c r="I77" s="2983">
        <v>0.08</v>
      </c>
      <c r="J77" s="2984">
        <f t="shared" si="20"/>
        <v>0</v>
      </c>
      <c r="K77" s="2984">
        <f t="shared" si="21"/>
        <v>0</v>
      </c>
      <c r="L77" s="2984">
        <v>0</v>
      </c>
      <c r="M77" s="2984">
        <f t="shared" si="22"/>
        <v>0</v>
      </c>
      <c r="N77" s="2984">
        <f t="shared" si="22"/>
        <v>0</v>
      </c>
      <c r="O77" s="1939"/>
      <c r="P77" s="1939"/>
      <c r="Q77" s="1939"/>
      <c r="AA77" s="2674"/>
      <c r="AG77" s="1939"/>
    </row>
    <row r="78" spans="1:33" ht="24">
      <c r="A78" s="2971" t="s">
        <v>2324</v>
      </c>
      <c r="B78" s="2992" t="str">
        <f>估价对象房地状况!C22</f>
        <v>估价对象所在区域基础设施水平</v>
      </c>
      <c r="C78" s="2977"/>
      <c r="D78" s="2978">
        <f t="shared" si="18"/>
        <v>0</v>
      </c>
      <c r="E78" s="2986"/>
      <c r="F78" s="2980"/>
      <c r="G78" s="2981"/>
      <c r="H78" s="2982" t="str">
        <f t="shared" si="19"/>
        <v>——</v>
      </c>
      <c r="I78" s="2983">
        <v>0.09</v>
      </c>
      <c r="J78" s="2984">
        <f t="shared" si="20"/>
        <v>0</v>
      </c>
      <c r="K78" s="2984">
        <f t="shared" si="21"/>
        <v>0</v>
      </c>
      <c r="L78" s="2984">
        <v>0</v>
      </c>
      <c r="M78" s="2984">
        <f t="shared" si="22"/>
        <v>0</v>
      </c>
      <c r="N78" s="2984">
        <f t="shared" si="22"/>
        <v>0</v>
      </c>
      <c r="O78" s="1939"/>
      <c r="P78" s="1939"/>
      <c r="Q78" s="1939"/>
      <c r="AA78" s="2674"/>
      <c r="AG78" s="1939"/>
    </row>
    <row r="79" spans="1:33" ht="24">
      <c r="A79" s="2971" t="s">
        <v>2321</v>
      </c>
      <c r="B79" s="2990" t="s">
        <v>2322</v>
      </c>
      <c r="C79" s="2977"/>
      <c r="D79" s="2978">
        <f t="shared" si="18"/>
        <v>0</v>
      </c>
      <c r="E79" s="2986"/>
      <c r="F79" s="2980"/>
      <c r="G79" s="2981"/>
      <c r="H79" s="2982" t="str">
        <f t="shared" si="19"/>
        <v>——</v>
      </c>
      <c r="I79" s="2983">
        <v>0.05</v>
      </c>
      <c r="J79" s="2984">
        <f t="shared" si="20"/>
        <v>0</v>
      </c>
      <c r="K79" s="2984">
        <f t="shared" si="21"/>
        <v>0</v>
      </c>
      <c r="L79" s="2984">
        <v>0</v>
      </c>
      <c r="M79" s="2984">
        <f t="shared" si="22"/>
        <v>0</v>
      </c>
      <c r="N79" s="2984">
        <f t="shared" si="22"/>
        <v>0</v>
      </c>
      <c r="AA79" s="2674"/>
      <c r="AG79" s="1939"/>
    </row>
    <row r="80" spans="1:33" ht="25.5">
      <c r="A80" s="2971" t="s">
        <v>2325</v>
      </c>
      <c r="B80" s="2976" t="str">
        <f>估价对象房地状况!C20</f>
        <v>区域自然环境：；人文环境；综合评价环境状况一般</v>
      </c>
      <c r="C80" s="2977"/>
      <c r="D80" s="2978">
        <f t="shared" si="18"/>
        <v>0</v>
      </c>
      <c r="E80" s="2986"/>
      <c r="F80" s="2980"/>
      <c r="G80" s="2981"/>
      <c r="H80" s="2982" t="str">
        <f t="shared" si="19"/>
        <v>——</v>
      </c>
      <c r="I80" s="2983">
        <v>0.12</v>
      </c>
      <c r="J80" s="2984">
        <f t="shared" si="20"/>
        <v>0</v>
      </c>
      <c r="K80" s="2984">
        <f t="shared" si="21"/>
        <v>0</v>
      </c>
      <c r="L80" s="2984">
        <v>0</v>
      </c>
      <c r="M80" s="2984">
        <f t="shared" si="22"/>
        <v>0</v>
      </c>
      <c r="N80" s="2984">
        <f t="shared" si="22"/>
        <v>0</v>
      </c>
      <c r="AA80" s="2674"/>
      <c r="AG80" s="1939"/>
    </row>
    <row r="81" spans="1:33" ht="24.75" thickBot="1">
      <c r="A81" s="2993" t="s">
        <v>2331</v>
      </c>
      <c r="B81" s="3001"/>
      <c r="C81" s="2977"/>
      <c r="D81" s="2978">
        <f t="shared" si="18"/>
        <v>0</v>
      </c>
      <c r="E81" s="2995"/>
      <c r="F81" s="2980"/>
      <c r="G81" s="2981"/>
      <c r="H81" s="2982" t="str">
        <f t="shared" si="19"/>
        <v>——</v>
      </c>
      <c r="I81" s="2996">
        <v>0.05</v>
      </c>
      <c r="J81" s="2984">
        <f t="shared" si="20"/>
        <v>0</v>
      </c>
      <c r="K81" s="2984">
        <f t="shared" si="21"/>
        <v>0</v>
      </c>
      <c r="L81" s="2984">
        <v>0</v>
      </c>
      <c r="M81" s="2984">
        <f t="shared" si="22"/>
        <v>0</v>
      </c>
      <c r="N81" s="2984">
        <f t="shared" si="22"/>
        <v>0</v>
      </c>
      <c r="AA81" s="2674"/>
      <c r="AG81" s="1939"/>
    </row>
    <row r="82" spans="1:33" ht="15">
      <c r="A82" s="2965" t="s">
        <v>2332</v>
      </c>
      <c r="B82" s="2966">
        <f>1+E84</f>
        <v>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c r="D84" s="2978">
        <f t="shared" ref="D84:D91" si="23">SUMIF($J$83:$N$83,C84,J84:N84)</f>
        <v>0</v>
      </c>
      <c r="E84" s="2979">
        <f>ROUND(SUM(D84:D91),4)</f>
        <v>0</v>
      </c>
      <c r="F84" s="2980" t="str">
        <f>IF(E2="工业",SUMIF(L1:L12,G2,N1:N12),"——")</f>
        <v>——</v>
      </c>
      <c r="G84" s="2981"/>
      <c r="H84" s="2982" t="str">
        <f t="shared" ref="H84:H91" si="24">IFERROR(ROUNDDOWN($F$84*I84/2,4),"——")</f>
        <v>——</v>
      </c>
      <c r="I84" s="2983">
        <v>0.26</v>
      </c>
      <c r="J84" s="2984">
        <f t="shared" ref="J84:J91" si="25">K84+$G84</f>
        <v>0</v>
      </c>
      <c r="K84" s="2984">
        <f t="shared" ref="K84:K91" si="26">$L84+$G84</f>
        <v>0</v>
      </c>
      <c r="L84" s="2984">
        <v>0</v>
      </c>
      <c r="M84" s="2984">
        <f t="shared" ref="M84:N91" si="27">L84-$G84</f>
        <v>0</v>
      </c>
      <c r="N84" s="2984">
        <f t="shared" si="27"/>
        <v>0</v>
      </c>
      <c r="AA84" s="2674"/>
      <c r="AG84" s="1939"/>
    </row>
    <row r="85" spans="1:33" ht="38.25">
      <c r="A85" s="2971" t="s">
        <v>2317</v>
      </c>
      <c r="B85" s="2985" t="str">
        <f>估价对象房地状况!G16</f>
        <v>估价对象周边道路状况、公共交通通达情况、停车便捷程度，综合评价交通便捷度较好</v>
      </c>
      <c r="C85" s="2977"/>
      <c r="D85" s="2978">
        <f t="shared" si="23"/>
        <v>0</v>
      </c>
      <c r="E85" s="2986"/>
      <c r="F85" s="2980"/>
      <c r="G85" s="2981"/>
      <c r="H85" s="2982" t="str">
        <f t="shared" si="24"/>
        <v>——</v>
      </c>
      <c r="I85" s="2983">
        <v>0.3</v>
      </c>
      <c r="J85" s="2984">
        <f t="shared" si="25"/>
        <v>0</v>
      </c>
      <c r="K85" s="2984">
        <f t="shared" si="26"/>
        <v>0</v>
      </c>
      <c r="L85" s="2984">
        <v>0</v>
      </c>
      <c r="M85" s="2984">
        <f t="shared" si="27"/>
        <v>0</v>
      </c>
      <c r="N85" s="2984">
        <f t="shared" si="27"/>
        <v>0</v>
      </c>
      <c r="AA85" s="2674"/>
      <c r="AG85" s="1939"/>
    </row>
    <row r="86" spans="1:33" ht="36">
      <c r="A86" s="2988" t="s">
        <v>2840</v>
      </c>
      <c r="B86" s="2985">
        <f>估价对象房地状况!G17</f>
        <v>0</v>
      </c>
      <c r="C86" s="2977"/>
      <c r="D86" s="2978">
        <f t="shared" si="23"/>
        <v>0</v>
      </c>
      <c r="E86" s="2986"/>
      <c r="F86" s="2980"/>
      <c r="G86" s="2981"/>
      <c r="H86" s="2982" t="str">
        <f t="shared" si="24"/>
        <v>——</v>
      </c>
      <c r="I86" s="2983">
        <v>0.1</v>
      </c>
      <c r="J86" s="2984">
        <f t="shared" si="25"/>
        <v>0</v>
      </c>
      <c r="K86" s="2984">
        <f t="shared" si="26"/>
        <v>0</v>
      </c>
      <c r="L86" s="2984">
        <v>0</v>
      </c>
      <c r="M86" s="2984">
        <f t="shared" si="27"/>
        <v>0</v>
      </c>
      <c r="N86" s="2984">
        <f t="shared" si="27"/>
        <v>0</v>
      </c>
      <c r="AA86" s="2674"/>
      <c r="AG86" s="1939"/>
    </row>
    <row r="87" spans="1:33" ht="14.25">
      <c r="A87" s="2971" t="s">
        <v>2330</v>
      </c>
      <c r="B87" s="2985">
        <f>估价对象房地状况!G22</f>
        <v>0</v>
      </c>
      <c r="C87" s="2977"/>
      <c r="D87" s="2978">
        <f t="shared" si="23"/>
        <v>0</v>
      </c>
      <c r="E87" s="2986"/>
      <c r="F87" s="2980"/>
      <c r="G87" s="2981"/>
      <c r="H87" s="2982" t="str">
        <f t="shared" si="24"/>
        <v>——</v>
      </c>
      <c r="I87" s="2983">
        <v>0.05</v>
      </c>
      <c r="J87" s="2984">
        <f t="shared" si="25"/>
        <v>0</v>
      </c>
      <c r="K87" s="2984">
        <f t="shared" si="26"/>
        <v>0</v>
      </c>
      <c r="L87" s="2984">
        <v>0</v>
      </c>
      <c r="M87" s="2984">
        <f t="shared" si="27"/>
        <v>0</v>
      </c>
      <c r="N87" s="2984">
        <f t="shared" si="27"/>
        <v>0</v>
      </c>
      <c r="AA87" s="2674"/>
      <c r="AG87" s="1939"/>
    </row>
    <row r="88" spans="1:33" ht="25.5">
      <c r="A88" s="2971" t="s">
        <v>2323</v>
      </c>
      <c r="B88" s="2992" t="str">
        <f>估价对象房地状况!G19</f>
        <v>估价对象所在区域公共配套设施齐备情况</v>
      </c>
      <c r="C88" s="2977"/>
      <c r="D88" s="2978">
        <f t="shared" si="23"/>
        <v>0</v>
      </c>
      <c r="E88" s="2986"/>
      <c r="F88" s="2980"/>
      <c r="G88" s="2981"/>
      <c r="H88" s="2982" t="str">
        <f t="shared" si="24"/>
        <v>——</v>
      </c>
      <c r="I88" s="2983">
        <v>0.06</v>
      </c>
      <c r="J88" s="2984">
        <f t="shared" si="25"/>
        <v>0</v>
      </c>
      <c r="K88" s="2984">
        <f t="shared" si="26"/>
        <v>0</v>
      </c>
      <c r="L88" s="2984">
        <v>0</v>
      </c>
      <c r="M88" s="2984">
        <f t="shared" si="27"/>
        <v>0</v>
      </c>
      <c r="N88" s="2984">
        <f t="shared" si="27"/>
        <v>0</v>
      </c>
    </row>
    <row r="89" spans="1:33" ht="24">
      <c r="A89" s="2971" t="s">
        <v>2324</v>
      </c>
      <c r="B89" s="2992" t="str">
        <f>估价对象房地状况!G20</f>
        <v>估价对象所在区域基础设施水平</v>
      </c>
      <c r="C89" s="2977"/>
      <c r="D89" s="2978">
        <f t="shared" si="23"/>
        <v>0</v>
      </c>
      <c r="E89" s="2986"/>
      <c r="F89" s="2980"/>
      <c r="G89" s="2981"/>
      <c r="H89" s="2982" t="str">
        <f t="shared" si="24"/>
        <v>——</v>
      </c>
      <c r="I89" s="2983">
        <v>0.12</v>
      </c>
      <c r="J89" s="2984">
        <f t="shared" si="25"/>
        <v>0</v>
      </c>
      <c r="K89" s="2984">
        <f t="shared" si="26"/>
        <v>0</v>
      </c>
      <c r="L89" s="2984">
        <v>0</v>
      </c>
      <c r="M89" s="2984">
        <f t="shared" si="27"/>
        <v>0</v>
      </c>
      <c r="N89" s="2984">
        <f t="shared" si="27"/>
        <v>0</v>
      </c>
    </row>
    <row r="90" spans="1:33" ht="24">
      <c r="A90" s="2971" t="s">
        <v>2321</v>
      </c>
      <c r="B90" s="2990" t="s">
        <v>2334</v>
      </c>
      <c r="C90" s="2977"/>
      <c r="D90" s="2978">
        <f t="shared" si="23"/>
        <v>0</v>
      </c>
      <c r="E90" s="2986"/>
      <c r="F90" s="2980"/>
      <c r="G90" s="2981"/>
      <c r="H90" s="2982" t="str">
        <f t="shared" si="24"/>
        <v>——</v>
      </c>
      <c r="I90" s="2983">
        <v>0.06</v>
      </c>
      <c r="J90" s="2984">
        <f t="shared" si="25"/>
        <v>0</v>
      </c>
      <c r="K90" s="2984">
        <f t="shared" si="26"/>
        <v>0</v>
      </c>
      <c r="L90" s="2984">
        <v>0</v>
      </c>
      <c r="M90" s="2984">
        <f t="shared" si="27"/>
        <v>0</v>
      </c>
      <c r="N90" s="2984">
        <f t="shared" si="27"/>
        <v>0</v>
      </c>
    </row>
    <row r="91" spans="1:33" ht="39" thickBot="1">
      <c r="A91" s="2993" t="s">
        <v>2335</v>
      </c>
      <c r="B91" s="3002" t="str">
        <f>估价对象房地状况!G18</f>
        <v>该园区内是否有污染型企业，绿化情况，卫生条件，整体环境状况判断</v>
      </c>
      <c r="C91" s="2977"/>
      <c r="D91" s="2978">
        <f t="shared" si="23"/>
        <v>0</v>
      </c>
      <c r="E91" s="2995"/>
      <c r="F91" s="2980"/>
      <c r="G91" s="2981"/>
      <c r="H91" s="2982" t="str">
        <f t="shared" si="24"/>
        <v>——</v>
      </c>
      <c r="I91" s="2996">
        <v>0.05</v>
      </c>
      <c r="J91" s="2984">
        <f t="shared" si="25"/>
        <v>0</v>
      </c>
      <c r="K91" s="2984">
        <f t="shared" si="26"/>
        <v>0</v>
      </c>
      <c r="L91" s="2984">
        <v>0</v>
      </c>
      <c r="M91" s="2984">
        <f t="shared" si="27"/>
        <v>0</v>
      </c>
      <c r="N91" s="2984">
        <f t="shared" si="27"/>
        <v>0</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f t="shared" ref="H94:H102" si="28">IFERROR(ROUNDDOWN($F$62*I94/2,4),"——")</f>
        <v>1.5800000000000002E-2</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f t="shared" si="28"/>
        <v>1.6500000000000001E-2</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f t="shared" si="28"/>
        <v>6.8999999999999999E-3</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f t="shared" si="28"/>
        <v>3.0999999999999999E-3</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f t="shared" si="28"/>
        <v>3.0999999999999999E-3</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f t="shared" si="28"/>
        <v>3.8E-3</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f t="shared" si="28"/>
        <v>3.8E-3</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f t="shared" si="28"/>
        <v>5.7000000000000002E-3</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f t="shared" si="28"/>
        <v>4.4000000000000003E-3</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25" t="s">
        <v>2336</v>
      </c>
      <c r="B104" s="3625"/>
      <c r="C104" s="3625"/>
      <c r="D104" s="3625"/>
      <c r="E104" s="3625"/>
      <c r="F104" s="3625"/>
      <c r="G104" s="3625"/>
      <c r="H104" s="3625"/>
      <c r="I104" s="3625"/>
      <c r="J104" s="3625"/>
      <c r="K104" s="3045"/>
      <c r="L104" s="3045"/>
      <c r="M104" s="3045"/>
      <c r="N104" s="3045"/>
    </row>
    <row r="105" spans="1:25">
      <c r="A105" s="3627" t="s">
        <v>2337</v>
      </c>
      <c r="B105" s="3627" t="s">
        <v>2338</v>
      </c>
      <c r="C105" s="3012" t="s">
        <v>2339</v>
      </c>
      <c r="D105" s="3013"/>
      <c r="E105" s="3013"/>
      <c r="F105" s="3013"/>
      <c r="G105" s="3013"/>
      <c r="H105" s="3013"/>
      <c r="I105" s="3013"/>
      <c r="J105" s="3014"/>
      <c r="K105" s="3015"/>
      <c r="L105" s="3015"/>
      <c r="M105" s="3015"/>
      <c r="N105" s="3015"/>
    </row>
    <row r="106" spans="1:25">
      <c r="A106" s="3627"/>
      <c r="B106" s="362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2"/>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33"/>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26" t="s">
        <v>2341</v>
      </c>
      <c r="B114" s="3626"/>
      <c r="C114" s="3626"/>
      <c r="D114" s="3626"/>
      <c r="E114" s="3626"/>
      <c r="F114" s="3626"/>
      <c r="G114" s="3626"/>
      <c r="H114" s="3626"/>
      <c r="I114" s="3626"/>
      <c r="J114" s="3626"/>
      <c r="K114" s="3046"/>
      <c r="L114" s="3046"/>
      <c r="M114" s="3046"/>
      <c r="N114" s="3046"/>
    </row>
    <row r="116" spans="1:14" ht="13.5" thickBot="1"/>
    <row r="117" spans="1:14" ht="25.5" thickBot="1">
      <c r="A117" s="3020" t="s">
        <v>2342</v>
      </c>
      <c r="B117" s="3021">
        <f>G3</f>
        <v>1.53</v>
      </c>
      <c r="C117" s="3022" t="s">
        <v>2343</v>
      </c>
      <c r="D117" s="3023">
        <f>SUMPRODUCT((A119:A123=F117)*(B118:M118=H117)*B119:M123)</f>
        <v>0.91979999999999995</v>
      </c>
      <c r="E117" s="2695" t="s">
        <v>2198</v>
      </c>
      <c r="F117" s="3024" t="str">
        <f>E2</f>
        <v>办公</v>
      </c>
      <c r="G117" s="2695" t="s">
        <v>2199</v>
      </c>
      <c r="H117" s="3024" t="str">
        <f>G2</f>
        <v>六级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0.98</v>
      </c>
      <c r="C119" s="3033">
        <f>B119</f>
        <v>0.98</v>
      </c>
      <c r="D119" s="3033">
        <f>ROUND(0.949-0.014*B117,4)</f>
        <v>0.92759999999999998</v>
      </c>
      <c r="E119" s="3033">
        <f>D119</f>
        <v>0.92759999999999998</v>
      </c>
      <c r="F119" s="3033">
        <f>E119</f>
        <v>0.92759999999999998</v>
      </c>
      <c r="G119" s="3033">
        <f>F119</f>
        <v>0.92759999999999998</v>
      </c>
      <c r="H119" s="3033">
        <f>G119</f>
        <v>0.92759999999999998</v>
      </c>
      <c r="I119" s="3033">
        <f>ROUND(0.8486-0.018*B117,4)</f>
        <v>0.82110000000000005</v>
      </c>
      <c r="J119" s="3033">
        <f t="shared" ref="J119:M122" si="37">I119</f>
        <v>0.82110000000000005</v>
      </c>
      <c r="K119" s="3033">
        <f t="shared" si="37"/>
        <v>0.82110000000000005</v>
      </c>
      <c r="L119" s="3033">
        <f t="shared" si="37"/>
        <v>0.82110000000000005</v>
      </c>
      <c r="M119" s="3034">
        <f t="shared" si="37"/>
        <v>0.82110000000000005</v>
      </c>
    </row>
    <row r="120" spans="1:14">
      <c r="A120" s="3032" t="s">
        <v>2255</v>
      </c>
      <c r="B120" s="3033">
        <f>ROUND(0.993-0.0112*B117,4)</f>
        <v>0.97589999999999999</v>
      </c>
      <c r="C120" s="3033">
        <f>B120</f>
        <v>0.97589999999999999</v>
      </c>
      <c r="D120" s="3033">
        <f>ROUND(0.9415-0.0142*B117,4)</f>
        <v>0.91979999999999995</v>
      </c>
      <c r="E120" s="3033">
        <f t="shared" ref="E120:H121" si="38">D120</f>
        <v>0.91979999999999995</v>
      </c>
      <c r="F120" s="3033">
        <f t="shared" si="38"/>
        <v>0.91979999999999995</v>
      </c>
      <c r="G120" s="3033">
        <f t="shared" si="38"/>
        <v>0.91979999999999995</v>
      </c>
      <c r="H120" s="3033">
        <f t="shared" si="38"/>
        <v>0.91979999999999995</v>
      </c>
      <c r="I120" s="3033">
        <f>ROUND(0.838-0.0182*B117,4)</f>
        <v>0.81020000000000003</v>
      </c>
      <c r="J120" s="3033">
        <f t="shared" si="37"/>
        <v>0.81020000000000003</v>
      </c>
      <c r="K120" s="3033">
        <f t="shared" si="37"/>
        <v>0.81020000000000003</v>
      </c>
      <c r="L120" s="3033">
        <f t="shared" si="37"/>
        <v>0.81020000000000003</v>
      </c>
      <c r="M120" s="3034">
        <f t="shared" si="37"/>
        <v>0.81020000000000003</v>
      </c>
    </row>
    <row r="121" spans="1:14">
      <c r="A121" s="3032" t="s">
        <v>2256</v>
      </c>
      <c r="B121" s="3033">
        <f>ROUND(0.9448-0.0115*B117,4)</f>
        <v>0.92720000000000002</v>
      </c>
      <c r="C121" s="3033">
        <f>B121</f>
        <v>0.92720000000000002</v>
      </c>
      <c r="D121" s="3033">
        <f>ROUND(0.937-0.0145*B117,4)</f>
        <v>0.91479999999999995</v>
      </c>
      <c r="E121" s="3033">
        <f t="shared" si="38"/>
        <v>0.91479999999999995</v>
      </c>
      <c r="F121" s="3033">
        <f t="shared" si="38"/>
        <v>0.91479999999999995</v>
      </c>
      <c r="G121" s="3033">
        <f t="shared" si="38"/>
        <v>0.91479999999999995</v>
      </c>
      <c r="H121" s="3033">
        <f t="shared" si="38"/>
        <v>0.91479999999999995</v>
      </c>
      <c r="I121" s="3033">
        <f>ROUND(0.7965-0.0185*B117,4)</f>
        <v>0.76819999999999999</v>
      </c>
      <c r="J121" s="3033">
        <f t="shared" si="37"/>
        <v>0.76819999999999999</v>
      </c>
      <c r="K121" s="3033">
        <f t="shared" si="37"/>
        <v>0.76819999999999999</v>
      </c>
      <c r="L121" s="3033">
        <f t="shared" si="37"/>
        <v>0.76819999999999999</v>
      </c>
      <c r="M121" s="3034">
        <f t="shared" si="37"/>
        <v>0.76819999999999999</v>
      </c>
    </row>
    <row r="122" spans="1:14" ht="13.5" thickBot="1">
      <c r="A122" s="3035" t="s">
        <v>2257</v>
      </c>
      <c r="B122" s="3036">
        <f>ROUND(0.7836-0.012*B117,4)</f>
        <v>0.76519999999999999</v>
      </c>
      <c r="C122" s="3036">
        <f>B122</f>
        <v>0.76519999999999999</v>
      </c>
      <c r="D122" s="3036">
        <f>ROUND(0.753-0.015*B117,4)</f>
        <v>0.73009999999999997</v>
      </c>
      <c r="E122" s="3036">
        <f>D122</f>
        <v>0.73009999999999997</v>
      </c>
      <c r="F122" s="3036">
        <f>E122</f>
        <v>0.73009999999999997</v>
      </c>
      <c r="G122" s="3036">
        <f>ROUND(0.6612-0.018*B117,4)</f>
        <v>0.63370000000000004</v>
      </c>
      <c r="H122" s="3036">
        <f>G122</f>
        <v>0.63370000000000004</v>
      </c>
      <c r="I122" s="3036">
        <f>ROUND(0.5905-0.019*B117,4)</f>
        <v>0.56140000000000001</v>
      </c>
      <c r="J122" s="3036">
        <f t="shared" si="37"/>
        <v>0.56140000000000001</v>
      </c>
      <c r="K122" s="3036">
        <f t="shared" si="37"/>
        <v>0.56140000000000001</v>
      </c>
      <c r="L122" s="3036">
        <f t="shared" si="37"/>
        <v>0.56140000000000001</v>
      </c>
      <c r="M122" s="3037">
        <f t="shared" si="37"/>
        <v>0.56140000000000001</v>
      </c>
    </row>
    <row r="123" spans="1:14">
      <c r="A123" s="3038" t="s">
        <v>2926</v>
      </c>
      <c r="B123" s="3033">
        <f>ROUND(0.9404-0.0106*B117,4)</f>
        <v>0.92420000000000002</v>
      </c>
      <c r="C123" s="3033">
        <f>B123</f>
        <v>0.92420000000000002</v>
      </c>
      <c r="D123" s="3033">
        <f>ROUND(0.8955-0.0135*B117,4)</f>
        <v>0.87480000000000002</v>
      </c>
      <c r="E123" s="3033">
        <f t="shared" ref="E123" si="39">D123</f>
        <v>0.87480000000000002</v>
      </c>
      <c r="F123" s="3033">
        <f t="shared" ref="F123" si="40">E123</f>
        <v>0.87480000000000002</v>
      </c>
      <c r="G123" s="3033">
        <f t="shared" ref="G123" si="41">F123</f>
        <v>0.87480000000000002</v>
      </c>
      <c r="H123" s="3033">
        <f t="shared" ref="H123" si="42">G123</f>
        <v>0.87480000000000002</v>
      </c>
      <c r="I123" s="3033">
        <f>ROUND(0.7632-0.0166*B117,4)</f>
        <v>0.73780000000000001</v>
      </c>
      <c r="J123" s="3033">
        <f t="shared" ref="J123" si="43">I123</f>
        <v>0.73780000000000001</v>
      </c>
      <c r="K123" s="3033">
        <f t="shared" ref="K123" si="44">J123</f>
        <v>0.73780000000000001</v>
      </c>
      <c r="L123" s="3033">
        <f t="shared" ref="L123" si="45">K123</f>
        <v>0.73780000000000001</v>
      </c>
      <c r="M123" s="3034">
        <f t="shared" ref="M123" si="46">L123</f>
        <v>0.73780000000000001</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5" t="s">
        <v>180</v>
      </c>
      <c r="B20" s="3652" t="s">
        <v>2918</v>
      </c>
      <c r="C20" s="2771" t="s">
        <v>2848</v>
      </c>
      <c r="D20" s="2772"/>
      <c r="E20" s="3085">
        <v>1</v>
      </c>
      <c r="F20" s="3086" t="s">
        <v>2854</v>
      </c>
      <c r="G20" s="3086"/>
    </row>
    <row r="21" spans="1:13">
      <c r="A21" s="3646"/>
      <c r="B21" s="3648"/>
      <c r="C21" s="746" t="s">
        <v>2849</v>
      </c>
      <c r="D21" s="747"/>
      <c r="E21" s="3087">
        <v>1</v>
      </c>
      <c r="F21" s="3086" t="s">
        <v>2855</v>
      </c>
      <c r="G21" s="3086"/>
    </row>
    <row r="22" spans="1:13">
      <c r="A22" s="3646"/>
      <c r="B22" s="3648"/>
      <c r="C22" s="746" t="s">
        <v>2850</v>
      </c>
      <c r="D22" s="747"/>
      <c r="E22" s="3087">
        <v>0.9</v>
      </c>
      <c r="F22" s="3086" t="s">
        <v>2856</v>
      </c>
      <c r="G22" s="3086"/>
    </row>
    <row r="23" spans="1:13">
      <c r="A23" s="3646"/>
      <c r="B23" s="3648"/>
      <c r="C23" s="746" t="s">
        <v>2851</v>
      </c>
      <c r="D23" s="747"/>
      <c r="E23" s="3087">
        <v>0.9</v>
      </c>
      <c r="F23" s="3086" t="s">
        <v>2857</v>
      </c>
      <c r="G23" s="3086"/>
    </row>
    <row r="24" spans="1:13">
      <c r="A24" s="3646"/>
      <c r="B24" s="3648"/>
      <c r="C24" s="746" t="s">
        <v>2852</v>
      </c>
      <c r="D24" s="747"/>
      <c r="E24" s="3087">
        <v>0.8</v>
      </c>
      <c r="F24" s="3086" t="s">
        <v>2858</v>
      </c>
      <c r="G24" s="3086"/>
    </row>
    <row r="25" spans="1:13" ht="14.25" thickBot="1">
      <c r="A25" s="3647"/>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8"/>
      <c r="C28" s="746" t="s">
        <v>2864</v>
      </c>
      <c r="D28" s="747"/>
      <c r="E28" s="3087">
        <v>1</v>
      </c>
      <c r="F28" s="3086" t="s">
        <v>2877</v>
      </c>
      <c r="G28" s="3086"/>
    </row>
    <row r="29" spans="1:13">
      <c r="A29" s="3650"/>
      <c r="B29" s="3648"/>
      <c r="C29" s="746" t="s">
        <v>2865</v>
      </c>
      <c r="D29" s="747"/>
      <c r="E29" s="3087">
        <v>0.8</v>
      </c>
      <c r="F29" s="3086" t="s">
        <v>2878</v>
      </c>
      <c r="G29" s="3086"/>
    </row>
    <row r="30" spans="1:13">
      <c r="A30" s="3650"/>
      <c r="B30" s="3648"/>
      <c r="C30" s="746" t="s">
        <v>2866</v>
      </c>
      <c r="D30" s="747"/>
      <c r="E30" s="3087">
        <v>0.8</v>
      </c>
      <c r="F30" s="3086" t="s">
        <v>2879</v>
      </c>
      <c r="G30" s="3086"/>
    </row>
    <row r="31" spans="1:13">
      <c r="A31" s="3650"/>
      <c r="B31" s="3648"/>
      <c r="C31" s="746" t="s">
        <v>2867</v>
      </c>
      <c r="D31" s="747"/>
      <c r="E31" s="3087">
        <v>0.8</v>
      </c>
      <c r="F31" s="3086" t="s">
        <v>2880</v>
      </c>
      <c r="G31" s="3086"/>
    </row>
    <row r="32" spans="1:13">
      <c r="A32" s="3650"/>
      <c r="B32" s="3648"/>
      <c r="C32" s="746" t="s">
        <v>2868</v>
      </c>
      <c r="D32" s="747"/>
      <c r="E32" s="3087">
        <v>0.7</v>
      </c>
      <c r="F32" s="3086" t="s">
        <v>2881</v>
      </c>
      <c r="G32" s="3086"/>
    </row>
    <row r="33" spans="1:7">
      <c r="A33" s="3650"/>
      <c r="B33" s="3648"/>
      <c r="C33" s="746" t="s">
        <v>2869</v>
      </c>
      <c r="D33" s="747"/>
      <c r="E33" s="3087">
        <v>0.8</v>
      </c>
      <c r="F33" s="3086" t="s">
        <v>2882</v>
      </c>
      <c r="G33" s="3086"/>
    </row>
    <row r="34" spans="1:7">
      <c r="A34" s="3650"/>
      <c r="B34" s="3648"/>
      <c r="C34" s="746" t="s">
        <v>2870</v>
      </c>
      <c r="D34" s="747"/>
      <c r="E34" s="3087">
        <v>0.6</v>
      </c>
      <c r="F34" s="3086" t="s">
        <v>2883</v>
      </c>
      <c r="G34" s="3086"/>
    </row>
    <row r="35" spans="1:7">
      <c r="A35" s="3650"/>
      <c r="B35" s="3648"/>
      <c r="C35" s="746" t="s">
        <v>2871</v>
      </c>
      <c r="D35" s="747"/>
      <c r="E35" s="3087">
        <v>0.2</v>
      </c>
      <c r="F35" s="3086" t="s">
        <v>2884</v>
      </c>
      <c r="G35" s="3086"/>
    </row>
    <row r="36" spans="1:7">
      <c r="A36" s="3650"/>
      <c r="B36" s="3648"/>
      <c r="C36" s="746" t="s">
        <v>2872</v>
      </c>
      <c r="D36" s="747"/>
      <c r="E36" s="3087">
        <v>0.2</v>
      </c>
      <c r="F36" s="3086" t="s">
        <v>2885</v>
      </c>
      <c r="G36" s="3086"/>
    </row>
    <row r="37" spans="1:7">
      <c r="A37" s="3650"/>
      <c r="B37" s="3643" t="s">
        <v>2919</v>
      </c>
      <c r="C37" s="746" t="s">
        <v>2873</v>
      </c>
      <c r="D37" s="747"/>
      <c r="E37" s="3087">
        <v>0.6</v>
      </c>
      <c r="F37" s="3086" t="s">
        <v>2886</v>
      </c>
      <c r="G37" s="3086"/>
    </row>
    <row r="38" spans="1:7">
      <c r="A38" s="3650"/>
      <c r="B38" s="3648"/>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5" t="s">
        <v>182</v>
      </c>
      <c r="B41" s="3652" t="s">
        <v>2915</v>
      </c>
      <c r="C41" s="2771" t="s">
        <v>2891</v>
      </c>
      <c r="D41" s="2772"/>
      <c r="E41" s="3085">
        <v>1</v>
      </c>
      <c r="F41" s="3086" t="s">
        <v>2903</v>
      </c>
      <c r="G41" s="3086"/>
    </row>
    <row r="42" spans="1:7">
      <c r="A42" s="3646"/>
      <c r="B42" s="3648"/>
      <c r="C42" s="746" t="s">
        <v>2892</v>
      </c>
      <c r="D42" s="747"/>
      <c r="E42" s="3087">
        <v>1</v>
      </c>
      <c r="F42" s="3086" t="s">
        <v>2904</v>
      </c>
      <c r="G42" s="3086"/>
    </row>
    <row r="43" spans="1:7">
      <c r="A43" s="3646"/>
      <c r="B43" s="3644"/>
      <c r="C43" s="746" t="s">
        <v>2893</v>
      </c>
      <c r="D43" s="747"/>
      <c r="E43" s="3087">
        <v>1.5</v>
      </c>
      <c r="F43" s="3086" t="s">
        <v>2905</v>
      </c>
      <c r="G43" s="3086"/>
    </row>
    <row r="44" spans="1:7">
      <c r="A44" s="3646"/>
      <c r="B44" s="3092" t="s">
        <v>2916</v>
      </c>
      <c r="C44" s="746" t="s">
        <v>2914</v>
      </c>
      <c r="D44" s="747"/>
      <c r="E44" s="3087">
        <v>2</v>
      </c>
      <c r="F44" s="3086" t="s">
        <v>2906</v>
      </c>
      <c r="G44" s="3086"/>
    </row>
    <row r="45" spans="1:7">
      <c r="A45" s="3646"/>
      <c r="B45" s="3643" t="s">
        <v>2917</v>
      </c>
      <c r="C45" s="746" t="s">
        <v>2894</v>
      </c>
      <c r="D45" s="747"/>
      <c r="E45" s="3087">
        <v>1</v>
      </c>
      <c r="F45" s="3086" t="s">
        <v>2907</v>
      </c>
      <c r="G45" s="3086"/>
    </row>
    <row r="46" spans="1:7">
      <c r="A46" s="3646"/>
      <c r="B46" s="3648"/>
      <c r="C46" s="746" t="s">
        <v>2895</v>
      </c>
      <c r="D46" s="747"/>
      <c r="E46" s="3087">
        <v>1</v>
      </c>
      <c r="F46" s="3086" t="s">
        <v>2908</v>
      </c>
      <c r="G46" s="3086"/>
    </row>
    <row r="47" spans="1:7">
      <c r="A47" s="3646"/>
      <c r="B47" s="3648"/>
      <c r="C47" s="746" t="s">
        <v>2896</v>
      </c>
      <c r="D47" s="747"/>
      <c r="E47" s="3087">
        <v>1</v>
      </c>
      <c r="F47" s="3086" t="s">
        <v>2909</v>
      </c>
      <c r="G47" s="3086"/>
    </row>
    <row r="48" spans="1:7">
      <c r="A48" s="3646"/>
      <c r="B48" s="3648"/>
      <c r="C48" s="746" t="s">
        <v>2897</v>
      </c>
      <c r="D48" s="747"/>
      <c r="E48" s="3087">
        <v>1</v>
      </c>
      <c r="F48" s="3086" t="s">
        <v>2910</v>
      </c>
      <c r="G48" s="3086"/>
    </row>
    <row r="49" spans="1:7">
      <c r="A49" s="3646"/>
      <c r="B49" s="3648"/>
      <c r="C49" s="746" t="s">
        <v>2898</v>
      </c>
      <c r="D49" s="747"/>
      <c r="E49" s="3087">
        <v>1</v>
      </c>
      <c r="F49" s="3086" t="s">
        <v>2911</v>
      </c>
      <c r="G49" s="3086"/>
    </row>
    <row r="50" spans="1:7">
      <c r="A50" s="3646"/>
      <c r="B50" s="3648"/>
      <c r="C50" s="746" t="s">
        <v>2899</v>
      </c>
      <c r="D50" s="747"/>
      <c r="E50" s="3087">
        <v>1</v>
      </c>
      <c r="F50" s="3086" t="s">
        <v>2912</v>
      </c>
      <c r="G50" s="3086"/>
    </row>
    <row r="51" spans="1:7" ht="14.25" thickBot="1">
      <c r="A51" s="3647"/>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3"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c r="A85" s="3092">
        <v>13</v>
      </c>
      <c r="B85" s="3648"/>
      <c r="C85" s="3073" t="s">
        <v>2766</v>
      </c>
      <c r="D85" s="3073" t="s">
        <v>2767</v>
      </c>
      <c r="E85" s="3101">
        <v>0.1</v>
      </c>
      <c r="F85" s="3092">
        <v>15</v>
      </c>
    </row>
    <row r="86" spans="1:6">
      <c r="A86" s="3092">
        <v>14</v>
      </c>
      <c r="B86" s="3648"/>
      <c r="C86" s="3073" t="s">
        <v>2768</v>
      </c>
      <c r="D86" s="3073" t="s">
        <v>2769</v>
      </c>
      <c r="E86" s="3101">
        <v>0.1</v>
      </c>
      <c r="F86" s="3092">
        <v>15</v>
      </c>
    </row>
    <row r="87" spans="1:6">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4"/>
      <c r="C89" s="3073" t="s">
        <v>2774</v>
      </c>
      <c r="D89" s="3073" t="s">
        <v>2775</v>
      </c>
      <c r="E89" s="3101">
        <v>0.1</v>
      </c>
      <c r="F89" s="3092">
        <v>15</v>
      </c>
    </row>
    <row r="90" spans="1:6">
      <c r="A90" s="3092">
        <v>18</v>
      </c>
      <c r="B90" s="3643"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c r="A93" s="3092">
        <v>21</v>
      </c>
      <c r="B93" s="3648"/>
      <c r="C93" s="3073" t="s">
        <v>2777</v>
      </c>
      <c r="D93" s="3073" t="s">
        <v>492</v>
      </c>
      <c r="E93" s="3101">
        <v>0.15</v>
      </c>
      <c r="F93" s="3092">
        <v>20</v>
      </c>
    </row>
    <row r="94" spans="1:6">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c r="A96" s="3092">
        <v>24</v>
      </c>
      <c r="B96" s="3648"/>
      <c r="C96" s="3073" t="s">
        <v>2783</v>
      </c>
      <c r="D96" s="3073" t="s">
        <v>2784</v>
      </c>
      <c r="E96" s="3101">
        <v>0.1</v>
      </c>
      <c r="F96" s="3092">
        <v>15</v>
      </c>
    </row>
    <row r="97" spans="1:6">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c r="A100" s="3092">
        <v>28</v>
      </c>
      <c r="B100" s="3648"/>
      <c r="C100" s="3073" t="s">
        <v>2790</v>
      </c>
      <c r="D100" s="3073" t="s">
        <v>2791</v>
      </c>
      <c r="E100" s="3101">
        <v>0.1</v>
      </c>
      <c r="F100" s="3092">
        <v>15</v>
      </c>
    </row>
    <row r="101" spans="1:6">
      <c r="A101" s="3092">
        <v>29</v>
      </c>
      <c r="B101" s="3648"/>
      <c r="C101" s="3073" t="s">
        <v>2792</v>
      </c>
      <c r="D101" s="3073" t="s">
        <v>2793</v>
      </c>
      <c r="E101" s="3101">
        <v>0.1</v>
      </c>
      <c r="F101" s="3092">
        <v>15</v>
      </c>
    </row>
    <row r="102" spans="1:6">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4"/>
      <c r="C106" s="3073" t="s">
        <v>2802</v>
      </c>
      <c r="D106" s="3073" t="s">
        <v>2803</v>
      </c>
      <c r="E106" s="3101">
        <v>0.1</v>
      </c>
      <c r="F106" s="3092">
        <v>15</v>
      </c>
    </row>
    <row r="107" spans="1:6" ht="24">
      <c r="A107" s="3092">
        <v>35</v>
      </c>
      <c r="B107" s="3643" t="s">
        <v>493</v>
      </c>
      <c r="C107" s="3092" t="s">
        <v>494</v>
      </c>
      <c r="D107" s="3073" t="s">
        <v>2804</v>
      </c>
      <c r="E107" s="3101">
        <v>0.15</v>
      </c>
      <c r="F107" s="3092">
        <v>20</v>
      </c>
    </row>
    <row r="108" spans="1:6">
      <c r="A108" s="3092">
        <v>36</v>
      </c>
      <c r="B108" s="3648"/>
      <c r="C108" s="3092" t="s">
        <v>2806</v>
      </c>
      <c r="D108" s="3073" t="s">
        <v>2807</v>
      </c>
      <c r="E108" s="3101">
        <v>0.15</v>
      </c>
      <c r="F108" s="3092">
        <v>20</v>
      </c>
    </row>
    <row r="109" spans="1:6">
      <c r="A109" s="3092">
        <v>37</v>
      </c>
      <c r="B109" s="3648"/>
      <c r="C109" s="3092" t="s">
        <v>2805</v>
      </c>
      <c r="D109" s="3073" t="s">
        <v>2812</v>
      </c>
      <c r="E109" s="3101">
        <v>0.15</v>
      </c>
      <c r="F109" s="3092">
        <v>20</v>
      </c>
    </row>
    <row r="110" spans="1:6">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4"/>
      <c r="C112" s="3092" t="s">
        <v>2811</v>
      </c>
      <c r="D112" s="3073" t="s">
        <v>2814</v>
      </c>
      <c r="E112" s="3101">
        <v>0.1</v>
      </c>
      <c r="F112" s="3092">
        <v>15</v>
      </c>
    </row>
    <row r="113" spans="1:6">
      <c r="A113" s="3092">
        <v>41</v>
      </c>
      <c r="B113" s="3642" t="s">
        <v>495</v>
      </c>
      <c r="C113" s="3092" t="s">
        <v>496</v>
      </c>
      <c r="D113" s="3073" t="s">
        <v>497</v>
      </c>
      <c r="E113" s="3101">
        <v>0.1</v>
      </c>
      <c r="F113" s="3092">
        <v>15</v>
      </c>
    </row>
    <row r="114" spans="1:6">
      <c r="A114" s="3092">
        <v>42</v>
      </c>
      <c r="B114" s="3642"/>
      <c r="C114" s="3092" t="s">
        <v>498</v>
      </c>
      <c r="D114" s="3073" t="s">
        <v>499</v>
      </c>
      <c r="E114" s="3101">
        <v>0.1</v>
      </c>
      <c r="F114" s="3092">
        <v>15</v>
      </c>
    </row>
    <row r="115" spans="1:6" ht="24">
      <c r="A115" s="3092">
        <v>43</v>
      </c>
      <c r="B115" s="3642"/>
      <c r="C115" s="3092" t="s">
        <v>2815</v>
      </c>
      <c r="D115" s="3073" t="s">
        <v>2816</v>
      </c>
      <c r="E115" s="3101">
        <v>0.1</v>
      </c>
      <c r="F115" s="3092">
        <v>15</v>
      </c>
    </row>
    <row r="116" spans="1:6">
      <c r="A116" s="3092">
        <v>44</v>
      </c>
      <c r="B116" s="3643" t="s">
        <v>500</v>
      </c>
      <c r="C116" s="3092" t="s">
        <v>2817</v>
      </c>
      <c r="D116" s="3073" t="s">
        <v>2818</v>
      </c>
      <c r="E116" s="3101">
        <v>0.1</v>
      </c>
      <c r="F116" s="3092">
        <v>15</v>
      </c>
    </row>
    <row r="117" spans="1:6" ht="24">
      <c r="A117" s="3092">
        <v>45</v>
      </c>
      <c r="B117" s="3644"/>
      <c r="C117" s="3073" t="s">
        <v>2819</v>
      </c>
      <c r="D117" s="3073" t="s">
        <v>2820</v>
      </c>
      <c r="E117" s="3101">
        <v>0.1</v>
      </c>
      <c r="F117" s="3092">
        <v>15</v>
      </c>
    </row>
    <row r="118" spans="1:6" ht="24">
      <c r="A118" s="3092">
        <v>46</v>
      </c>
      <c r="B118" s="3643" t="s">
        <v>501</v>
      </c>
      <c r="C118" s="3092" t="s">
        <v>2823</v>
      </c>
      <c r="D118" s="3073" t="s">
        <v>2821</v>
      </c>
      <c r="E118" s="3101">
        <v>0.1</v>
      </c>
      <c r="F118" s="3092">
        <v>15</v>
      </c>
    </row>
    <row r="119" spans="1:6" ht="24">
      <c r="A119" s="3092">
        <v>47</v>
      </c>
      <c r="B119" s="3644"/>
      <c r="C119" s="3092" t="s">
        <v>2822</v>
      </c>
      <c r="D119" s="3073" t="s">
        <v>2824</v>
      </c>
      <c r="E119" s="3101">
        <v>0.1</v>
      </c>
      <c r="F119" s="3092">
        <v>15</v>
      </c>
    </row>
    <row r="120" spans="1:6">
      <c r="A120" s="3092">
        <v>48</v>
      </c>
      <c r="B120" s="3643" t="s">
        <v>502</v>
      </c>
      <c r="C120" s="3092" t="s">
        <v>503</v>
      </c>
      <c r="D120" s="3073" t="s">
        <v>504</v>
      </c>
      <c r="E120" s="3101">
        <v>0.1</v>
      </c>
      <c r="F120" s="3092">
        <v>15</v>
      </c>
    </row>
    <row r="121" spans="1:6">
      <c r="A121" s="3092">
        <v>49</v>
      </c>
      <c r="B121" s="3644"/>
      <c r="C121" s="3092" t="s">
        <v>2825</v>
      </c>
      <c r="D121" s="3073" t="s">
        <v>2826</v>
      </c>
      <c r="E121" s="3101">
        <v>0.1</v>
      </c>
      <c r="F121" s="3092">
        <v>15</v>
      </c>
    </row>
    <row r="122" spans="1:6" ht="24">
      <c r="A122" s="3092">
        <v>50</v>
      </c>
      <c r="B122" s="3642" t="s">
        <v>505</v>
      </c>
      <c r="C122" s="3092" t="s">
        <v>506</v>
      </c>
      <c r="D122" s="3073" t="s">
        <v>507</v>
      </c>
      <c r="E122" s="3101">
        <v>0.1</v>
      </c>
      <c r="F122" s="3092">
        <v>15</v>
      </c>
    </row>
    <row r="123" spans="1:6" ht="24">
      <c r="A123" s="3092">
        <v>51</v>
      </c>
      <c r="B123" s="3642"/>
      <c r="C123" s="3092" t="s">
        <v>508</v>
      </c>
      <c r="D123" s="3073" t="s">
        <v>509</v>
      </c>
      <c r="E123" s="3101">
        <v>0.1</v>
      </c>
      <c r="F123" s="3092">
        <v>15</v>
      </c>
    </row>
    <row r="124" spans="1:6" ht="24">
      <c r="A124" s="3092">
        <v>52</v>
      </c>
      <c r="B124" s="3642" t="s">
        <v>510</v>
      </c>
      <c r="C124" s="3092" t="s">
        <v>511</v>
      </c>
      <c r="D124" s="3073" t="s">
        <v>2827</v>
      </c>
      <c r="E124" s="3101">
        <v>0.1</v>
      </c>
      <c r="F124" s="3092">
        <v>15</v>
      </c>
    </row>
    <row r="125" spans="1:6" ht="24">
      <c r="A125" s="3092">
        <v>53</v>
      </c>
      <c r="B125" s="3642"/>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2" t="s">
        <v>518</v>
      </c>
      <c r="C127" s="3092" t="s">
        <v>521</v>
      </c>
      <c r="D127" s="3073" t="s">
        <v>522</v>
      </c>
      <c r="E127" s="3101">
        <v>0.1</v>
      </c>
      <c r="F127" s="3092">
        <v>15</v>
      </c>
    </row>
    <row r="128" spans="1:6">
      <c r="A128" s="3092">
        <v>56</v>
      </c>
      <c r="B128" s="3642"/>
      <c r="C128" s="3092" t="s">
        <v>523</v>
      </c>
      <c r="D128" s="3073" t="s">
        <v>524</v>
      </c>
      <c r="E128" s="3101">
        <v>0.1</v>
      </c>
      <c r="F128" s="3092">
        <v>15</v>
      </c>
    </row>
    <row r="129" spans="1:6" ht="24">
      <c r="A129" s="3092">
        <v>57</v>
      </c>
      <c r="B129" s="3642"/>
      <c r="C129" s="3092" t="s">
        <v>519</v>
      </c>
      <c r="D129" s="3073" t="s">
        <v>520</v>
      </c>
      <c r="E129" s="3101">
        <v>0.1</v>
      </c>
      <c r="F129" s="3092">
        <v>15</v>
      </c>
    </row>
    <row r="130" spans="1:6" ht="24">
      <c r="A130" s="3092">
        <v>58</v>
      </c>
      <c r="B130" s="3642" t="s">
        <v>517</v>
      </c>
      <c r="C130" s="3092" t="s">
        <v>2828</v>
      </c>
      <c r="D130" s="3073" t="s">
        <v>2829</v>
      </c>
      <c r="E130" s="3101">
        <v>0.1</v>
      </c>
      <c r="F130" s="3092">
        <v>15</v>
      </c>
    </row>
    <row r="131" spans="1:6">
      <c r="A131" s="3092">
        <v>59</v>
      </c>
      <c r="B131" s="3642"/>
      <c r="C131" s="3092" t="s">
        <v>2830</v>
      </c>
      <c r="D131" s="3073" t="s">
        <v>2831</v>
      </c>
      <c r="E131" s="3101">
        <v>0.1</v>
      </c>
      <c r="F131" s="3092">
        <v>15</v>
      </c>
    </row>
    <row r="132" spans="1:6">
      <c r="A132" s="3092">
        <v>60</v>
      </c>
      <c r="B132" s="3643" t="s">
        <v>528</v>
      </c>
      <c r="C132" s="3092" t="s">
        <v>529</v>
      </c>
      <c r="D132" s="3073" t="s">
        <v>2834</v>
      </c>
      <c r="E132" s="3101">
        <v>0.1</v>
      </c>
      <c r="F132" s="3092">
        <v>15</v>
      </c>
    </row>
    <row r="133" spans="1:6">
      <c r="A133" s="3092">
        <v>61</v>
      </c>
      <c r="B133" s="3644"/>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2" t="s">
        <v>530</v>
      </c>
      <c r="C135" s="3092" t="s">
        <v>531</v>
      </c>
      <c r="D135" s="3073" t="s">
        <v>2836</v>
      </c>
      <c r="E135" s="3101">
        <v>0.1</v>
      </c>
      <c r="F135" s="3092">
        <v>15</v>
      </c>
    </row>
    <row r="136" spans="1:6">
      <c r="A136" s="3092">
        <v>64</v>
      </c>
      <c r="B136" s="3642"/>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1.1214999999999999</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1.0668</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0</v>
      </c>
      <c r="C2" s="1940" t="s">
        <v>2357</v>
      </c>
      <c r="D2" s="1940" t="s">
        <v>2358</v>
      </c>
      <c r="E2" s="2291">
        <f ca="1">SUMIF(E6:E13,"&lt;&gt;#ref!",E6:E13)</f>
        <v>0</v>
      </c>
      <c r="F2" s="2465"/>
      <c r="G2" s="2465"/>
      <c r="H2" s="2465"/>
      <c r="I2" s="2465"/>
      <c r="J2" s="2465"/>
      <c r="K2" s="2465"/>
      <c r="L2" s="2465"/>
      <c r="M2" s="2465"/>
      <c r="N2" s="2465"/>
      <c r="O2" s="2465"/>
      <c r="P2" s="2465"/>
    </row>
    <row r="3" spans="1:16" ht="15.75">
      <c r="A3" s="1940" t="s">
        <v>2359</v>
      </c>
      <c r="B3" s="2281" t="e">
        <f ca="1">ROUND(B2*10000/E2,0)</f>
        <v>#DIV/0!</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0</v>
      </c>
      <c r="C6" s="1940" t="s">
        <v>2357</v>
      </c>
      <c r="D6" s="2465"/>
      <c r="E6" s="2291">
        <f ca="1">SUMIF(INDIRECT("'"&amp;A6&amp;"'"&amp;"!C:C"),"建筑面积",INDIRECT("'"&amp;A6&amp;"'"&amp;"!D:D"))</f>
        <v>0</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5" t="s">
        <v>695</v>
      </c>
      <c r="I1" s="3655"/>
      <c r="J1" s="3655"/>
      <c r="K1" s="3655"/>
      <c r="L1" s="3655"/>
      <c r="M1" s="3655"/>
      <c r="N1" s="2809"/>
      <c r="O1" s="3655" t="s">
        <v>696</v>
      </c>
      <c r="P1" s="3655"/>
      <c r="Q1" s="3655"/>
      <c r="R1" s="3655"/>
      <c r="S1" s="2809"/>
      <c r="T1" s="3655" t="s">
        <v>697</v>
      </c>
      <c r="U1" s="3655"/>
      <c r="V1" s="3655"/>
      <c r="W1" s="3655"/>
      <c r="X1" s="2809"/>
      <c r="Y1" s="3654" t="s">
        <v>698</v>
      </c>
      <c r="Z1" s="3655"/>
      <c r="AA1" s="3655"/>
      <c r="AB1" s="3655"/>
      <c r="AC1" s="3655"/>
      <c r="AD1" s="3655"/>
      <c r="AE1" s="2809"/>
      <c r="AF1" s="3654" t="s">
        <v>699</v>
      </c>
      <c r="AG1" s="3655"/>
      <c r="AH1" s="3655"/>
      <c r="AI1" s="3655"/>
      <c r="AJ1" s="3655"/>
      <c r="AK1" s="3655"/>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44733</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5" defaultRowHeight="13.5"/>
  <cols>
    <col min="1" max="16384" width="13.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47" t="str">
        <f>IF(项目基本情况!B9="房地产市场价值","估价结果一览表","结果表-2")</f>
        <v>结果表-2</v>
      </c>
      <c r="B1" s="3347"/>
      <c r="C1" s="3347"/>
      <c r="D1" s="3347"/>
      <c r="E1" s="3347"/>
      <c r="F1" s="3347"/>
      <c r="G1" s="3347"/>
      <c r="H1" s="3347"/>
      <c r="I1" s="3347"/>
    </row>
    <row r="2" spans="1:9" ht="30" customHeight="1" thickTop="1">
      <c r="A2" s="3348" t="s">
        <v>1169</v>
      </c>
      <c r="B2" s="3348" t="s">
        <v>1170</v>
      </c>
      <c r="C2" s="3348" t="s">
        <v>1171</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spans="1:9" ht="15">
      <c r="A3" s="3349"/>
      <c r="B3" s="3349"/>
      <c r="C3" s="3349"/>
      <c r="D3" s="827" t="s">
        <v>1166</v>
      </c>
      <c r="E3" s="827" t="s">
        <v>1172</v>
      </c>
      <c r="F3" s="827" t="s">
        <v>1166</v>
      </c>
      <c r="G3" s="827" t="s">
        <v>1167</v>
      </c>
      <c r="H3" s="827" t="s">
        <v>1166</v>
      </c>
      <c r="I3" s="827" t="s">
        <v>1167</v>
      </c>
    </row>
    <row r="4" spans="1:9" ht="15">
      <c r="A4" s="1444" t="str">
        <f>项目基本情况!S2</f>
        <v>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49" t="s">
        <v>1168</v>
      </c>
      <c r="B5" s="3349"/>
      <c r="C5" s="3349"/>
      <c r="D5" s="3350" t="e">
        <f ca="1">结果表!D119</f>
        <v>#REF!</v>
      </c>
      <c r="E5" s="3350"/>
      <c r="F5" s="3350" t="e">
        <f ca="1">结果表!F119</f>
        <v>#REF!</v>
      </c>
      <c r="G5" s="3350"/>
      <c r="H5" s="3350" t="e">
        <f ca="1">结果表!H119</f>
        <v>#REF!</v>
      </c>
      <c r="I5" s="3350"/>
    </row>
    <row r="6" spans="1:9" ht="15.75">
      <c r="A6" s="3351" t="str">
        <f>结果表!A120</f>
        <v>估价师知悉的法定优先受偿款</v>
      </c>
      <c r="B6" s="3351"/>
      <c r="C6" s="3351"/>
      <c r="D6" s="3351">
        <f>结果表!D120</f>
        <v>0</v>
      </c>
      <c r="E6" s="3351"/>
      <c r="F6" s="3351"/>
      <c r="G6" s="3351"/>
      <c r="H6" s="3351"/>
      <c r="I6" s="3351"/>
    </row>
    <row r="7" spans="1:9" ht="15">
      <c r="A7" s="3349" t="s">
        <v>1168</v>
      </c>
      <c r="B7" s="3349"/>
      <c r="C7" s="3349"/>
      <c r="D7" s="3352" t="str">
        <f>结果表!D121</f>
        <v>零元整</v>
      </c>
      <c r="E7" s="3353"/>
      <c r="F7" s="3353"/>
      <c r="G7" s="3353"/>
      <c r="H7" s="3353"/>
      <c r="I7" s="3354"/>
    </row>
    <row r="8" spans="1:9" ht="15.75">
      <c r="A8" s="3351" t="str">
        <f>结果表!A122</f>
        <v>房地产抵押价值</v>
      </c>
      <c r="B8" s="3351"/>
      <c r="C8" s="3351"/>
      <c r="D8" s="3351" t="e">
        <f ca="1">结果表!D122</f>
        <v>#REF!</v>
      </c>
      <c r="E8" s="3351"/>
      <c r="F8" s="3351"/>
      <c r="G8" s="3351"/>
      <c r="H8" s="3351"/>
      <c r="I8" s="3351"/>
    </row>
    <row r="9" spans="1:9" ht="15">
      <c r="A9" s="3349" t="s">
        <v>1168</v>
      </c>
      <c r="B9" s="3349"/>
      <c r="C9" s="3349"/>
      <c r="D9" s="3350" t="e">
        <f ca="1">结果表!D123</f>
        <v>#REF!</v>
      </c>
      <c r="E9" s="3350"/>
      <c r="F9" s="3350"/>
      <c r="G9" s="3350"/>
      <c r="H9" s="3350"/>
      <c r="I9" s="3350"/>
    </row>
    <row r="10" spans="1:9" ht="15.75">
      <c r="A10" s="3351" t="str">
        <f>结果表!A124</f>
        <v/>
      </c>
      <c r="B10" s="3351"/>
      <c r="C10" s="3351"/>
      <c r="D10" s="3351" t="str">
        <f>结果表!D124</f>
        <v>——</v>
      </c>
      <c r="E10" s="3351"/>
      <c r="F10" s="3351"/>
      <c r="G10" s="3351"/>
      <c r="H10" s="3351"/>
      <c r="I10" s="3351"/>
    </row>
    <row r="11" spans="1:9" ht="15">
      <c r="A11" s="3349" t="s">
        <v>1168</v>
      </c>
      <c r="B11" s="3349"/>
      <c r="C11" s="3349"/>
      <c r="D11" s="3350" t="e">
        <f>结果表!D125</f>
        <v>#VALUE!</v>
      </c>
      <c r="E11" s="3350"/>
      <c r="F11" s="3350"/>
      <c r="G11" s="3350"/>
      <c r="H11" s="3350"/>
      <c r="I11" s="3350"/>
    </row>
    <row r="12" spans="1:9" ht="15.75">
      <c r="A12" s="3351" t="str">
        <f>结果表!A126</f>
        <v/>
      </c>
      <c r="B12" s="3351"/>
      <c r="C12" s="3351"/>
      <c r="D12" s="3351" t="str">
        <f>结果表!D126</f>
        <v>——</v>
      </c>
      <c r="E12" s="3351"/>
      <c r="F12" s="3351"/>
      <c r="G12" s="3351"/>
      <c r="H12" s="3351"/>
      <c r="I12" s="3351"/>
    </row>
    <row r="13" spans="1:9" ht="15.75" thickBot="1">
      <c r="A13" s="3355" t="s">
        <v>1168</v>
      </c>
      <c r="B13" s="3355"/>
      <c r="C13" s="3355"/>
      <c r="D13" s="3356" t="e">
        <f>结果表!D127</f>
        <v>#VALUE!</v>
      </c>
      <c r="E13" s="3356"/>
      <c r="F13" s="3356"/>
      <c r="G13" s="3356"/>
      <c r="H13" s="3356"/>
      <c r="I13" s="3356"/>
    </row>
    <row r="14" spans="1:9" ht="15" thickTop="1">
      <c r="A14" s="3357" t="s">
        <v>1173</v>
      </c>
      <c r="B14" s="3357"/>
      <c r="C14" s="3357"/>
      <c r="D14" s="3357"/>
      <c r="E14" s="3357"/>
      <c r="F14" s="3357"/>
      <c r="G14" s="3357"/>
      <c r="H14" s="3357"/>
      <c r="I14" s="3357"/>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58" t="s">
        <v>1190</v>
      </c>
      <c r="B1" s="3358"/>
      <c r="C1" s="3358"/>
      <c r="D1" s="3358"/>
    </row>
    <row r="2" spans="1:4" ht="18">
      <c r="A2" s="3359" t="s">
        <v>1174</v>
      </c>
      <c r="B2" s="3359"/>
      <c r="C2" s="3359"/>
      <c r="D2" s="3359"/>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59" t="s">
        <v>1180</v>
      </c>
      <c r="B6" s="3359"/>
      <c r="C6" s="3359"/>
      <c r="D6" s="335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0" t="s">
        <v>1183</v>
      </c>
      <c r="B11" s="3361"/>
      <c r="C11" s="3361"/>
      <c r="D11" s="3361"/>
    </row>
    <row r="12" spans="1:4" ht="15.7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4" t="s">
        <v>1184</v>
      </c>
      <c r="B16" s="3364"/>
      <c r="C16" s="3364"/>
      <c r="D16" s="3364"/>
    </row>
    <row r="17" spans="1:4" ht="144" customHeight="1">
      <c r="A17" s="3364" t="s">
        <v>1185</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44733</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2022-06-21T07:40:10Z</dcterms:modified>
</cp:coreProperties>
</file>