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36" i="6" l="1"/>
  <c r="B24" i="31"/>
  <c r="D3" i="31"/>
  <c r="E3" i="31"/>
  <c r="F3" i="31"/>
  <c r="D4" i="31"/>
  <c r="E4" i="31"/>
  <c r="F4" i="31"/>
  <c r="C4" i="31"/>
  <c r="C3" i="31"/>
  <c r="B25" i="31"/>
  <c r="C34" i="34"/>
  <c r="Q35" i="1" l="1"/>
  <c r="P35" i="1"/>
  <c r="R35" i="1"/>
  <c r="R34" i="1"/>
  <c r="R33" i="1"/>
  <c r="P34" i="1"/>
  <c r="P33" i="1"/>
  <c r="M22" i="9"/>
  <c r="L22" i="9"/>
  <c r="K22" i="9"/>
  <c r="D3" i="34"/>
  <c r="E3" i="34"/>
  <c r="Q30" i="1"/>
  <c r="R30" i="1"/>
  <c r="P30" i="1"/>
  <c r="R29" i="1"/>
  <c r="R28" i="1"/>
  <c r="Q29" i="1"/>
  <c r="P29" i="1"/>
  <c r="P28" i="1"/>
  <c r="M48" i="34"/>
  <c r="M47" i="34"/>
  <c r="C37" i="34" l="1"/>
  <c r="W23" i="1" l="1"/>
  <c r="U24" i="1"/>
  <c r="W22" i="1"/>
  <c r="W24" i="1" s="1"/>
  <c r="V24" i="1" s="1"/>
  <c r="U23" i="1"/>
  <c r="U22" i="1"/>
  <c r="G60" i="43"/>
  <c r="G61" i="43"/>
  <c r="G62" i="43"/>
  <c r="G63" i="43"/>
  <c r="G64" i="43"/>
  <c r="G65" i="43"/>
  <c r="G66" i="43"/>
  <c r="G67" i="43"/>
  <c r="G59" i="43"/>
  <c r="D39" i="43"/>
  <c r="D29" i="43"/>
  <c r="C6" i="68"/>
  <c r="J49" i="15"/>
  <c r="Y6" i="1"/>
  <c r="F6" i="78"/>
  <c r="F7" i="78"/>
  <c r="F8" i="78"/>
  <c r="F9" i="78"/>
  <c r="F10" i="78"/>
  <c r="F11" i="78"/>
  <c r="F12" i="78"/>
  <c r="F13" i="78"/>
  <c r="F14" i="78"/>
  <c r="F5" i="78"/>
  <c r="E14" i="78"/>
  <c r="E7" i="78"/>
  <c r="E8" i="78" s="1"/>
  <c r="E9" i="78" s="1"/>
  <c r="E10" i="78" s="1"/>
  <c r="E11" i="78" s="1"/>
  <c r="E12" i="78" s="1"/>
  <c r="E13" i="78" s="1"/>
  <c r="E6" i="78"/>
  <c r="N6" i="1"/>
  <c r="N22" i="1"/>
  <c r="G19" i="6"/>
  <c r="F19" i="6"/>
  <c r="G1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C7" i="68" s="1"/>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P22" i="71"/>
  <c r="E21" i="71"/>
  <c r="E20" i="71" s="1"/>
  <c r="E19" i="71" s="1"/>
  <c r="O22" i="71"/>
  <c r="N22" i="71"/>
  <c r="V21"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c r="E109" i="9"/>
  <c r="A124" i="9"/>
  <c r="B44" i="72"/>
  <c r="B42" i="72"/>
  <c r="B69" i="72"/>
  <c r="B68" i="72"/>
  <c r="B63" i="72"/>
  <c r="B62" i="72"/>
  <c r="B16" i="72"/>
  <c r="B65" i="72"/>
  <c r="B67" i="72"/>
  <c r="B10" i="72"/>
  <c r="C53" i="10"/>
  <c r="B51" i="10"/>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B35" i="71" s="1"/>
  <c r="D34" i="71"/>
  <c r="Q33" i="71"/>
  <c r="AB33" i="71" s="1"/>
  <c r="P33" i="71"/>
  <c r="O33" i="71"/>
  <c r="Y33" i="71"/>
  <c r="Z33" i="71" s="1"/>
  <c r="N33" i="71"/>
  <c r="Q32" i="71"/>
  <c r="AB32" i="71"/>
  <c r="P32" i="71"/>
  <c r="O32" i="71"/>
  <c r="Y32" i="71" s="1"/>
  <c r="Z32" i="71" s="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s="1"/>
  <c r="N28" i="71"/>
  <c r="Q27" i="71"/>
  <c r="AB27" i="71" s="1"/>
  <c r="P27" i="71"/>
  <c r="O27" i="71"/>
  <c r="Y27" i="71"/>
  <c r="Z27" i="71" s="1"/>
  <c r="N27" i="71"/>
  <c r="Q26" i="71"/>
  <c r="F27" i="71" s="1"/>
  <c r="F28" i="71" s="1"/>
  <c r="F29" i="71" s="1"/>
  <c r="V29" i="71" s="1"/>
  <c r="P26" i="71"/>
  <c r="O26" i="71"/>
  <c r="N26" i="71"/>
  <c r="D26" i="71"/>
  <c r="O25" i="71"/>
  <c r="N25" i="71"/>
  <c r="B27" i="71"/>
  <c r="B28" i="71" s="1"/>
  <c r="B29" i="71"/>
  <c r="S29" i="71" s="1"/>
  <c r="X26" i="71"/>
  <c r="B31" i="71"/>
  <c r="B32" i="71" s="1"/>
  <c r="B33" i="71" s="1"/>
  <c r="S33" i="71" s="1"/>
  <c r="X30" i="71"/>
  <c r="B36" i="71"/>
  <c r="B37" i="71" s="1"/>
  <c r="S37" i="71"/>
  <c r="X34" i="71"/>
  <c r="E35" i="71"/>
  <c r="E36" i="71" s="1"/>
  <c r="E37" i="71" s="1"/>
  <c r="U37" i="71" s="1"/>
  <c r="AA34" i="71"/>
  <c r="N65" i="71"/>
  <c r="E31" i="71"/>
  <c r="E32" i="71" s="1"/>
  <c r="E33" i="71" s="1"/>
  <c r="U33" i="71" s="1"/>
  <c r="AA30" i="71"/>
  <c r="C27" i="71"/>
  <c r="Y26" i="71"/>
  <c r="Z26" i="71" s="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Q62" i="71"/>
  <c r="U65" i="71"/>
  <c r="E64" i="71"/>
  <c r="Q25" i="71"/>
  <c r="AB22" i="71" s="1"/>
  <c r="C52" i="71"/>
  <c r="D51" i="71"/>
  <c r="C56" i="71"/>
  <c r="D55" i="71"/>
  <c r="C60" i="71"/>
  <c r="D59" i="71"/>
  <c r="Q64"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3" i="71"/>
  <c r="AB25" i="71"/>
  <c r="E25" i="71"/>
  <c r="E24" i="71"/>
  <c r="E23" i="71" s="1"/>
  <c r="AA3" i="71"/>
  <c r="AA22" i="71"/>
  <c r="AA23" i="71"/>
  <c r="AA24" i="71"/>
  <c r="AA25" i="71"/>
  <c r="D25" i="71"/>
  <c r="U25" i="71"/>
  <c r="C63" i="71"/>
  <c r="O64" i="71"/>
  <c r="D64" i="71"/>
  <c r="C61" i="71"/>
  <c r="D61" i="71" s="1"/>
  <c r="D60" i="71"/>
  <c r="D80" i="71"/>
  <c r="C79" i="71"/>
  <c r="D79" i="71"/>
  <c r="D72" i="71"/>
  <c r="C71" i="71"/>
  <c r="D71" i="71" s="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C21" i="37"/>
  <c r="Q21" i="34"/>
  <c r="Z21" i="34" s="1"/>
  <c r="D84" i="34"/>
  <c r="E84" i="34"/>
  <c r="F21" i="34"/>
  <c r="AA21" i="34" s="1"/>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H29" i="39"/>
  <c r="J29" i="39"/>
  <c r="J18" i="36"/>
  <c r="F68" i="35"/>
  <c r="G68" i="35" s="1"/>
  <c r="H18" i="35"/>
  <c r="S18" i="35"/>
  <c r="J18" i="35"/>
  <c r="W18" i="35" s="1"/>
  <c r="H21" i="37"/>
  <c r="U21" i="37" s="1"/>
  <c r="F21" i="37"/>
  <c r="F84" i="34"/>
  <c r="H21" i="34"/>
  <c r="U21" i="34" s="1"/>
  <c r="F83" i="33"/>
  <c r="H21" i="33"/>
  <c r="F21" i="33"/>
  <c r="S21" i="33" s="1"/>
  <c r="E83" i="21"/>
  <c r="S21" i="21"/>
  <c r="H1" i="69"/>
  <c r="AC25" i="40"/>
  <c r="W25" i="40"/>
  <c r="AB25" i="40"/>
  <c r="U25" i="40"/>
  <c r="AB29" i="39"/>
  <c r="U29" i="39"/>
  <c r="AC29" i="39"/>
  <c r="W29" i="39"/>
  <c r="AC18" i="36"/>
  <c r="W18" i="36"/>
  <c r="AB21" i="37"/>
  <c r="AA21" i="37"/>
  <c r="S21" i="37"/>
  <c r="AB21" i="34"/>
  <c r="U21" i="33"/>
  <c r="AB21" i="33"/>
  <c r="AB18" i="35"/>
  <c r="U18" i="35"/>
  <c r="AC18" i="35"/>
  <c r="G77" i="37"/>
  <c r="J21" i="37"/>
  <c r="G84" i="34"/>
  <c r="J21" i="34"/>
  <c r="W21" i="34" s="1"/>
  <c r="G83" i="33"/>
  <c r="J21" i="33"/>
  <c r="F83" i="21"/>
  <c r="H21" i="21"/>
  <c r="F38" i="69"/>
  <c r="E37" i="69"/>
  <c r="F36" i="69"/>
  <c r="F35" i="69"/>
  <c r="F21" i="69"/>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F21" i="67"/>
  <c r="F20" i="67"/>
  <c r="M19" i="67"/>
  <c r="F18" i="67"/>
  <c r="F17" i="67"/>
  <c r="F15" i="67"/>
  <c r="S2" i="4"/>
  <c r="C51" i="10" s="1"/>
  <c r="A13" i="5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AZ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M6" i="1" s="1"/>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C92"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8" i="31"/>
  <c r="S366" i="31"/>
  <c r="S328" i="31"/>
  <c r="S306" i="31"/>
  <c r="S288" i="31"/>
  <c r="S272" i="31"/>
  <c r="S262" i="31"/>
  <c r="S258" i="31"/>
  <c r="S256" i="31"/>
  <c r="S254" i="31"/>
  <c r="S252" i="31"/>
  <c r="S250" i="31"/>
  <c r="S248" i="31"/>
  <c r="S246" i="31"/>
  <c r="S244" i="31"/>
  <c r="S242" i="31"/>
  <c r="S240" i="31"/>
  <c r="S238" i="31"/>
  <c r="S236" i="31"/>
  <c r="S234" i="31"/>
  <c r="S232" i="31"/>
  <c r="S230" i="31"/>
  <c r="S228" i="31"/>
  <c r="S226"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88" i="31"/>
  <c r="S437" i="31"/>
  <c r="S122" i="31"/>
  <c r="S120" i="31"/>
  <c r="S118" i="31"/>
  <c r="S116" i="31"/>
  <c r="S114" i="31"/>
  <c r="S112" i="31"/>
  <c r="S464"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514" i="31"/>
  <c r="I48" i="37"/>
  <c r="J48" i="37"/>
  <c r="G48" i="37"/>
  <c r="H48" i="37"/>
  <c r="E48" i="37"/>
  <c r="F48" i="37"/>
  <c r="I55" i="34"/>
  <c r="J55" i="34" s="1"/>
  <c r="G55" i="34"/>
  <c r="H55" i="34" s="1"/>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J31" i="35"/>
  <c r="W31" i="35" s="1"/>
  <c r="H31" i="35"/>
  <c r="U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J41" i="33"/>
  <c r="D113" i="33"/>
  <c r="F37" i="33"/>
  <c r="D111" i="33"/>
  <c r="E111" i="33" s="1"/>
  <c r="F111" i="33" s="1"/>
  <c r="G111" i="33" s="1"/>
  <c r="H111" i="33" s="1"/>
  <c r="F41" i="21"/>
  <c r="J41" i="21"/>
  <c r="AC41" i="21" s="1"/>
  <c r="H41" i="21"/>
  <c r="U41" i="21" s="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F88" i="40" s="1"/>
  <c r="G88" i="40" s="1"/>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c r="I124" i="39" s="1"/>
  <c r="J124" i="39" s="1"/>
  <c r="K124" i="39" s="1"/>
  <c r="L124" i="39" s="1"/>
  <c r="M124" i="39" s="1"/>
  <c r="D120" i="39"/>
  <c r="E120" i="39" s="1"/>
  <c r="F120" i="39"/>
  <c r="G120" i="39" s="1"/>
  <c r="H120" i="39" s="1"/>
  <c r="I120" i="39" s="1"/>
  <c r="J120" i="39"/>
  <c r="K120" i="39" s="1"/>
  <c r="L120" i="39" s="1"/>
  <c r="M120" i="39" s="1"/>
  <c r="B114" i="39"/>
  <c r="D109" i="39"/>
  <c r="F34" i="39"/>
  <c r="AA34" i="39"/>
  <c r="D107" i="39"/>
  <c r="E107" i="39"/>
  <c r="D105" i="39"/>
  <c r="E105" i="39"/>
  <c r="F105" i="39" s="1"/>
  <c r="G105" i="39"/>
  <c r="H105" i="39" s="1"/>
  <c r="I105" i="39" s="1"/>
  <c r="J105" i="39" s="1"/>
  <c r="K105" i="39"/>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F13" i="39" s="1"/>
  <c r="B82" i="39"/>
  <c r="J1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F8" i="39"/>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AC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J8" i="36"/>
  <c r="AC8" i="36" s="1"/>
  <c r="H8" i="36"/>
  <c r="F8" i="36"/>
  <c r="AA8" i="36" s="1"/>
  <c r="D89" i="35"/>
  <c r="M90" i="35"/>
  <c r="L90" i="35"/>
  <c r="K90" i="35"/>
  <c r="J90" i="35"/>
  <c r="I90" i="35"/>
  <c r="H90" i="35"/>
  <c r="G90" i="35"/>
  <c r="F90" i="35"/>
  <c r="E90" i="35"/>
  <c r="D90" i="35"/>
  <c r="C90" i="35"/>
  <c r="F85" i="35"/>
  <c r="E85" i="35"/>
  <c r="D85" i="35"/>
  <c r="C85" i="35"/>
  <c r="J27" i="35"/>
  <c r="W27" i="35" s="1"/>
  <c r="H27" i="35"/>
  <c r="F27" i="35"/>
  <c r="AA27" i="35" s="1"/>
  <c r="J22" i="35"/>
  <c r="B101" i="35"/>
  <c r="B99" i="35"/>
  <c r="B97" i="35"/>
  <c r="B77" i="35"/>
  <c r="B75" i="35"/>
  <c r="J24" i="35" s="1"/>
  <c r="B73" i="35"/>
  <c r="H23" i="35"/>
  <c r="U23" i="35" s="1"/>
  <c r="B57" i="35"/>
  <c r="J11" i="35" s="1"/>
  <c r="B61" i="35"/>
  <c r="B59" i="35"/>
  <c r="H12" i="35" s="1"/>
  <c r="B131" i="34"/>
  <c r="B129" i="34"/>
  <c r="B127" i="34"/>
  <c r="B99" i="34"/>
  <c r="B97" i="34"/>
  <c r="B95" i="34"/>
  <c r="B93" i="34"/>
  <c r="B75" i="34"/>
  <c r="B73" i="34"/>
  <c r="B71" i="34"/>
  <c r="B130" i="33"/>
  <c r="B128" i="33"/>
  <c r="J45" i="33" s="1"/>
  <c r="W45" i="33" s="1"/>
  <c r="B126" i="33"/>
  <c r="B98" i="33"/>
  <c r="B96" i="33"/>
  <c r="B94" i="33"/>
  <c r="B74" i="33"/>
  <c r="B72" i="33"/>
  <c r="B70" i="33"/>
  <c r="J12" i="33"/>
  <c r="AC12" i="33" s="1"/>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D107" i="34"/>
  <c r="E107" i="34"/>
  <c r="F107" i="34" s="1"/>
  <c r="G107" i="34"/>
  <c r="H107" i="34" s="1"/>
  <c r="I107" i="34" s="1"/>
  <c r="J107" i="34" s="1"/>
  <c r="K107" i="34"/>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D92" i="34"/>
  <c r="E92" i="34" s="1"/>
  <c r="F92" i="34" s="1"/>
  <c r="G92" i="34" s="1"/>
  <c r="H92" i="34"/>
  <c r="I92" i="34" s="1"/>
  <c r="J92" i="34" s="1"/>
  <c r="K92" i="34" s="1"/>
  <c r="L92" i="34" s="1"/>
  <c r="M92" i="34" s="1"/>
  <c r="B91" i="34"/>
  <c r="B89" i="34"/>
  <c r="D88" i="34"/>
  <c r="E88" i="34"/>
  <c r="F88" i="34" s="1"/>
  <c r="G88" i="34"/>
  <c r="H88" i="34" s="1"/>
  <c r="I88" i="34" s="1"/>
  <c r="J88" i="34" s="1"/>
  <c r="K88" i="34"/>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c r="Q10" i="34"/>
  <c r="Z10" i="34"/>
  <c r="F10" i="34"/>
  <c r="AA10" i="34"/>
  <c r="Q9" i="34"/>
  <c r="Z9" i="34"/>
  <c r="F9" i="34"/>
  <c r="J8" i="34"/>
  <c r="AC8" i="34" s="1"/>
  <c r="H8" i="34"/>
  <c r="F8" i="34"/>
  <c r="AA8" i="34" s="1"/>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D85" i="33"/>
  <c r="E85" i="33" s="1"/>
  <c r="D81" i="33"/>
  <c r="E81" i="33" s="1"/>
  <c r="F81" i="33" s="1"/>
  <c r="G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F5" i="3" s="1"/>
  <c r="BG586" i="3"/>
  <c r="BH586" i="3"/>
  <c r="BI586" i="3"/>
  <c r="BJ586" i="3"/>
  <c r="BJ5" i="3" s="1"/>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H12" i="21"/>
  <c r="AB12" i="21" s="1"/>
  <c r="J26" i="21"/>
  <c r="W26" i="21" s="1"/>
  <c r="F26" i="21"/>
  <c r="S26" i="21" s="1"/>
  <c r="AB41" i="21"/>
  <c r="S41" i="21"/>
  <c r="AA41" i="21"/>
  <c r="F45" i="39"/>
  <c r="S45" i="39"/>
  <c r="J45" i="39"/>
  <c r="W45" i="39"/>
  <c r="F36" i="39"/>
  <c r="S36" i="39"/>
  <c r="H36" i="39"/>
  <c r="AB36" i="39"/>
  <c r="J35" i="39"/>
  <c r="AC35" i="39"/>
  <c r="F35" i="39"/>
  <c r="AA35" i="39"/>
  <c r="J36" i="39"/>
  <c r="AC36" i="39"/>
  <c r="W40" i="39"/>
  <c r="E103" i="37"/>
  <c r="F103" i="37" s="1"/>
  <c r="G103" i="37" s="1"/>
  <c r="H103" i="37" s="1"/>
  <c r="I103" i="37"/>
  <c r="J103" i="37" s="1"/>
  <c r="K103" i="37" s="1"/>
  <c r="L103" i="37" s="1"/>
  <c r="M103" i="37" s="1"/>
  <c r="F39" i="37"/>
  <c r="S39" i="37"/>
  <c r="F29" i="36"/>
  <c r="AA29" i="36" s="1"/>
  <c r="W8" i="36"/>
  <c r="F16" i="36"/>
  <c r="AA16" i="36"/>
  <c r="S30" i="36"/>
  <c r="AA31" i="36"/>
  <c r="W31" i="36"/>
  <c r="U31" i="36"/>
  <c r="J33" i="36"/>
  <c r="W33" i="36" s="1"/>
  <c r="H22" i="35"/>
  <c r="AB22" i="35" s="1"/>
  <c r="AC27" i="35"/>
  <c r="S31" i="35"/>
  <c r="F36" i="34"/>
  <c r="J35" i="34"/>
  <c r="S34" i="34"/>
  <c r="H39" i="33"/>
  <c r="AB39" i="33" s="1"/>
  <c r="F26" i="33"/>
  <c r="S9" i="33"/>
  <c r="U33" i="33"/>
  <c r="U35" i="33"/>
  <c r="W33" i="33"/>
  <c r="W39" i="33"/>
  <c r="H39" i="37"/>
  <c r="AB39" i="37" s="1"/>
  <c r="S27" i="35"/>
  <c r="F11" i="40"/>
  <c r="AA11" i="40"/>
  <c r="H11" i="40"/>
  <c r="AB11" i="40"/>
  <c r="AB39" i="40"/>
  <c r="AC40" i="40"/>
  <c r="AA9" i="40"/>
  <c r="AC9" i="40"/>
  <c r="U9" i="40"/>
  <c r="S34" i="40"/>
  <c r="U38" i="40"/>
  <c r="S40" i="40"/>
  <c r="W31" i="40"/>
  <c r="S38" i="40"/>
  <c r="F42" i="39"/>
  <c r="AA42" i="39" s="1"/>
  <c r="F41" i="39"/>
  <c r="H40" i="39"/>
  <c r="AB40" i="39" s="1"/>
  <c r="H39" i="39"/>
  <c r="U39" i="39" s="1"/>
  <c r="S38" i="39"/>
  <c r="S34" i="39"/>
  <c r="H34" i="39"/>
  <c r="U34" i="39" s="1"/>
  <c r="E109" i="39"/>
  <c r="F109" i="39" s="1"/>
  <c r="G109" i="39" s="1"/>
  <c r="H31" i="39"/>
  <c r="AB31" i="39"/>
  <c r="F31" i="39"/>
  <c r="AA31" i="39"/>
  <c r="E101" i="39"/>
  <c r="H19" i="39"/>
  <c r="AB19" i="39" s="1"/>
  <c r="F19" i="39"/>
  <c r="AA19" i="39" s="1"/>
  <c r="H17" i="39"/>
  <c r="F17" i="39"/>
  <c r="AA17" i="39" s="1"/>
  <c r="J23" i="40"/>
  <c r="AC23" i="40" s="1"/>
  <c r="F21" i="40"/>
  <c r="AA21" i="40" s="1"/>
  <c r="J21" i="40"/>
  <c r="W21" i="40" s="1"/>
  <c r="H42" i="39"/>
  <c r="AB42" i="39" s="1"/>
  <c r="J34" i="39"/>
  <c r="H109" i="39"/>
  <c r="I109" i="39" s="1"/>
  <c r="J109" i="39" s="1"/>
  <c r="K109" i="39" s="1"/>
  <c r="L109" i="39" s="1"/>
  <c r="M109" i="39" s="1"/>
  <c r="J31" i="39"/>
  <c r="F101" i="39"/>
  <c r="H27" i="39"/>
  <c r="U27" i="39" s="1"/>
  <c r="J19" i="39"/>
  <c r="J17" i="39"/>
  <c r="J27" i="39"/>
  <c r="AC27" i="39"/>
  <c r="F27" i="39"/>
  <c r="F11" i="21"/>
  <c r="S11" i="21" s="1"/>
  <c r="S40" i="21"/>
  <c r="U34" i="21"/>
  <c r="S34" i="21"/>
  <c r="C27" i="39"/>
  <c r="H11" i="39"/>
  <c r="U11" i="39" s="1"/>
  <c r="H32" i="33"/>
  <c r="AB32" i="33"/>
  <c r="H11" i="21"/>
  <c r="U11" i="21"/>
  <c r="J11" i="21"/>
  <c r="W11" i="21"/>
  <c r="H37" i="40"/>
  <c r="U37" i="40"/>
  <c r="H36" i="40"/>
  <c r="AB36" i="40"/>
  <c r="F35" i="40"/>
  <c r="AA35" i="40"/>
  <c r="H23" i="40"/>
  <c r="AB23" i="40"/>
  <c r="H17" i="40"/>
  <c r="U17" i="40"/>
  <c r="J15" i="40"/>
  <c r="W15" i="40"/>
  <c r="J11" i="40"/>
  <c r="W11" i="40"/>
  <c r="AB12" i="33"/>
  <c r="AB12" i="36"/>
  <c r="S44" i="39"/>
  <c r="U30" i="36"/>
  <c r="J30" i="35"/>
  <c r="W30" i="35" s="1"/>
  <c r="H30" i="35"/>
  <c r="F22" i="35"/>
  <c r="AA22" i="35" s="1"/>
  <c r="H10" i="35"/>
  <c r="U10" i="35" s="1"/>
  <c r="AC16" i="36"/>
  <c r="W30" i="36"/>
  <c r="H16" i="36"/>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H16" i="35"/>
  <c r="U16" i="35" s="1"/>
  <c r="F16" i="35"/>
  <c r="S16" i="35" s="1"/>
  <c r="H14" i="35"/>
  <c r="AB14" i="35" s="1"/>
  <c r="J29" i="35"/>
  <c r="AC29" i="35" s="1"/>
  <c r="H33" i="35"/>
  <c r="AB33" i="35"/>
  <c r="J20" i="35"/>
  <c r="W20" i="35" s="1"/>
  <c r="F35" i="37"/>
  <c r="E101" i="37"/>
  <c r="F101" i="37" s="1"/>
  <c r="G101" i="37"/>
  <c r="H101" i="37" s="1"/>
  <c r="I101" i="37" s="1"/>
  <c r="J101" i="37" s="1"/>
  <c r="K101" i="37" s="1"/>
  <c r="L101" i="37" s="1"/>
  <c r="M101" i="37" s="1"/>
  <c r="J34" i="37"/>
  <c r="W34" i="37"/>
  <c r="AA39" i="37"/>
  <c r="AB34" i="37"/>
  <c r="J33" i="37"/>
  <c r="U42" i="34"/>
  <c r="H40" i="34"/>
  <c r="U40" i="34"/>
  <c r="E114" i="34"/>
  <c r="H36" i="34"/>
  <c r="U36" i="34" s="1"/>
  <c r="F37" i="34"/>
  <c r="AA37" i="34" s="1"/>
  <c r="S35" i="34"/>
  <c r="F27" i="34"/>
  <c r="AA27" i="34" s="1"/>
  <c r="F25" i="34"/>
  <c r="S25" i="34"/>
  <c r="H23" i="34"/>
  <c r="U23" i="34"/>
  <c r="J23" i="34"/>
  <c r="F19" i="34"/>
  <c r="S19" i="34" s="1"/>
  <c r="H17" i="34"/>
  <c r="U17" i="34" s="1"/>
  <c r="F15" i="34"/>
  <c r="AA15" i="34" s="1"/>
  <c r="J15" i="34"/>
  <c r="W15" i="34" s="1"/>
  <c r="H15" i="34"/>
  <c r="AB15" i="34" s="1"/>
  <c r="W8" i="34"/>
  <c r="F41" i="33"/>
  <c r="AA41" i="33"/>
  <c r="S38" i="33"/>
  <c r="E113" i="33"/>
  <c r="F113" i="33" s="1"/>
  <c r="G113" i="33" s="1"/>
  <c r="H113" i="33" s="1"/>
  <c r="F32" i="33"/>
  <c r="AA32" i="33"/>
  <c r="J19" i="33"/>
  <c r="AC19" i="33"/>
  <c r="J15" i="33"/>
  <c r="AC15" i="33"/>
  <c r="F11" i="33"/>
  <c r="AA11" i="33"/>
  <c r="U8" i="33"/>
  <c r="S8" i="33"/>
  <c r="F37" i="40"/>
  <c r="F36" i="40"/>
  <c r="AA36" i="40" s="1"/>
  <c r="H28" i="40"/>
  <c r="U28" i="40" s="1"/>
  <c r="F23" i="40"/>
  <c r="AA23" i="40" s="1"/>
  <c r="F17" i="40"/>
  <c r="J17" i="40"/>
  <c r="W17" i="40" s="1"/>
  <c r="F15" i="40"/>
  <c r="S15" i="40" s="1"/>
  <c r="H15" i="40"/>
  <c r="AB15" i="40" s="1"/>
  <c r="AC11" i="40"/>
  <c r="S12" i="36"/>
  <c r="AA12" i="36"/>
  <c r="AB30" i="36"/>
  <c r="U33" i="35"/>
  <c r="F29" i="35"/>
  <c r="S29" i="35"/>
  <c r="H29" i="35"/>
  <c r="AB29" i="35"/>
  <c r="H33" i="37"/>
  <c r="AB33" i="37"/>
  <c r="F33" i="37"/>
  <c r="AA33" i="37"/>
  <c r="U34" i="37"/>
  <c r="S34" i="37"/>
  <c r="AA34" i="37"/>
  <c r="J43" i="34"/>
  <c r="AB42" i="34"/>
  <c r="J40" i="34"/>
  <c r="F114" i="34"/>
  <c r="G114" i="34" s="1"/>
  <c r="H114" i="34"/>
  <c r="I114" i="34" s="1"/>
  <c r="J114" i="34" s="1"/>
  <c r="K114" i="34" s="1"/>
  <c r="L114" i="34" s="1"/>
  <c r="M114" i="34" s="1"/>
  <c r="H38" i="34"/>
  <c r="AB38" i="34" s="1"/>
  <c r="J36" i="34"/>
  <c r="H37" i="34"/>
  <c r="U37" i="34" s="1"/>
  <c r="H25" i="34"/>
  <c r="J25" i="34"/>
  <c r="AC25" i="34" s="1"/>
  <c r="AB23" i="34"/>
  <c r="F23" i="34"/>
  <c r="AA23" i="34" s="1"/>
  <c r="J19" i="34"/>
  <c r="AC19" i="34" s="1"/>
  <c r="F17" i="34"/>
  <c r="AA17" i="34" s="1"/>
  <c r="J17" i="34"/>
  <c r="W17" i="34"/>
  <c r="S15" i="34"/>
  <c r="S41" i="33"/>
  <c r="I113" i="33"/>
  <c r="J113" i="33" s="1"/>
  <c r="K113" i="33" s="1"/>
  <c r="L113" i="33" s="1"/>
  <c r="M113" i="33" s="1"/>
  <c r="H37" i="33"/>
  <c r="AB37" i="33"/>
  <c r="H15" i="33"/>
  <c r="AB15" i="33"/>
  <c r="H11" i="33"/>
  <c r="AB11" i="33"/>
  <c r="F28" i="40"/>
  <c r="AA28" i="40"/>
  <c r="AA29" i="35"/>
  <c r="AC38" i="34"/>
  <c r="J37" i="34"/>
  <c r="J11" i="33"/>
  <c r="W11" i="33" s="1"/>
  <c r="U23" i="40"/>
  <c r="G123" i="21"/>
  <c r="H123" i="21" s="1"/>
  <c r="I123" i="21" s="1"/>
  <c r="J123" i="21" s="1"/>
  <c r="K123" i="2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c r="K119" i="21" s="1"/>
  <c r="L119" i="21" s="1"/>
  <c r="M119" i="21" s="1"/>
  <c r="H26" i="33"/>
  <c r="F28" i="33"/>
  <c r="AA28" i="33" s="1"/>
  <c r="F33" i="35"/>
  <c r="S33" i="35" s="1"/>
  <c r="J33" i="35"/>
  <c r="AC33" i="35" s="1"/>
  <c r="F30" i="35"/>
  <c r="S30" i="35" s="1"/>
  <c r="E89" i="35"/>
  <c r="F89" i="35" s="1"/>
  <c r="G89" i="35"/>
  <c r="H89" i="35" s="1"/>
  <c r="I89" i="35" s="1"/>
  <c r="J89" i="35" s="1"/>
  <c r="K89" i="35"/>
  <c r="L89" i="35" s="1"/>
  <c r="M89" i="35" s="1"/>
  <c r="H10" i="36"/>
  <c r="AB10" i="36"/>
  <c r="J14" i="36"/>
  <c r="AC14" i="36"/>
  <c r="H14" i="36"/>
  <c r="U14" i="36"/>
  <c r="F28" i="36"/>
  <c r="AA28" i="36"/>
  <c r="J13" i="21"/>
  <c r="AC13" i="21"/>
  <c r="H27" i="21"/>
  <c r="AB27" i="21"/>
  <c r="F27" i="21"/>
  <c r="AA27" i="21"/>
  <c r="H29" i="21"/>
  <c r="U29" i="21"/>
  <c r="F27" i="33"/>
  <c r="AA27" i="33"/>
  <c r="H29" i="33"/>
  <c r="H45" i="33"/>
  <c r="F14" i="34"/>
  <c r="S14" i="34" s="1"/>
  <c r="H32" i="34"/>
  <c r="AB32" i="34" s="1"/>
  <c r="H11" i="35"/>
  <c r="J26" i="36"/>
  <c r="W26" i="36" s="1"/>
  <c r="H28" i="36"/>
  <c r="H32" i="36"/>
  <c r="AB32" i="36" s="1"/>
  <c r="J32" i="36"/>
  <c r="J11" i="36"/>
  <c r="AC11" i="36" s="1"/>
  <c r="H11" i="36"/>
  <c r="F11" i="36"/>
  <c r="H13" i="36"/>
  <c r="E89" i="37"/>
  <c r="F89" i="37"/>
  <c r="G89" i="37" s="1"/>
  <c r="H89" i="37" s="1"/>
  <c r="I89" i="37" s="1"/>
  <c r="J89" i="37" s="1"/>
  <c r="K89" i="37" s="1"/>
  <c r="L89" i="37" s="1"/>
  <c r="M89" i="37" s="1"/>
  <c r="J29" i="37"/>
  <c r="W29" i="37" s="1"/>
  <c r="F29" i="37"/>
  <c r="S29" i="37" s="1"/>
  <c r="F105" i="37"/>
  <c r="H36" i="37"/>
  <c r="AB36" i="37"/>
  <c r="J37" i="37"/>
  <c r="AC37" i="37" s="1"/>
  <c r="H37" i="37"/>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J14" i="39"/>
  <c r="AC14" i="39" s="1"/>
  <c r="F14" i="39"/>
  <c r="AA14" i="39" s="1"/>
  <c r="H14" i="39"/>
  <c r="AB14" i="39"/>
  <c r="F12" i="40"/>
  <c r="S12" i="40"/>
  <c r="H12" i="40"/>
  <c r="AB12" i="40"/>
  <c r="H30" i="40"/>
  <c r="AB30" i="40"/>
  <c r="F33" i="40"/>
  <c r="AA33" i="40"/>
  <c r="H33" i="40"/>
  <c r="U33" i="40"/>
  <c r="J35" i="40"/>
  <c r="AC35" i="40"/>
  <c r="J37" i="40"/>
  <c r="AC37" i="40"/>
  <c r="F14" i="37"/>
  <c r="S14" i="37"/>
  <c r="F27" i="37"/>
  <c r="AA27" i="37"/>
  <c r="J13" i="39"/>
  <c r="W13" i="39" s="1"/>
  <c r="H13" i="39"/>
  <c r="H14" i="40"/>
  <c r="AB14" i="40"/>
  <c r="J14" i="40"/>
  <c r="W14" i="40"/>
  <c r="F14" i="40"/>
  <c r="AA14" i="40"/>
  <c r="J14" i="37"/>
  <c r="AC14" i="37"/>
  <c r="J27" i="37"/>
  <c r="AC27" i="37"/>
  <c r="AA13" i="35"/>
  <c r="U31" i="34"/>
  <c r="U46" i="33"/>
  <c r="J36" i="37"/>
  <c r="AC36" i="37" s="1"/>
  <c r="G105" i="37"/>
  <c r="J10" i="36"/>
  <c r="AC10" i="36"/>
  <c r="AA14" i="37"/>
  <c r="W31" i="34"/>
  <c r="W11" i="36"/>
  <c r="S44" i="34"/>
  <c r="BA585" i="3"/>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c r="AZ499" i="3" s="1"/>
  <c r="BQ497" i="3"/>
  <c r="BL497" i="3"/>
  <c r="AZ497" i="3" s="1"/>
  <c r="BQ495" i="3"/>
  <c r="BL495" i="3"/>
  <c r="AZ495" i="3" s="1"/>
  <c r="BQ493" i="3"/>
  <c r="BL493" i="3" s="1"/>
  <c r="AZ584" i="3"/>
  <c r="O27" i="31"/>
  <c r="O28" i="31"/>
  <c r="O26" i="31"/>
  <c r="M27" i="31"/>
  <c r="M28" i="31"/>
  <c r="M26" i="31"/>
  <c r="I26" i="31"/>
  <c r="I25" i="31"/>
  <c r="Q26" i="31"/>
  <c r="K26" i="31"/>
  <c r="I27" i="31"/>
  <c r="Q27" i="31"/>
  <c r="K27" i="31"/>
  <c r="I28" i="31"/>
  <c r="Q28" i="31"/>
  <c r="K28" i="31"/>
  <c r="S21" i="40"/>
  <c r="AA12" i="21"/>
  <c r="H25" i="21"/>
  <c r="U25" i="21" s="1"/>
  <c r="F25" i="21"/>
  <c r="J25" i="21"/>
  <c r="E125" i="33"/>
  <c r="F125" i="33" s="1"/>
  <c r="G125" i="33" s="1"/>
  <c r="H43" i="33"/>
  <c r="AB43" i="33" s="1"/>
  <c r="H17" i="37"/>
  <c r="AB27" i="37"/>
  <c r="U32" i="33"/>
  <c r="AA36" i="39"/>
  <c r="F39" i="33"/>
  <c r="AA39" i="33"/>
  <c r="E123" i="33"/>
  <c r="F42" i="33"/>
  <c r="H28" i="34"/>
  <c r="F14" i="36"/>
  <c r="AA14" i="36" s="1"/>
  <c r="F22" i="36"/>
  <c r="F26" i="36"/>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AA41" i="34"/>
  <c r="H19" i="37"/>
  <c r="AB19" i="37"/>
  <c r="F123" i="33"/>
  <c r="G123" i="33"/>
  <c r="H123" i="33" s="1"/>
  <c r="I123" i="33" s="1"/>
  <c r="J123" i="33" s="1"/>
  <c r="K123" i="33" s="1"/>
  <c r="L123" i="33" s="1"/>
  <c r="M123" i="33" s="1"/>
  <c r="H42" i="33"/>
  <c r="AB42" i="33"/>
  <c r="J43" i="33"/>
  <c r="S28" i="31"/>
  <c r="S26" i="31"/>
  <c r="U14" i="40"/>
  <c r="AC33" i="36"/>
  <c r="U35" i="35"/>
  <c r="AA12" i="35"/>
  <c r="W23" i="35"/>
  <c r="W14" i="37"/>
  <c r="U33" i="37"/>
  <c r="U39" i="37"/>
  <c r="W47" i="34"/>
  <c r="AB13" i="34"/>
  <c r="AB37" i="34"/>
  <c r="W44" i="33"/>
  <c r="U11" i="33"/>
  <c r="U19" i="21"/>
  <c r="W44" i="21"/>
  <c r="U26" i="21"/>
  <c r="AC46" i="21"/>
  <c r="U12" i="21"/>
  <c r="AB38" i="21"/>
  <c r="F43" i="33"/>
  <c r="AA43" i="33"/>
  <c r="AC15" i="34"/>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s="1"/>
  <c r="I94" i="37" s="1"/>
  <c r="J94" i="37" s="1"/>
  <c r="K94" i="37" s="1"/>
  <c r="L94" i="37" s="1"/>
  <c r="M94" i="37" s="1"/>
  <c r="H31" i="37"/>
  <c r="F71" i="37"/>
  <c r="G71" i="37" s="1"/>
  <c r="J15" i="37"/>
  <c r="U12" i="37"/>
  <c r="AT6" i="3"/>
  <c r="H5" i="3"/>
  <c r="C12" i="43"/>
  <c r="H19" i="40"/>
  <c r="U19" i="40"/>
  <c r="F19" i="40"/>
  <c r="S19" i="40"/>
  <c r="S14" i="40"/>
  <c r="AB33" i="40"/>
  <c r="W23" i="39"/>
  <c r="AC43" i="39"/>
  <c r="W43" i="39"/>
  <c r="U45" i="39"/>
  <c r="AB45" i="39"/>
  <c r="G101" i="39"/>
  <c r="H37" i="39"/>
  <c r="H25" i="39"/>
  <c r="J25" i="39"/>
  <c r="AC25" i="39" s="1"/>
  <c r="F25" i="39"/>
  <c r="AA25" i="39"/>
  <c r="F15" i="39"/>
  <c r="AA15" i="39"/>
  <c r="H15" i="39"/>
  <c r="U15" i="39"/>
  <c r="J15" i="39"/>
  <c r="W15" i="39"/>
  <c r="H41" i="39"/>
  <c r="W27" i="39"/>
  <c r="AB34" i="39"/>
  <c r="U40" i="39"/>
  <c r="S42" i="39"/>
  <c r="W14" i="39"/>
  <c r="W9" i="39"/>
  <c r="J19" i="40"/>
  <c r="J50" i="40"/>
  <c r="H103" i="9"/>
  <c r="B16" i="53"/>
  <c r="B33" i="72" s="1"/>
  <c r="C7" i="37"/>
  <c r="C7" i="34"/>
  <c r="C59" i="34" s="1"/>
  <c r="D59" i="34" s="1"/>
  <c r="E59" i="34" s="1"/>
  <c r="F59" i="34" s="1"/>
  <c r="G59" i="34" s="1"/>
  <c r="H59" i="34" s="1"/>
  <c r="I59" i="34" s="1"/>
  <c r="J59" i="34" s="1"/>
  <c r="C7" i="36"/>
  <c r="W35" i="40"/>
  <c r="A118" i="9"/>
  <c r="A4" i="52"/>
  <c r="B41" i="72" s="1"/>
  <c r="J11" i="39"/>
  <c r="F11" i="39"/>
  <c r="AA11" i="39" s="1"/>
  <c r="A12" i="52"/>
  <c r="B56" i="72" s="1"/>
  <c r="S11" i="39"/>
  <c r="G4" i="4"/>
  <c r="I4" i="4"/>
  <c r="K5" i="4" s="1"/>
  <c r="B47" i="48" s="1"/>
  <c r="A2" i="9"/>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C5" i="3"/>
  <c r="AZ549" i="3"/>
  <c r="AZ506" i="3"/>
  <c r="AZ496" i="3"/>
  <c r="G548" i="3"/>
  <c r="G538" i="3"/>
  <c r="G520" i="3"/>
  <c r="G502" i="3"/>
  <c r="BS5" i="3"/>
  <c r="BP5" i="3"/>
  <c r="G29" i="6" s="1"/>
  <c r="BN5" i="3"/>
  <c r="AZ343" i="3"/>
  <c r="BK5" i="3"/>
  <c r="BI5" i="3"/>
  <c r="BG5" i="3"/>
  <c r="BE5" i="3"/>
  <c r="BC5" i="3"/>
  <c r="G17" i="3"/>
  <c r="BA17" i="3"/>
  <c r="BT5" i="3"/>
  <c r="AZ350" i="3"/>
  <c r="AZ352" i="3"/>
  <c r="AZ368" i="3"/>
  <c r="BA15" i="3"/>
  <c r="AZ15" i="3"/>
  <c r="BR5" i="3"/>
  <c r="AZ380" i="3"/>
  <c r="AZ388" i="3"/>
  <c r="AZ396" i="3"/>
  <c r="AZ509" i="3"/>
  <c r="G509" i="3"/>
  <c r="AZ491" i="3"/>
  <c r="AZ390" i="3"/>
  <c r="AZ493" i="3"/>
  <c r="U36" i="40"/>
  <c r="F36" i="43"/>
  <c r="F81" i="43"/>
  <c r="H83" i="43" s="1"/>
  <c r="H113" i="43"/>
  <c r="F48" i="43"/>
  <c r="H50" i="43" s="1"/>
  <c r="F70" i="43"/>
  <c r="H71" i="43" s="1"/>
  <c r="D17" i="43"/>
  <c r="F39" i="43"/>
  <c r="I17" i="43"/>
  <c r="F35" i="43"/>
  <c r="J17" i="43"/>
  <c r="F6" i="1"/>
  <c r="G6" i="1" s="1"/>
  <c r="S14" i="35"/>
  <c r="U43" i="21"/>
  <c r="U35" i="21"/>
  <c r="AC35" i="21"/>
  <c r="U10" i="21"/>
  <c r="G8" i="1"/>
  <c r="G9" i="1"/>
  <c r="G10" i="1"/>
  <c r="AZ563" i="3"/>
  <c r="W37" i="37"/>
  <c r="W44" i="34"/>
  <c r="AC44" i="34"/>
  <c r="U12" i="40"/>
  <c r="AA12" i="40"/>
  <c r="J37" i="33"/>
  <c r="W37" i="33"/>
  <c r="AC17" i="34"/>
  <c r="F106" i="33"/>
  <c r="G106" i="33" s="1"/>
  <c r="H106" i="33"/>
  <c r="I106" i="33" s="1"/>
  <c r="J106" i="33" s="1"/>
  <c r="K106" i="33" s="1"/>
  <c r="L106" i="33" s="1"/>
  <c r="M106" i="33" s="1"/>
  <c r="J34" i="33"/>
  <c r="W34" i="33" s="1"/>
  <c r="F33" i="34"/>
  <c r="S33" i="34" s="1"/>
  <c r="W12" i="36"/>
  <c r="H20" i="36"/>
  <c r="U20" i="36" s="1"/>
  <c r="J20" i="36"/>
  <c r="W24" i="36"/>
  <c r="J27" i="36"/>
  <c r="W27" i="36"/>
  <c r="AB25" i="37"/>
  <c r="AC33" i="40"/>
  <c r="F111" i="40"/>
  <c r="G111" i="40"/>
  <c r="H111" i="40" s="1"/>
  <c r="I111" i="40" s="1"/>
  <c r="J111" i="40" s="1"/>
  <c r="K111" i="40" s="1"/>
  <c r="L111" i="40" s="1"/>
  <c r="M111" i="40" s="1"/>
  <c r="H35" i="40"/>
  <c r="AB35" i="40"/>
  <c r="W29" i="35"/>
  <c r="H35" i="37"/>
  <c r="U35" i="37"/>
  <c r="AC14" i="35"/>
  <c r="H20" i="35"/>
  <c r="F20" i="35"/>
  <c r="AA20" i="35" s="1"/>
  <c r="AB23" i="35"/>
  <c r="AB29" i="36"/>
  <c r="U29" i="36"/>
  <c r="H32" i="37"/>
  <c r="AB32" i="37"/>
  <c r="F96" i="37"/>
  <c r="H27" i="40"/>
  <c r="J27" i="40"/>
  <c r="AC27" i="40" s="1"/>
  <c r="F27" i="40"/>
  <c r="J30" i="40"/>
  <c r="F30" i="40"/>
  <c r="AA30" i="40" s="1"/>
  <c r="AC21" i="40"/>
  <c r="S31" i="39"/>
  <c r="S11" i="40"/>
  <c r="E98" i="40"/>
  <c r="F98" i="40"/>
  <c r="G98" i="40" s="1"/>
  <c r="H98" i="40"/>
  <c r="I98" i="40" s="1"/>
  <c r="J98" i="40" s="1"/>
  <c r="K98" i="40" s="1"/>
  <c r="L98" i="40" s="1"/>
  <c r="M98" i="40" s="1"/>
  <c r="F10" i="33"/>
  <c r="F34" i="33"/>
  <c r="H34" i="33"/>
  <c r="F35" i="33"/>
  <c r="F39" i="34"/>
  <c r="S39" i="34" s="1"/>
  <c r="J39" i="34"/>
  <c r="F40" i="34"/>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F27" i="36"/>
  <c r="AA27" i="36" s="1"/>
  <c r="H33" i="34"/>
  <c r="F32" i="37"/>
  <c r="AA32" i="37" s="1"/>
  <c r="G96" i="37"/>
  <c r="H96" i="37" s="1"/>
  <c r="I96" i="37"/>
  <c r="J96" i="37" s="1"/>
  <c r="K96" i="37" s="1"/>
  <c r="L96" i="37" s="1"/>
  <c r="M96" i="37" s="1"/>
  <c r="F20" i="36"/>
  <c r="AA20" i="36"/>
  <c r="J33" i="34"/>
  <c r="AC33" i="34"/>
  <c r="H23" i="39"/>
  <c r="U23" i="39"/>
  <c r="D48" i="9"/>
  <c r="M52" i="9" s="1"/>
  <c r="H86" i="43"/>
  <c r="H87" i="43"/>
  <c r="K9" i="1"/>
  <c r="M9" i="1" s="1"/>
  <c r="O9" i="1" s="1"/>
  <c r="AE9" i="1"/>
  <c r="D93" i="9"/>
  <c r="AC26" i="33"/>
  <c r="W26" i="33"/>
  <c r="AC12" i="39"/>
  <c r="W12" i="39"/>
  <c r="AC39" i="40"/>
  <c r="W39" i="40"/>
  <c r="AZ412" i="3"/>
  <c r="AZ428" i="3"/>
  <c r="AZ465" i="3"/>
  <c r="N101" i="43"/>
  <c r="N106" i="43" s="1"/>
  <c r="W12" i="33"/>
  <c r="AA32" i="36"/>
  <c r="S32" i="36"/>
  <c r="AZ408" i="3"/>
  <c r="AZ437" i="3"/>
  <c r="AZ441" i="3"/>
  <c r="AZ457" i="3"/>
  <c r="AZ473" i="3"/>
  <c r="AZ490" i="3"/>
  <c r="AA39" i="34"/>
  <c r="BL14" i="3"/>
  <c r="AZ266" i="3"/>
  <c r="U30" i="33"/>
  <c r="AC13" i="34"/>
  <c r="AA47" i="34"/>
  <c r="S19" i="39"/>
  <c r="F12" i="33"/>
  <c r="H12" i="39"/>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AZ80" i="3"/>
  <c r="AZ84" i="3"/>
  <c r="AZ88" i="3"/>
  <c r="AZ107" i="3"/>
  <c r="AZ111" i="3"/>
  <c r="K12" i="1"/>
  <c r="M12" i="1" s="1"/>
  <c r="O12" i="1" s="1"/>
  <c r="S13" i="1"/>
  <c r="R13" i="1"/>
  <c r="S11" i="1"/>
  <c r="AQ11" i="1" s="1"/>
  <c r="R11" i="1"/>
  <c r="S9" i="1"/>
  <c r="AR9" i="1" s="1"/>
  <c r="R9" i="1"/>
  <c r="J51" i="67"/>
  <c r="C42" i="1"/>
  <c r="H100" i="43"/>
  <c r="AC34" i="33"/>
  <c r="B41" i="1"/>
  <c r="F53" i="9" s="1"/>
  <c r="J100" i="43"/>
  <c r="AB37" i="40"/>
  <c r="S35" i="40"/>
  <c r="U35" i="40"/>
  <c r="AC36" i="40"/>
  <c r="W38" i="40"/>
  <c r="AA32" i="40"/>
  <c r="S23" i="40"/>
  <c r="AC17" i="40"/>
  <c r="AC15" i="40"/>
  <c r="AA19" i="40"/>
  <c r="S28" i="40"/>
  <c r="U21" i="40"/>
  <c r="AB19" i="40"/>
  <c r="W42" i="39"/>
  <c r="W39" i="39"/>
  <c r="S43" i="39"/>
  <c r="U35" i="39"/>
  <c r="F32" i="39"/>
  <c r="AA32" i="39" s="1"/>
  <c r="F107" i="39"/>
  <c r="G107" i="39"/>
  <c r="AB27" i="39"/>
  <c r="U31" i="39"/>
  <c r="S25" i="39"/>
  <c r="J21" i="39"/>
  <c r="F21" i="39"/>
  <c r="AA21" i="39" s="1"/>
  <c r="G95" i="39"/>
  <c r="H21" i="39"/>
  <c r="AB21" i="39" s="1"/>
  <c r="U19" i="39"/>
  <c r="S17" i="39"/>
  <c r="AC15" i="39"/>
  <c r="S15" i="39"/>
  <c r="AB15" i="39"/>
  <c r="AA12" i="39"/>
  <c r="S9" i="39"/>
  <c r="U14" i="39"/>
  <c r="AC27" i="36"/>
  <c r="U26" i="36"/>
  <c r="AA34" i="36"/>
  <c r="S29" i="36"/>
  <c r="AC26" i="36"/>
  <c r="W14" i="36"/>
  <c r="AB14" i="36"/>
  <c r="S16" i="36"/>
  <c r="S24" i="36"/>
  <c r="AB20" i="36"/>
  <c r="U10" i="36"/>
  <c r="W10" i="36"/>
  <c r="AA25" i="35"/>
  <c r="AB13" i="35"/>
  <c r="U29" i="35"/>
  <c r="U28" i="35"/>
  <c r="U32" i="35"/>
  <c r="AA33" i="35"/>
  <c r="AC30" i="35"/>
  <c r="S32" i="35"/>
  <c r="AA36" i="35"/>
  <c r="W32" i="35"/>
  <c r="S28" i="35"/>
  <c r="AB16" i="35"/>
  <c r="U22" i="35"/>
  <c r="S20" i="35"/>
  <c r="AC20" i="35"/>
  <c r="S22" i="35"/>
  <c r="U14" i="35"/>
  <c r="AC10" i="35"/>
  <c r="AB10" i="35"/>
  <c r="W9" i="35"/>
  <c r="W13" i="35"/>
  <c r="F9" i="35"/>
  <c r="H9" i="35"/>
  <c r="AB9" i="35" s="1"/>
  <c r="AB40" i="37"/>
  <c r="W27" i="37"/>
  <c r="AC9" i="37"/>
  <c r="U29" i="37"/>
  <c r="W30" i="37"/>
  <c r="U32" i="37"/>
  <c r="AC35" i="37"/>
  <c r="S30" i="37"/>
  <c r="J17" i="37"/>
  <c r="W17" i="37" s="1"/>
  <c r="F17" i="37"/>
  <c r="AA17" i="37"/>
  <c r="F75" i="37"/>
  <c r="G75" i="37" s="1"/>
  <c r="F19" i="37"/>
  <c r="F79" i="37"/>
  <c r="G79" i="37" s="1"/>
  <c r="F23" i="37"/>
  <c r="S23" i="37"/>
  <c r="U15" i="37"/>
  <c r="U9" i="37"/>
  <c r="AA12" i="37"/>
  <c r="AA9" i="37"/>
  <c r="H10" i="37"/>
  <c r="AB10" i="37" s="1"/>
  <c r="H60" i="37"/>
  <c r="F11" i="37"/>
  <c r="S11" i="37"/>
  <c r="W25" i="34"/>
  <c r="AA33" i="34"/>
  <c r="U43" i="34"/>
  <c r="W41" i="34"/>
  <c r="AC42" i="34"/>
  <c r="AB35" i="34"/>
  <c r="U39" i="34"/>
  <c r="S43" i="34"/>
  <c r="AA25" i="34"/>
  <c r="S17" i="34"/>
  <c r="AA29" i="34"/>
  <c r="S23" i="34"/>
  <c r="U15" i="34"/>
  <c r="S10" i="34"/>
  <c r="S13" i="34"/>
  <c r="H67" i="34"/>
  <c r="H10" i="34"/>
  <c r="AB10" i="34" s="1"/>
  <c r="F11" i="34"/>
  <c r="S11" i="34" s="1"/>
  <c r="F70" i="34"/>
  <c r="W42" i="33"/>
  <c r="S27" i="33"/>
  <c r="S32" i="33"/>
  <c r="W38" i="33"/>
  <c r="H41" i="33"/>
  <c r="F121" i="33"/>
  <c r="G121" i="33" s="1"/>
  <c r="H121" i="33" s="1"/>
  <c r="I121" i="33" s="1"/>
  <c r="J121" i="33" s="1"/>
  <c r="K121" i="33" s="1"/>
  <c r="L121" i="33" s="1"/>
  <c r="M121" i="33" s="1"/>
  <c r="U42" i="33"/>
  <c r="F36" i="33"/>
  <c r="S36" i="33" s="1"/>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F91" i="33"/>
  <c r="H27" i="33"/>
  <c r="U27" i="33" s="1"/>
  <c r="H25" i="33"/>
  <c r="U25" i="33" s="1"/>
  <c r="F25" i="33"/>
  <c r="J23" i="33"/>
  <c r="AC23" i="33" s="1"/>
  <c r="F85" i="33"/>
  <c r="H23" i="33"/>
  <c r="AB23" i="33" s="1"/>
  <c r="F19" i="33"/>
  <c r="W19" i="33"/>
  <c r="J17" i="33"/>
  <c r="F79" i="33"/>
  <c r="G79" i="33" s="1"/>
  <c r="S15" i="33"/>
  <c r="W15" i="33"/>
  <c r="U9" i="33"/>
  <c r="I66" i="33"/>
  <c r="J10" i="33"/>
  <c r="H10" i="33"/>
  <c r="U10" i="33" s="1"/>
  <c r="AC11" i="33"/>
  <c r="AB14" i="33"/>
  <c r="W43" i="21"/>
  <c r="W36" i="21"/>
  <c r="W41" i="21"/>
  <c r="AB39" i="21"/>
  <c r="AA43" i="21"/>
  <c r="S39" i="21"/>
  <c r="AA38" i="21"/>
  <c r="AA36" i="21"/>
  <c r="AC40" i="21"/>
  <c r="J15" i="21"/>
  <c r="W15" i="21"/>
  <c r="F77" i="21"/>
  <c r="G77" i="21"/>
  <c r="F23" i="21"/>
  <c r="S23" i="21"/>
  <c r="E85" i="21"/>
  <c r="AC11" i="21"/>
  <c r="AB8" i="21"/>
  <c r="S8" i="21"/>
  <c r="F34" i="67"/>
  <c r="F62" i="67" s="1"/>
  <c r="F34" i="15"/>
  <c r="F62" i="15" s="1"/>
  <c r="G13" i="3"/>
  <c r="BA13" i="3"/>
  <c r="BL17" i="3"/>
  <c r="AZ17" i="3" s="1"/>
  <c r="BL13" i="3"/>
  <c r="J56" i="9"/>
  <c r="J57" i="9" s="1"/>
  <c r="J59" i="9" s="1"/>
  <c r="J61" i="9" s="1"/>
  <c r="A24" i="51"/>
  <c r="B18" i="72" s="1"/>
  <c r="U29" i="34"/>
  <c r="E5" i="6"/>
  <c r="D9" i="11" s="1"/>
  <c r="C9" i="11" s="1"/>
  <c r="D101" i="43"/>
  <c r="I101" i="43"/>
  <c r="I105" i="43" s="1"/>
  <c r="E32" i="6"/>
  <c r="L19" i="6"/>
  <c r="G1" i="68"/>
  <c r="K1" i="12"/>
  <c r="N103" i="43"/>
  <c r="AR12" i="1"/>
  <c r="T12" i="1"/>
  <c r="E19" i="69"/>
  <c r="E19" i="68"/>
  <c r="E19" i="11"/>
  <c r="E1" i="73"/>
  <c r="G22" i="69"/>
  <c r="G22" i="68"/>
  <c r="G26" i="12"/>
  <c r="G22" i="11"/>
  <c r="C100" i="43"/>
  <c r="E11" i="43"/>
  <c r="E10" i="43"/>
  <c r="E9" i="43"/>
  <c r="E8" i="43"/>
  <c r="C7" i="43" s="1"/>
  <c r="E81" i="43"/>
  <c r="B79" i="43" s="1"/>
  <c r="E48" i="43"/>
  <c r="B46" i="43"/>
  <c r="E70" i="43"/>
  <c r="B68" i="43"/>
  <c r="F100" i="43"/>
  <c r="H17" i="43"/>
  <c r="H81" i="43"/>
  <c r="H88" i="43"/>
  <c r="C17" i="43"/>
  <c r="F33" i="43"/>
  <c r="K17" i="43"/>
  <c r="F34" i="43"/>
  <c r="F38" i="43"/>
  <c r="F37" i="43"/>
  <c r="N5" i="43"/>
  <c r="B19" i="53"/>
  <c r="B37" i="72" s="1"/>
  <c r="C7" i="39"/>
  <c r="C68" i="39" s="1"/>
  <c r="C7" i="35"/>
  <c r="C7" i="33"/>
  <c r="C58" i="33" s="1"/>
  <c r="C7" i="21"/>
  <c r="C58" i="21" s="1"/>
  <c r="C7" i="40"/>
  <c r="C63" i="40" s="1"/>
  <c r="M47" i="9"/>
  <c r="G19" i="43"/>
  <c r="O19" i="43" s="1"/>
  <c r="T35" i="4"/>
  <c r="A19" i="51"/>
  <c r="B14" i="72" s="1"/>
  <c r="C46" i="36"/>
  <c r="D46" i="36" s="1"/>
  <c r="C52" i="37"/>
  <c r="D52" i="37" s="1"/>
  <c r="C48" i="35"/>
  <c r="D48" i="35" s="1"/>
  <c r="C4" i="12"/>
  <c r="H56" i="43"/>
  <c r="L20" i="6"/>
  <c r="B6" i="1"/>
  <c r="E6" i="1" s="1"/>
  <c r="S8" i="1"/>
  <c r="AQ8" i="1" s="1"/>
  <c r="K11" i="1"/>
  <c r="M11" i="1" s="1"/>
  <c r="AP6" i="1"/>
  <c r="B9" i="1"/>
  <c r="E9" i="1" s="1"/>
  <c r="K7" i="1"/>
  <c r="M7" i="1" s="1"/>
  <c r="O7" i="1" s="1"/>
  <c r="P7" i="1" s="1"/>
  <c r="G1" i="15"/>
  <c r="G1" i="69"/>
  <c r="G1" i="67"/>
  <c r="W23" i="40"/>
  <c r="AB31" i="40"/>
  <c r="AB28" i="40"/>
  <c r="W28" i="40"/>
  <c r="W34" i="40"/>
  <c r="W27" i="40"/>
  <c r="S36" i="40"/>
  <c r="W37" i="40"/>
  <c r="AC14" i="40"/>
  <c r="S33" i="40"/>
  <c r="AA15" i="40"/>
  <c r="U11" i="40"/>
  <c r="S31" i="40"/>
  <c r="U15" i="40"/>
  <c r="AB17" i="40"/>
  <c r="U8" i="40"/>
  <c r="S8" i="40"/>
  <c r="AA39" i="39"/>
  <c r="AC41" i="39"/>
  <c r="U42" i="39"/>
  <c r="AB23" i="39"/>
  <c r="U41" i="39"/>
  <c r="AB41" i="39"/>
  <c r="W25" i="39"/>
  <c r="U13" i="39"/>
  <c r="AB13" i="39"/>
  <c r="AA13" i="39"/>
  <c r="S13" i="39"/>
  <c r="S14" i="39"/>
  <c r="U43" i="39"/>
  <c r="AB43" i="39"/>
  <c r="AB11" i="39"/>
  <c r="AA27" i="39"/>
  <c r="S27" i="39"/>
  <c r="W17" i="39"/>
  <c r="AC17" i="39"/>
  <c r="W31" i="39"/>
  <c r="AC31" i="39"/>
  <c r="S23" i="39"/>
  <c r="AA45" i="39"/>
  <c r="AB39" i="39"/>
  <c r="U38" i="39"/>
  <c r="S20" i="36"/>
  <c r="S28" i="36"/>
  <c r="U32" i="36"/>
  <c r="W29" i="36"/>
  <c r="W22" i="36"/>
  <c r="AC25" i="35"/>
  <c r="U25" i="35"/>
  <c r="S24" i="35"/>
  <c r="W33" i="35"/>
  <c r="AA30" i="35"/>
  <c r="S35" i="35"/>
  <c r="W35" i="35"/>
  <c r="W36" i="37"/>
  <c r="S27" i="37"/>
  <c r="U36" i="37"/>
  <c r="S40" i="37"/>
  <c r="S33" i="37"/>
  <c r="AC34" i="37"/>
  <c r="AB35" i="37"/>
  <c r="AA11" i="37"/>
  <c r="AA31" i="37"/>
  <c r="U19" i="37"/>
  <c r="AA29" i="37"/>
  <c r="U8" i="37"/>
  <c r="AB40" i="34"/>
  <c r="U19" i="34"/>
  <c r="AA31" i="34"/>
  <c r="AB45" i="34"/>
  <c r="AB47" i="34"/>
  <c r="AB36" i="34"/>
  <c r="W33" i="34"/>
  <c r="AC29" i="34"/>
  <c r="W29" i="34"/>
  <c r="S37" i="34"/>
  <c r="U38" i="34"/>
  <c r="AC40" i="34"/>
  <c r="W40" i="34"/>
  <c r="AA19" i="34"/>
  <c r="AA36" i="34"/>
  <c r="S36" i="34"/>
  <c r="S8" i="34"/>
  <c r="AC43" i="34"/>
  <c r="W43" i="34"/>
  <c r="W23" i="34"/>
  <c r="AC23" i="34"/>
  <c r="AC35" i="34"/>
  <c r="W35" i="34"/>
  <c r="AC37" i="33"/>
  <c r="W46" i="33"/>
  <c r="U39" i="33"/>
  <c r="U38" i="33"/>
  <c r="S33" i="33"/>
  <c r="U44" i="33"/>
  <c r="AB44" i="33"/>
  <c r="S30" i="33"/>
  <c r="AA30" i="33"/>
  <c r="AC14" i="33"/>
  <c r="W14" i="33"/>
  <c r="AC30" i="33"/>
  <c r="W30" i="33"/>
  <c r="U15" i="33"/>
  <c r="S11" i="33"/>
  <c r="U37" i="33"/>
  <c r="W9" i="33"/>
  <c r="W8" i="33"/>
  <c r="S44" i="21"/>
  <c r="AB42" i="21"/>
  <c r="AA11" i="21"/>
  <c r="F33" i="21"/>
  <c r="J33" i="21"/>
  <c r="W33" i="21" s="1"/>
  <c r="H33" i="21"/>
  <c r="AB33" i="21"/>
  <c r="F37" i="21"/>
  <c r="AA37" i="21"/>
  <c r="AA26" i="21"/>
  <c r="AB46" i="21"/>
  <c r="U40" i="21"/>
  <c r="AC15" i="21"/>
  <c r="U13" i="21"/>
  <c r="AB13" i="21"/>
  <c r="W8" i="21"/>
  <c r="S35" i="21"/>
  <c r="AB37" i="21"/>
  <c r="J37" i="21"/>
  <c r="W37" i="21"/>
  <c r="H15" i="21"/>
  <c r="U15" i="21"/>
  <c r="J17" i="21"/>
  <c r="AC17" i="21"/>
  <c r="AC19" i="21"/>
  <c r="W39" i="21"/>
  <c r="S46" i="21"/>
  <c r="H45" i="2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F10" i="21"/>
  <c r="S10" i="21" s="1"/>
  <c r="K145" i="21"/>
  <c r="W17" i="21"/>
  <c r="AA29" i="21"/>
  <c r="S27" i="21"/>
  <c r="S17" i="21"/>
  <c r="AA15" i="21"/>
  <c r="AC26" i="21"/>
  <c r="AB29" i="21"/>
  <c r="AC34" i="21"/>
  <c r="W10" i="21"/>
  <c r="AB36" i="21"/>
  <c r="C19" i="39"/>
  <c r="C15" i="40"/>
  <c r="C17" i="40"/>
  <c r="C23" i="40"/>
  <c r="C21" i="40"/>
  <c r="U30" i="40"/>
  <c r="B54" i="43"/>
  <c r="B65" i="43"/>
  <c r="B49" i="43"/>
  <c r="B60" i="43"/>
  <c r="D23" i="15"/>
  <c r="E4" i="4"/>
  <c r="B5" i="62" s="1"/>
  <c r="B73" i="72" s="1"/>
  <c r="C4" i="4"/>
  <c r="AQ13" i="1"/>
  <c r="D9" i="69"/>
  <c r="C9" i="69" s="1"/>
  <c r="D19" i="12"/>
  <c r="C19" i="12" s="1"/>
  <c r="AQ9" i="1"/>
  <c r="T9" i="1"/>
  <c r="D9" i="68"/>
  <c r="C9" i="68" s="1"/>
  <c r="S7" i="1"/>
  <c r="T7" i="1" s="1"/>
  <c r="E7" i="70"/>
  <c r="S39" i="40"/>
  <c r="S12" i="33"/>
  <c r="AA12" i="33"/>
  <c r="J32" i="39"/>
  <c r="H107" i="39"/>
  <c r="I107" i="39" s="1"/>
  <c r="J107" i="39" s="1"/>
  <c r="K107" i="39" s="1"/>
  <c r="L107" i="39" s="1"/>
  <c r="M107" i="39" s="1"/>
  <c r="H32" i="39"/>
  <c r="AB32" i="39" s="1"/>
  <c r="S32" i="39"/>
  <c r="S21" i="39"/>
  <c r="AC21" i="39"/>
  <c r="W21" i="39"/>
  <c r="U9" i="35"/>
  <c r="AA9" i="35"/>
  <c r="S9" i="35"/>
  <c r="AC17" i="37"/>
  <c r="S17" i="37"/>
  <c r="J19" i="37"/>
  <c r="AC19" i="37" s="1"/>
  <c r="S19" i="37"/>
  <c r="AA19" i="37"/>
  <c r="AA23" i="37"/>
  <c r="J23" i="37"/>
  <c r="J10" i="37"/>
  <c r="I60" i="37"/>
  <c r="H11" i="37"/>
  <c r="U11" i="37" s="1"/>
  <c r="U10" i="37"/>
  <c r="G70" i="34"/>
  <c r="H11" i="34"/>
  <c r="U11" i="34" s="1"/>
  <c r="U10" i="34"/>
  <c r="J10" i="34"/>
  <c r="I67" i="34"/>
  <c r="AB41" i="33"/>
  <c r="U41" i="33"/>
  <c r="W35" i="33"/>
  <c r="AC35" i="33"/>
  <c r="I111" i="33"/>
  <c r="J111" i="33" s="1"/>
  <c r="K111" i="33"/>
  <c r="L111" i="33" s="1"/>
  <c r="M111" i="33" s="1"/>
  <c r="J36" i="33"/>
  <c r="H36" i="33"/>
  <c r="AB36" i="33" s="1"/>
  <c r="AA36" i="33"/>
  <c r="AC32" i="33"/>
  <c r="W32" i="33"/>
  <c r="AB27" i="33"/>
  <c r="G91" i="33"/>
  <c r="H91" i="33"/>
  <c r="I91" i="33" s="1"/>
  <c r="J91" i="33"/>
  <c r="K91" i="33" s="1"/>
  <c r="L91" i="33" s="1"/>
  <c r="M91" i="33" s="1"/>
  <c r="J27" i="33"/>
  <c r="AC27" i="33" s="1"/>
  <c r="S25" i="33"/>
  <c r="AA25" i="33"/>
  <c r="H87" i="33"/>
  <c r="I87" i="33" s="1"/>
  <c r="J87" i="33" s="1"/>
  <c r="K87" i="33" s="1"/>
  <c r="L87" i="33" s="1"/>
  <c r="M87" i="33" s="1"/>
  <c r="J25" i="33"/>
  <c r="AC25" i="33" s="1"/>
  <c r="U23" i="33"/>
  <c r="F23" i="33"/>
  <c r="G85" i="33"/>
  <c r="H19" i="33"/>
  <c r="U19" i="33" s="1"/>
  <c r="H17" i="33"/>
  <c r="F17" i="33"/>
  <c r="S17" i="33" s="1"/>
  <c r="W17" i="33"/>
  <c r="AC17" i="33"/>
  <c r="AB10" i="33"/>
  <c r="AC10" i="33"/>
  <c r="W10" i="33"/>
  <c r="AC37" i="21"/>
  <c r="U33" i="21"/>
  <c r="S37" i="21"/>
  <c r="AA23" i="21"/>
  <c r="AB15" i="21"/>
  <c r="J23" i="21"/>
  <c r="W23" i="21" s="1"/>
  <c r="F85" i="21"/>
  <c r="G85" i="21"/>
  <c r="H23" i="21"/>
  <c r="S13" i="21"/>
  <c r="J22" i="43"/>
  <c r="I104" i="43"/>
  <c r="D106" i="43"/>
  <c r="AP7" i="1"/>
  <c r="AC33" i="21"/>
  <c r="S33" i="21"/>
  <c r="AA33" i="21"/>
  <c r="AB9" i="21"/>
  <c r="AA32" i="21"/>
  <c r="S32" i="21"/>
  <c r="W9" i="21"/>
  <c r="AC9" i="21"/>
  <c r="AB32" i="21"/>
  <c r="U32" i="21"/>
  <c r="AA10" i="21"/>
  <c r="E6" i="70"/>
  <c r="E2" i="70" s="1"/>
  <c r="U32" i="39"/>
  <c r="AC32" i="39"/>
  <c r="W32" i="39"/>
  <c r="W23" i="37"/>
  <c r="AC23" i="37"/>
  <c r="AB11" i="37"/>
  <c r="J11" i="37"/>
  <c r="W11" i="37" s="1"/>
  <c r="W10" i="37"/>
  <c r="AC10" i="37"/>
  <c r="AB11" i="34"/>
  <c r="AC10" i="34"/>
  <c r="W10" i="34"/>
  <c r="H70" i="34"/>
  <c r="I70" i="34"/>
  <c r="J70" i="34" s="1"/>
  <c r="K70" i="34"/>
  <c r="L70" i="34" s="1"/>
  <c r="M70" i="34" s="1"/>
  <c r="J11" i="34"/>
  <c r="W11" i="34" s="1"/>
  <c r="AC36" i="33"/>
  <c r="W36" i="33"/>
  <c r="U36" i="33"/>
  <c r="W27" i="33"/>
  <c r="W25" i="33"/>
  <c r="AA23" i="33"/>
  <c r="S23" i="33"/>
  <c r="AB19" i="33"/>
  <c r="AA17" i="33"/>
  <c r="U17" i="33"/>
  <c r="AB17" i="33"/>
  <c r="U23" i="21"/>
  <c r="AB23" i="21"/>
  <c r="AC23" i="21"/>
  <c r="R7" i="1"/>
  <c r="F34" i="11"/>
  <c r="F11" i="12"/>
  <c r="F34" i="68"/>
  <c r="R8" i="1"/>
  <c r="AE7" i="1"/>
  <c r="AE8" i="1"/>
  <c r="AG6" i="1"/>
  <c r="H109" i="9"/>
  <c r="D16" i="53"/>
  <c r="B34" i="72" s="1"/>
  <c r="H112" i="9"/>
  <c r="D21" i="53"/>
  <c r="B39" i="72" s="1"/>
  <c r="H111" i="9"/>
  <c r="D126" i="9" s="1"/>
  <c r="D19" i="53"/>
  <c r="B38" i="72" s="1"/>
  <c r="AD3" i="71"/>
  <c r="J1" i="73"/>
  <c r="C77" i="9"/>
  <c r="C74" i="9" s="1"/>
  <c r="H51" i="43"/>
  <c r="M2" i="43"/>
  <c r="N7" i="43"/>
  <c r="N17" i="43"/>
  <c r="L17" i="43"/>
  <c r="O17" i="43"/>
  <c r="M17" i="43"/>
  <c r="E17" i="43"/>
  <c r="E46" i="36"/>
  <c r="F46" i="36" s="1"/>
  <c r="G46" i="36" s="1"/>
  <c r="H46" i="36" s="1"/>
  <c r="I46" i="36" s="1"/>
  <c r="AB19" i="71"/>
  <c r="X17" i="71"/>
  <c r="X16" i="71"/>
  <c r="AA17" i="71"/>
  <c r="AA16" i="71"/>
  <c r="X20" i="71"/>
  <c r="Y16" i="71"/>
  <c r="Z16" i="71" s="1"/>
  <c r="AB17" i="71"/>
  <c r="AB16" i="71"/>
  <c r="C94" i="9"/>
  <c r="Y17" i="71"/>
  <c r="Z17" i="71" s="1"/>
  <c r="X3" i="71"/>
  <c r="E18" i="71"/>
  <c r="E17" i="71"/>
  <c r="E16" i="71" s="1"/>
  <c r="E15" i="71" s="1"/>
  <c r="E14" i="71" s="1"/>
  <c r="E13" i="71" s="1"/>
  <c r="G20" i="43"/>
  <c r="E41" i="43" s="1"/>
  <c r="C41" i="43" s="1"/>
  <c r="V17" i="71"/>
  <c r="E7" i="76"/>
  <c r="F42" i="15"/>
  <c r="M29" i="67"/>
  <c r="E13" i="76"/>
  <c r="E2" i="69"/>
  <c r="D2" i="34"/>
  <c r="F3" i="73"/>
  <c r="M28" i="67"/>
  <c r="F13" i="67"/>
  <c r="F9" i="15"/>
  <c r="E11" i="76"/>
  <c r="D5" i="73"/>
  <c r="F42" i="67"/>
  <c r="B7" i="76"/>
  <c r="B9" i="76"/>
  <c r="B8" i="76"/>
  <c r="E12" i="76"/>
  <c r="AO13" i="1"/>
  <c r="AO12" i="1"/>
  <c r="M24" i="67"/>
  <c r="M29" i="15"/>
  <c r="M8" i="15"/>
  <c r="B12" i="76"/>
  <c r="AO11" i="1"/>
  <c r="F43" i="15"/>
  <c r="F41" i="67"/>
  <c r="F5" i="73"/>
  <c r="F40" i="15"/>
  <c r="AO8" i="1"/>
  <c r="M23" i="67"/>
  <c r="F7" i="67"/>
  <c r="E10" i="76"/>
  <c r="D2" i="33"/>
  <c r="F6" i="73"/>
  <c r="F7" i="15"/>
  <c r="F13" i="15"/>
  <c r="L47" i="15"/>
  <c r="E2" i="68"/>
  <c r="AO7" i="1"/>
  <c r="F16" i="15"/>
  <c r="D4" i="73"/>
  <c r="M9" i="67"/>
  <c r="F9" i="67"/>
  <c r="M27" i="15"/>
  <c r="B11" i="76"/>
  <c r="F43" i="67"/>
  <c r="AO10" i="1"/>
  <c r="M6" i="15"/>
  <c r="F8" i="67"/>
  <c r="D2" i="37"/>
  <c r="J15" i="67"/>
  <c r="F36" i="15"/>
  <c r="F40" i="67"/>
  <c r="F7" i="73"/>
  <c r="D2" i="21"/>
  <c r="F20" i="31"/>
  <c r="F35" i="67"/>
  <c r="F36" i="67"/>
  <c r="F6" i="67"/>
  <c r="D3" i="73"/>
  <c r="M23" i="15"/>
  <c r="M27" i="67"/>
  <c r="F26" i="15"/>
  <c r="M24" i="15"/>
  <c r="M22" i="15"/>
  <c r="D2" i="36"/>
  <c r="F4" i="73"/>
  <c r="L48" i="15"/>
  <c r="F8" i="15"/>
  <c r="F26" i="67"/>
  <c r="M6" i="67"/>
  <c r="E9" i="76"/>
  <c r="M28" i="15"/>
  <c r="M21" i="67"/>
  <c r="L48" i="67"/>
  <c r="F6" i="15"/>
  <c r="M26" i="67"/>
  <c r="B13" i="76"/>
  <c r="C76" i="15"/>
  <c r="F37" i="67"/>
  <c r="E8" i="76"/>
  <c r="J15" i="15"/>
  <c r="D2" i="35"/>
  <c r="F16" i="67"/>
  <c r="M22" i="67"/>
  <c r="M8" i="67"/>
  <c r="M9" i="15"/>
  <c r="L47" i="67"/>
  <c r="F38" i="67"/>
  <c r="D6" i="73"/>
  <c r="M26" i="15"/>
  <c r="F38" i="15"/>
  <c r="B10" i="76"/>
  <c r="AO9" i="1"/>
  <c r="F37" i="15"/>
  <c r="C76" i="67"/>
  <c r="D68" i="39" l="1"/>
  <c r="E68" i="39" s="1"/>
  <c r="C70" i="39"/>
  <c r="C24" i="12"/>
  <c r="C13" i="12"/>
  <c r="S27" i="34"/>
  <c r="H27" i="34"/>
  <c r="AB27" i="34" s="1"/>
  <c r="J27" i="34"/>
  <c r="AC45" i="34"/>
  <c r="AA45" i="34"/>
  <c r="W34" i="34"/>
  <c r="U34" i="34"/>
  <c r="U27" i="34"/>
  <c r="W19" i="34"/>
  <c r="AB17" i="34"/>
  <c r="AC11" i="34"/>
  <c r="AA11" i="34"/>
  <c r="D61" i="43"/>
  <c r="D67" i="43"/>
  <c r="D64" i="43"/>
  <c r="D62" i="43"/>
  <c r="D60" i="43"/>
  <c r="E59" i="43" s="1"/>
  <c r="B57" i="43" s="1"/>
  <c r="C24" i="43" s="1"/>
  <c r="M8" i="43"/>
  <c r="M5" i="43"/>
  <c r="H76" i="43"/>
  <c r="H84" i="43"/>
  <c r="H85" i="43"/>
  <c r="H82" i="43"/>
  <c r="M11" i="43"/>
  <c r="G17" i="43"/>
  <c r="C16" i="43" s="1"/>
  <c r="N2" i="43"/>
  <c r="H48" i="43"/>
  <c r="H54" i="43"/>
  <c r="N11" i="43"/>
  <c r="N3" i="43"/>
  <c r="N6" i="43"/>
  <c r="F59" i="43" s="1"/>
  <c r="H53" i="43"/>
  <c r="M1" i="43"/>
  <c r="P61" i="15"/>
  <c r="M20" i="67"/>
  <c r="F32" i="67"/>
  <c r="F60" i="67" s="1"/>
  <c r="F28" i="15"/>
  <c r="C28" i="15" s="1"/>
  <c r="F28" i="67"/>
  <c r="C28" i="67" s="1"/>
  <c r="F54" i="9"/>
  <c r="F32" i="15"/>
  <c r="F60" i="15" s="1"/>
  <c r="F52" i="9"/>
  <c r="F30" i="68"/>
  <c r="F48" i="68" s="1"/>
  <c r="F48" i="9"/>
  <c r="O52" i="9" s="1"/>
  <c r="C48" i="68"/>
  <c r="D68" i="9"/>
  <c r="M18" i="15"/>
  <c r="F30" i="69"/>
  <c r="F48" i="69" s="1"/>
  <c r="M18" i="67"/>
  <c r="F31" i="12"/>
  <c r="F30" i="11"/>
  <c r="C30" i="11" s="1"/>
  <c r="D22" i="15"/>
  <c r="AR8" i="1"/>
  <c r="AR11" i="1"/>
  <c r="T11" i="1"/>
  <c r="N109" i="43"/>
  <c r="N107" i="43"/>
  <c r="E101" i="43"/>
  <c r="E102" i="43" s="1"/>
  <c r="M101" i="43"/>
  <c r="M106" i="43" s="1"/>
  <c r="H22" i="43"/>
  <c r="K101" i="43"/>
  <c r="AR7" i="1"/>
  <c r="C36" i="69"/>
  <c r="AQ7" i="1"/>
  <c r="M102" i="43"/>
  <c r="T8" i="1"/>
  <c r="M103" i="43"/>
  <c r="E106" i="43"/>
  <c r="O11" i="1"/>
  <c r="P11" i="1" s="1"/>
  <c r="E22" i="43"/>
  <c r="F101" i="43"/>
  <c r="F102" i="43" s="1"/>
  <c r="H49" i="43"/>
  <c r="N4" i="43"/>
  <c r="M6" i="43"/>
  <c r="C6" i="43" s="1"/>
  <c r="N10" i="43"/>
  <c r="N9" i="43"/>
  <c r="M7" i="43"/>
  <c r="M10" i="43"/>
  <c r="N12" i="43"/>
  <c r="M4" i="43"/>
  <c r="M12" i="43"/>
  <c r="M9" i="43"/>
  <c r="N8" i="43"/>
  <c r="M3" i="43"/>
  <c r="G12" i="1"/>
  <c r="C20" i="43"/>
  <c r="D20" i="53"/>
  <c r="B40" i="72" s="1"/>
  <c r="H110" i="9"/>
  <c r="D18" i="53" s="1"/>
  <c r="B35" i="72" s="1"/>
  <c r="I14" i="74"/>
  <c r="B8" i="74" s="1"/>
  <c r="D127" i="9"/>
  <c r="D13" i="52" s="1"/>
  <c r="D12" i="52"/>
  <c r="D70" i="39"/>
  <c r="E12" i="71"/>
  <c r="E11" i="71" s="1"/>
  <c r="E10" i="71" s="1"/>
  <c r="E9" i="71" s="1"/>
  <c r="V13" i="71"/>
  <c r="C48" i="11"/>
  <c r="L27" i="6"/>
  <c r="I109" i="43"/>
  <c r="I102" i="43"/>
  <c r="I106" i="43"/>
  <c r="I103" i="43"/>
  <c r="D109" i="43"/>
  <c r="D103" i="43"/>
  <c r="D104" i="43"/>
  <c r="D107" i="43"/>
  <c r="AZ13" i="3"/>
  <c r="AQ10" i="1"/>
  <c r="AR10" i="1"/>
  <c r="AB12" i="39"/>
  <c r="U12" i="39"/>
  <c r="F104" i="43"/>
  <c r="F105" i="43"/>
  <c r="W39" i="34"/>
  <c r="AC39" i="34"/>
  <c r="S35" i="33"/>
  <c r="AA35" i="33"/>
  <c r="S34" i="33"/>
  <c r="AA34" i="33"/>
  <c r="S27" i="40"/>
  <c r="AA27" i="40"/>
  <c r="U27" i="40"/>
  <c r="AB27" i="40"/>
  <c r="U20" i="35"/>
  <c r="AB20" i="35"/>
  <c r="H73" i="43"/>
  <c r="H75" i="43"/>
  <c r="H78" i="43"/>
  <c r="H72" i="43"/>
  <c r="H62" i="43"/>
  <c r="H64" i="43"/>
  <c r="D8" i="53"/>
  <c r="D120" i="9"/>
  <c r="AB25" i="39"/>
  <c r="U25" i="39"/>
  <c r="AB37" i="39"/>
  <c r="U37" i="39"/>
  <c r="W15" i="37"/>
  <c r="AC15" i="37"/>
  <c r="U31" i="37"/>
  <c r="AB31" i="37"/>
  <c r="AC43" i="33"/>
  <c r="W43" i="33"/>
  <c r="AB32" i="40"/>
  <c r="U32" i="40"/>
  <c r="AC32" i="37"/>
  <c r="W32" i="37"/>
  <c r="AB24" i="35"/>
  <c r="U24" i="35"/>
  <c r="S10" i="35"/>
  <c r="AA10" i="35"/>
  <c r="U41" i="34"/>
  <c r="AB41" i="34"/>
  <c r="S26" i="36"/>
  <c r="AA26" i="36"/>
  <c r="AA42" i="33"/>
  <c r="S42" i="33"/>
  <c r="AC25" i="21"/>
  <c r="W25" i="21"/>
  <c r="S44" i="33"/>
  <c r="AA44" i="33"/>
  <c r="S14" i="33"/>
  <c r="AA14" i="33"/>
  <c r="U37" i="37"/>
  <c r="AB37" i="37"/>
  <c r="U11" i="35"/>
  <c r="AB11" i="35"/>
  <c r="U45" i="33"/>
  <c r="AB45" i="33"/>
  <c r="U29" i="33"/>
  <c r="AB29" i="33"/>
  <c r="AC33" i="37"/>
  <c r="W33" i="37"/>
  <c r="S35" i="37"/>
  <c r="AA35" i="37"/>
  <c r="AC16" i="35"/>
  <c r="W16" i="35"/>
  <c r="AB16" i="36"/>
  <c r="U16" i="36"/>
  <c r="AB30" i="35"/>
  <c r="U30" i="35"/>
  <c r="B70" i="43"/>
  <c r="C15" i="39"/>
  <c r="B77" i="43"/>
  <c r="C25" i="39"/>
  <c r="B67" i="43"/>
  <c r="B73" i="43"/>
  <c r="B52" i="43"/>
  <c r="H28" i="33"/>
  <c r="J28" i="33"/>
  <c r="W8" i="35"/>
  <c r="AC8" i="35"/>
  <c r="J13" i="33"/>
  <c r="H13" i="33"/>
  <c r="J29" i="33"/>
  <c r="F29" i="33"/>
  <c r="F31" i="33"/>
  <c r="H31" i="33"/>
  <c r="F12" i="34"/>
  <c r="H12" i="34"/>
  <c r="J14" i="34"/>
  <c r="H14" i="34"/>
  <c r="H30" i="34"/>
  <c r="J30" i="34"/>
  <c r="F32" i="34"/>
  <c r="J32" i="34"/>
  <c r="J46" i="34"/>
  <c r="F46" i="34"/>
  <c r="U12" i="35"/>
  <c r="AB12" i="35"/>
  <c r="AC11" i="35"/>
  <c r="W11" i="35"/>
  <c r="AB9" i="36"/>
  <c r="U9" i="36"/>
  <c r="AC23" i="36"/>
  <c r="W23" i="36"/>
  <c r="AC28" i="36"/>
  <c r="W28" i="36"/>
  <c r="J9" i="36"/>
  <c r="F9" i="36"/>
  <c r="AB23" i="36"/>
  <c r="U23" i="36"/>
  <c r="H34" i="36"/>
  <c r="J34" i="36"/>
  <c r="H33" i="36"/>
  <c r="F33" i="36"/>
  <c r="S8" i="37"/>
  <c r="AA8" i="37"/>
  <c r="W8" i="37"/>
  <c r="AC8" i="37"/>
  <c r="AA10" i="37"/>
  <c r="S10" i="37"/>
  <c r="AB30" i="37"/>
  <c r="U30" i="37"/>
  <c r="H13" i="37"/>
  <c r="F13" i="37"/>
  <c r="J13" i="37"/>
  <c r="J26" i="37"/>
  <c r="F26" i="37"/>
  <c r="AA8" i="39"/>
  <c r="S8" i="39"/>
  <c r="AC8" i="39"/>
  <c r="W8" i="39"/>
  <c r="AB9" i="39"/>
  <c r="U9" i="39"/>
  <c r="S38" i="34"/>
  <c r="AA38" i="34"/>
  <c r="C79" i="35"/>
  <c r="F26" i="35"/>
  <c r="J26" i="35"/>
  <c r="AZ550" i="3"/>
  <c r="H74" i="43"/>
  <c r="H70" i="43"/>
  <c r="H59" i="43"/>
  <c r="H77" i="43"/>
  <c r="C36" i="11"/>
  <c r="D17" i="53"/>
  <c r="B36" i="72" s="1"/>
  <c r="D124" i="9"/>
  <c r="C23" i="12"/>
  <c r="AC11" i="37"/>
  <c r="W19" i="37"/>
  <c r="W32" i="21"/>
  <c r="D102" i="43"/>
  <c r="D105" i="43"/>
  <c r="I107" i="43"/>
  <c r="W23" i="33"/>
  <c r="AB25" i="33"/>
  <c r="U21" i="39"/>
  <c r="O6" i="1"/>
  <c r="B63" i="43"/>
  <c r="B56" i="43"/>
  <c r="U45" i="21"/>
  <c r="AB45" i="21"/>
  <c r="S28" i="33"/>
  <c r="U32" i="34"/>
  <c r="AA16" i="35"/>
  <c r="T10" i="1"/>
  <c r="E107" i="43"/>
  <c r="E109" i="43"/>
  <c r="M109" i="43"/>
  <c r="M104" i="43"/>
  <c r="M107" i="43"/>
  <c r="M105" i="43"/>
  <c r="G5" i="3"/>
  <c r="B3" i="3" s="1"/>
  <c r="E386" i="3" s="1"/>
  <c r="S19" i="33"/>
  <c r="AA19" i="33"/>
  <c r="S37" i="37"/>
  <c r="W39" i="37"/>
  <c r="S32" i="37"/>
  <c r="AC29" i="37"/>
  <c r="S25" i="37"/>
  <c r="H26" i="35"/>
  <c r="S8" i="35"/>
  <c r="S23" i="35"/>
  <c r="S14" i="36"/>
  <c r="U24" i="36"/>
  <c r="U22" i="36"/>
  <c r="S27" i="36"/>
  <c r="AC13" i="39"/>
  <c r="S30" i="40"/>
  <c r="C31" i="12"/>
  <c r="AR13" i="1"/>
  <c r="T13" i="1"/>
  <c r="P12" i="1"/>
  <c r="N102" i="43"/>
  <c r="N105" i="43"/>
  <c r="N104" i="43"/>
  <c r="K103" i="43"/>
  <c r="K102" i="43"/>
  <c r="K105" i="43"/>
  <c r="Q16" i="1"/>
  <c r="H16" i="1"/>
  <c r="P9" i="1"/>
  <c r="U33" i="34"/>
  <c r="AB33" i="34"/>
  <c r="U27" i="36"/>
  <c r="AB27" i="36"/>
  <c r="AB44" i="34"/>
  <c r="U44" i="34"/>
  <c r="S40" i="34"/>
  <c r="AA40" i="34"/>
  <c r="U34" i="33"/>
  <c r="AB34" i="33"/>
  <c r="S10" i="33"/>
  <c r="AA10" i="33"/>
  <c r="AC30" i="40"/>
  <c r="W30" i="40"/>
  <c r="W20" i="36"/>
  <c r="AC20" i="36"/>
  <c r="H52" i="43"/>
  <c r="H55" i="43"/>
  <c r="G28" i="6"/>
  <c r="G30" i="6" s="1"/>
  <c r="G31" i="6" s="1"/>
  <c r="E375" i="3"/>
  <c r="E341" i="3"/>
  <c r="AZ321" i="3"/>
  <c r="E309" i="3"/>
  <c r="E337" i="3"/>
  <c r="W11" i="39"/>
  <c r="AC11" i="39"/>
  <c r="AC19" i="40"/>
  <c r="W19" i="40"/>
  <c r="AA15" i="37"/>
  <c r="S15" i="37"/>
  <c r="W40" i="37"/>
  <c r="AC45" i="33"/>
  <c r="U43" i="33"/>
  <c r="AA36" i="37"/>
  <c r="S36" i="37"/>
  <c r="AB23" i="37"/>
  <c r="U23" i="37"/>
  <c r="S22" i="36"/>
  <c r="AA22" i="36"/>
  <c r="AB28" i="34"/>
  <c r="U28" i="34"/>
  <c r="U17" i="37"/>
  <c r="AB17" i="37"/>
  <c r="S25" i="21"/>
  <c r="AA25" i="21"/>
  <c r="E515" i="3"/>
  <c r="AZ521" i="3"/>
  <c r="AZ508" i="3"/>
  <c r="AA14" i="34"/>
  <c r="AB13" i="36"/>
  <c r="U13" i="36"/>
  <c r="U11" i="36"/>
  <c r="AB11" i="36"/>
  <c r="W32" i="36"/>
  <c r="AC32" i="36"/>
  <c r="U28" i="36"/>
  <c r="AB28" i="36"/>
  <c r="F11" i="35"/>
  <c r="H46" i="34"/>
  <c r="F30" i="34"/>
  <c r="F45" i="33"/>
  <c r="J31" i="33"/>
  <c r="F13" i="33"/>
  <c r="U26" i="33"/>
  <c r="AB26" i="33"/>
  <c r="AC37" i="34"/>
  <c r="W37" i="34"/>
  <c r="AA42" i="34"/>
  <c r="AB25" i="34"/>
  <c r="U25" i="34"/>
  <c r="W36" i="34"/>
  <c r="AC36" i="34"/>
  <c r="AA17" i="40"/>
  <c r="S17" i="40"/>
  <c r="AA37" i="40"/>
  <c r="S37" i="40"/>
  <c r="AC19" i="39"/>
  <c r="W19" i="39"/>
  <c r="AC34" i="39"/>
  <c r="W34" i="39"/>
  <c r="AB17" i="39"/>
  <c r="U17" i="39"/>
  <c r="S41" i="39"/>
  <c r="AA41" i="39"/>
  <c r="AC12" i="21"/>
  <c r="W12" i="21"/>
  <c r="BL586" i="3"/>
  <c r="BM5" i="3"/>
  <c r="F29" i="6" s="1"/>
  <c r="E29" i="6" s="1"/>
  <c r="K15" i="1" s="1"/>
  <c r="BA586" i="3"/>
  <c r="AZ586" i="3" s="1"/>
  <c r="BB5" i="3"/>
  <c r="E8" i="6" s="1"/>
  <c r="E56" i="39" s="1"/>
  <c r="B113" i="43"/>
  <c r="G101" i="43"/>
  <c r="C101" i="43"/>
  <c r="J101" i="43"/>
  <c r="N104" i="46"/>
  <c r="L101" i="43"/>
  <c r="H101" i="43"/>
  <c r="G22" i="43"/>
  <c r="D22" i="43" s="1"/>
  <c r="AJ11" i="43"/>
  <c r="AJ13" i="43" s="1"/>
  <c r="AH11" i="43"/>
  <c r="AF11" i="43"/>
  <c r="AF13" i="43" s="1"/>
  <c r="AD11" i="43"/>
  <c r="AB11" i="43"/>
  <c r="AB13" i="43" s="1"/>
  <c r="Z11" i="43"/>
  <c r="Z7" i="43"/>
  <c r="AI11" i="43"/>
  <c r="AI13" i="43" s="1"/>
  <c r="AG11" i="43"/>
  <c r="AE11" i="43"/>
  <c r="AE13" i="43" s="1"/>
  <c r="AC11" i="43"/>
  <c r="AA11" i="43"/>
  <c r="AA13" i="43" s="1"/>
  <c r="Y11" i="43"/>
  <c r="Y13" i="43" s="1"/>
  <c r="W27" i="21"/>
  <c r="AC27" i="21"/>
  <c r="H28" i="21"/>
  <c r="F28" i="21"/>
  <c r="J28" i="21"/>
  <c r="H31" i="21"/>
  <c r="J31" i="21"/>
  <c r="F31" i="21"/>
  <c r="AB40" i="33"/>
  <c r="U40" i="33"/>
  <c r="U8" i="34"/>
  <c r="AB8" i="34"/>
  <c r="AA9" i="34"/>
  <c r="S9" i="34"/>
  <c r="J12" i="34"/>
  <c r="J12" i="35"/>
  <c r="AB31" i="35"/>
  <c r="AC24" i="35"/>
  <c r="W24" i="35"/>
  <c r="J34" i="35"/>
  <c r="H34" i="35"/>
  <c r="F34" i="35"/>
  <c r="AC22" i="35"/>
  <c r="W22" i="35"/>
  <c r="U27" i="35"/>
  <c r="AB27" i="35"/>
  <c r="F23" i="36"/>
  <c r="F13" i="36"/>
  <c r="J13" i="36"/>
  <c r="H26" i="37"/>
  <c r="S40" i="33"/>
  <c r="AA40" i="33"/>
  <c r="AZ511" i="3"/>
  <c r="AZ515" i="3"/>
  <c r="AZ519" i="3"/>
  <c r="AZ565" i="3"/>
  <c r="AZ569" i="3"/>
  <c r="AZ573" i="3"/>
  <c r="AZ577" i="3"/>
  <c r="AZ583" i="3"/>
  <c r="AZ548" i="3"/>
  <c r="AZ558" i="3"/>
  <c r="AA11" i="36"/>
  <c r="S11" i="36"/>
  <c r="AA26" i="33"/>
  <c r="S26" i="33"/>
  <c r="BL585" i="3"/>
  <c r="AZ585" i="3" s="1"/>
  <c r="J14" i="21"/>
  <c r="F14" i="21"/>
  <c r="H14" i="21"/>
  <c r="H30" i="21"/>
  <c r="F30" i="21"/>
  <c r="J30" i="21"/>
  <c r="J45" i="21"/>
  <c r="F45" i="21"/>
  <c r="B71" i="43"/>
  <c r="C21" i="39"/>
  <c r="AC40" i="33"/>
  <c r="W40" i="33"/>
  <c r="J9" i="34"/>
  <c r="H9" i="34"/>
  <c r="F28" i="34"/>
  <c r="J28" i="34"/>
  <c r="AB8" i="35"/>
  <c r="U8" i="35"/>
  <c r="AC28" i="35"/>
  <c r="W28" i="35"/>
  <c r="H36" i="35"/>
  <c r="J36" i="35"/>
  <c r="U8" i="36"/>
  <c r="AB8" i="36"/>
  <c r="J25" i="36"/>
  <c r="F25" i="36"/>
  <c r="H25" i="36"/>
  <c r="AC25" i="37"/>
  <c r="W25" i="37"/>
  <c r="AC31" i="37"/>
  <c r="W31" i="37"/>
  <c r="AB14" i="37"/>
  <c r="U14" i="37"/>
  <c r="F28" i="37"/>
  <c r="J28" i="37"/>
  <c r="H28" i="37"/>
  <c r="H38" i="37"/>
  <c r="J38" i="37"/>
  <c r="F38" i="37"/>
  <c r="U8" i="39"/>
  <c r="AB8" i="39"/>
  <c r="AA40" i="39"/>
  <c r="S40" i="39"/>
  <c r="H44" i="39"/>
  <c r="J44" i="39"/>
  <c r="J37" i="39"/>
  <c r="F37" i="39"/>
  <c r="AC8" i="40"/>
  <c r="W8" i="40"/>
  <c r="AB34" i="40"/>
  <c r="U34" i="40"/>
  <c r="AB40" i="40"/>
  <c r="U40" i="40"/>
  <c r="H13" i="40"/>
  <c r="J13" i="40"/>
  <c r="F13" i="40"/>
  <c r="AC32" i="40"/>
  <c r="W32" i="40"/>
  <c r="AZ399" i="3"/>
  <c r="AZ404" i="3"/>
  <c r="AZ411" i="3"/>
  <c r="AZ414" i="3"/>
  <c r="AZ421" i="3"/>
  <c r="AZ423" i="3"/>
  <c r="AZ427" i="3"/>
  <c r="AZ430" i="3"/>
  <c r="AZ444" i="3"/>
  <c r="AZ456" i="3"/>
  <c r="AZ466" i="3"/>
  <c r="AZ472" i="3"/>
  <c r="AZ475" i="3"/>
  <c r="AZ479" i="3"/>
  <c r="AZ485" i="3"/>
  <c r="AZ385" i="3"/>
  <c r="AZ210" i="3"/>
  <c r="AZ225" i="3"/>
  <c r="AZ239" i="3"/>
  <c r="AZ264" i="3"/>
  <c r="AZ153" i="3"/>
  <c r="AZ274" i="3"/>
  <c r="AZ285" i="3"/>
  <c r="AZ293" i="3"/>
  <c r="AZ298" i="3"/>
  <c r="AZ301" i="3"/>
  <c r="AZ122" i="3"/>
  <c r="AZ125" i="3"/>
  <c r="AZ22" i="3"/>
  <c r="AZ54" i="3"/>
  <c r="AZ57" i="3"/>
  <c r="AZ70" i="3"/>
  <c r="AZ108" i="3"/>
  <c r="F3" i="35"/>
  <c r="F40" i="69"/>
  <c r="C21" i="69"/>
  <c r="AA21" i="33"/>
  <c r="D24" i="67"/>
  <c r="D22" i="67"/>
  <c r="AA5" i="71"/>
  <c r="AB5" i="71"/>
  <c r="X5" i="71"/>
  <c r="Y5" i="71"/>
  <c r="Z5" i="71" s="1"/>
  <c r="S18" i="36"/>
  <c r="AB24" i="71"/>
  <c r="E27" i="71"/>
  <c r="E28" i="71" s="1"/>
  <c r="E29" i="71" s="1"/>
  <c r="U29" i="71" s="1"/>
  <c r="AA26" i="71"/>
  <c r="X21" i="71"/>
  <c r="X6" i="71"/>
  <c r="X7" i="71"/>
  <c r="AB7" i="71"/>
  <c r="AB6" i="71"/>
  <c r="AC12" i="43"/>
  <c r="AC13" i="43" s="1"/>
  <c r="AC10" i="43"/>
  <c r="AG12" i="43"/>
  <c r="AG13" i="43" s="1"/>
  <c r="AG10" i="43"/>
  <c r="Y18" i="71"/>
  <c r="Z18" i="71" s="1"/>
  <c r="Y19" i="71"/>
  <c r="Z19" i="71" s="1"/>
  <c r="Y20" i="71"/>
  <c r="Z20" i="71" s="1"/>
  <c r="C21" i="71"/>
  <c r="AB18" i="71"/>
  <c r="AB20" i="71"/>
  <c r="AB21" i="71"/>
  <c r="X18" i="71"/>
  <c r="Y15" i="71"/>
  <c r="Z15" i="71" s="1"/>
  <c r="X14" i="71"/>
  <c r="Y14" i="71"/>
  <c r="Z14" i="71" s="1"/>
  <c r="AA14" i="71"/>
  <c r="AB15" i="71"/>
  <c r="Y11" i="71"/>
  <c r="Z11" i="71" s="1"/>
  <c r="X36" i="71"/>
  <c r="Y6" i="71"/>
  <c r="Z6" i="71" s="1"/>
  <c r="Y7" i="71"/>
  <c r="Z7" i="71" s="1"/>
  <c r="AA6" i="71"/>
  <c r="AA7" i="71"/>
  <c r="AB36" i="71"/>
  <c r="B64" i="71"/>
  <c r="AE10" i="43"/>
  <c r="Z12" i="43"/>
  <c r="Z10" i="43"/>
  <c r="AD12" i="43"/>
  <c r="AD10" i="43"/>
  <c r="AH12" i="43"/>
  <c r="AH10" i="43"/>
  <c r="Y21" i="71"/>
  <c r="Z21" i="71" s="1"/>
  <c r="F21" i="71"/>
  <c r="F20" i="71" s="1"/>
  <c r="F19" i="71" s="1"/>
  <c r="F18" i="71" s="1"/>
  <c r="F17" i="71" s="1"/>
  <c r="F16" i="71" s="1"/>
  <c r="F15" i="71" s="1"/>
  <c r="F14" i="71" s="1"/>
  <c r="AA19" i="71"/>
  <c r="AA20" i="71"/>
  <c r="AA21" i="71"/>
  <c r="X19" i="71"/>
  <c r="B21" i="71"/>
  <c r="AA18" i="71"/>
  <c r="X15" i="71"/>
  <c r="AA15" i="71"/>
  <c r="X10" i="71"/>
  <c r="AA11" i="71"/>
  <c r="AB14" i="71"/>
  <c r="AB12" i="71"/>
  <c r="AB8" i="71"/>
  <c r="AB11" i="71"/>
  <c r="Y9" i="71"/>
  <c r="Z9" i="71" s="1"/>
  <c r="Y10" i="71"/>
  <c r="Z10" i="71" s="1"/>
  <c r="AA8" i="71"/>
  <c r="AA10" i="71"/>
  <c r="X9" i="71"/>
  <c r="X12" i="71"/>
  <c r="AA12" i="71"/>
  <c r="AB9" i="71"/>
  <c r="AB10" i="71"/>
  <c r="Y8" i="71"/>
  <c r="Z8" i="71" s="1"/>
  <c r="AA9" i="71"/>
  <c r="X8" i="71"/>
  <c r="C19" i="43" s="1"/>
  <c r="X11" i="7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D7" i="73"/>
  <c r="G1" i="73"/>
  <c r="C14" i="67"/>
  <c r="C14" i="15"/>
  <c r="C16" i="15"/>
  <c r="C17" i="67"/>
  <c r="C17" i="15"/>
  <c r="F7" i="36" l="1"/>
  <c r="J7" i="37"/>
  <c r="H7" i="36"/>
  <c r="H7" i="34"/>
  <c r="F7" i="34"/>
  <c r="AC27" i="34"/>
  <c r="W27" i="34"/>
  <c r="C5" i="43"/>
  <c r="D5" i="43"/>
  <c r="C38" i="43" s="1"/>
  <c r="T11" i="43"/>
  <c r="V11" i="43" s="1"/>
  <c r="T14" i="43"/>
  <c r="V14" i="43" s="1"/>
  <c r="T9" i="43"/>
  <c r="V9" i="43" s="1"/>
  <c r="T10" i="43"/>
  <c r="V10" i="43" s="1"/>
  <c r="T13" i="43"/>
  <c r="V13" i="43" s="1"/>
  <c r="H63" i="43"/>
  <c r="H60" i="43"/>
  <c r="H65" i="43"/>
  <c r="H61" i="43"/>
  <c r="H66" i="43"/>
  <c r="H67" i="43"/>
  <c r="C48" i="69"/>
  <c r="C30" i="68"/>
  <c r="C30" i="69"/>
  <c r="E105" i="43"/>
  <c r="E104" i="43"/>
  <c r="E103" i="43"/>
  <c r="K104" i="43"/>
  <c r="K109" i="43"/>
  <c r="K107" i="43"/>
  <c r="K106" i="43"/>
  <c r="C18" i="15"/>
  <c r="C15" i="15"/>
  <c r="AH13" i="43"/>
  <c r="AD13" i="43"/>
  <c r="Z13" i="43"/>
  <c r="E546" i="3"/>
  <c r="E177" i="3"/>
  <c r="F27" i="6"/>
  <c r="F107" i="43"/>
  <c r="E51" i="40"/>
  <c r="J10" i="39"/>
  <c r="W10" i="39" s="1"/>
  <c r="H10" i="40"/>
  <c r="F109" i="43"/>
  <c r="F106" i="43"/>
  <c r="F103" i="43"/>
  <c r="T12" i="43"/>
  <c r="V12" i="43" s="1"/>
  <c r="C34" i="43"/>
  <c r="G34" i="43" s="1"/>
  <c r="I34" i="43" s="1"/>
  <c r="H10" i="39"/>
  <c r="AB10" i="39" s="1"/>
  <c r="J10" i="40"/>
  <c r="AC10" i="40" s="1"/>
  <c r="F10" i="40"/>
  <c r="AA10" i="40" s="1"/>
  <c r="C20" i="71"/>
  <c r="D21" i="71"/>
  <c r="U21" i="71" s="1"/>
  <c r="T21" i="71"/>
  <c r="AA13" i="40"/>
  <c r="S13" i="40"/>
  <c r="U13" i="40"/>
  <c r="AB13" i="40"/>
  <c r="W37" i="39"/>
  <c r="AC37" i="39"/>
  <c r="AB44" i="39"/>
  <c r="U44" i="39"/>
  <c r="AC38" i="37"/>
  <c r="W38" i="37"/>
  <c r="AB28" i="37"/>
  <c r="U28" i="37"/>
  <c r="AA28" i="37"/>
  <c r="S28" i="37"/>
  <c r="S25" i="36"/>
  <c r="AA25" i="36"/>
  <c r="W36" i="35"/>
  <c r="AC36" i="35"/>
  <c r="AC28" i="34"/>
  <c r="W28" i="34"/>
  <c r="U9" i="34"/>
  <c r="AB9" i="34"/>
  <c r="S45" i="21"/>
  <c r="AA45" i="21"/>
  <c r="AC30" i="21"/>
  <c r="W30" i="21"/>
  <c r="AB30" i="21"/>
  <c r="U30" i="21"/>
  <c r="S14" i="21"/>
  <c r="AA14" i="21"/>
  <c r="AC13" i="36"/>
  <c r="W13" i="36"/>
  <c r="AA23" i="36"/>
  <c r="S23" i="36"/>
  <c r="AB34" i="35"/>
  <c r="U34" i="35"/>
  <c r="W12" i="34"/>
  <c r="AC12" i="34"/>
  <c r="W31" i="21"/>
  <c r="AC31" i="21"/>
  <c r="AC28" i="21"/>
  <c r="W28" i="21"/>
  <c r="AB28" i="21"/>
  <c r="U28" i="21"/>
  <c r="L102" i="43"/>
  <c r="L105" i="43"/>
  <c r="L104" i="43"/>
  <c r="L109" i="43"/>
  <c r="L107" i="43"/>
  <c r="L106" i="43"/>
  <c r="L103" i="43"/>
  <c r="J107" i="43"/>
  <c r="J102" i="43"/>
  <c r="J104" i="43"/>
  <c r="J106" i="43"/>
  <c r="J105" i="43"/>
  <c r="J103" i="43"/>
  <c r="J109" i="43"/>
  <c r="G107" i="43"/>
  <c r="G104" i="43"/>
  <c r="G106" i="43"/>
  <c r="G109" i="43"/>
  <c r="G105" i="43"/>
  <c r="G102" i="43"/>
  <c r="G103" i="43"/>
  <c r="E12" i="6"/>
  <c r="E13" i="6"/>
  <c r="E10" i="6"/>
  <c r="E14" i="6"/>
  <c r="E15" i="6"/>
  <c r="E11" i="6"/>
  <c r="W31" i="33"/>
  <c r="AC31" i="33"/>
  <c r="S30" i="34"/>
  <c r="AA30" i="34"/>
  <c r="S11" i="35"/>
  <c r="AA11" i="35"/>
  <c r="F28" i="12"/>
  <c r="C29" i="12" s="1"/>
  <c r="D28" i="12" s="1"/>
  <c r="F27" i="11"/>
  <c r="F27" i="69"/>
  <c r="F27" i="68"/>
  <c r="U26" i="35"/>
  <c r="AB26" i="35"/>
  <c r="E69" i="3"/>
  <c r="E237" i="3"/>
  <c r="E114" i="3"/>
  <c r="E261" i="3"/>
  <c r="E278" i="3"/>
  <c r="E415" i="3"/>
  <c r="E528" i="3"/>
  <c r="E563" i="3"/>
  <c r="E565" i="3"/>
  <c r="E395" i="3"/>
  <c r="E183" i="3"/>
  <c r="E172" i="3"/>
  <c r="E213" i="3"/>
  <c r="E260" i="3"/>
  <c r="E361" i="3"/>
  <c r="E445" i="3"/>
  <c r="E550" i="3"/>
  <c r="E503" i="3"/>
  <c r="E535" i="3"/>
  <c r="E302" i="3"/>
  <c r="E239" i="3"/>
  <c r="O6" i="3"/>
  <c r="E516" i="3"/>
  <c r="E555" i="3"/>
  <c r="E579" i="3"/>
  <c r="E574" i="3"/>
  <c r="E569" i="3"/>
  <c r="E410" i="3"/>
  <c r="E431" i="3"/>
  <c r="E396" i="3"/>
  <c r="E247" i="3"/>
  <c r="E285" i="3"/>
  <c r="E229" i="3"/>
  <c r="E143" i="3"/>
  <c r="E201" i="3"/>
  <c r="E97" i="3"/>
  <c r="E151" i="3"/>
  <c r="E397" i="3"/>
  <c r="E353" i="3"/>
  <c r="E314" i="3"/>
  <c r="E385" i="3"/>
  <c r="E568" i="3"/>
  <c r="E495" i="3"/>
  <c r="E518" i="3"/>
  <c r="I6" i="3"/>
  <c r="AN6" i="3"/>
  <c r="AI6" i="3"/>
  <c r="E536" i="3"/>
  <c r="E586" i="3"/>
  <c r="AK6" i="3"/>
  <c r="E578" i="3"/>
  <c r="E549" i="3"/>
  <c r="E402" i="3"/>
  <c r="E434"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E575" i="3"/>
  <c r="E576" i="3"/>
  <c r="AD6" i="3"/>
  <c r="E585" i="3"/>
  <c r="E499" i="3"/>
  <c r="Z6" i="3"/>
  <c r="E542" i="3"/>
  <c r="U6" i="3"/>
  <c r="R6" i="3"/>
  <c r="AG6" i="3"/>
  <c r="AO6" i="3"/>
  <c r="E442" i="3"/>
  <c r="E448" i="3"/>
  <c r="E464" i="3"/>
  <c r="E478" i="3"/>
  <c r="E485" i="3"/>
  <c r="E487" i="3"/>
  <c r="E548" i="3"/>
  <c r="E541" i="3"/>
  <c r="P6" i="3"/>
  <c r="E398" i="3"/>
  <c r="E400" i="3"/>
  <c r="E416" i="3"/>
  <c r="E432" i="3"/>
  <c r="E449" i="3"/>
  <c r="E443" i="3"/>
  <c r="E459" i="3"/>
  <c r="E477" i="3"/>
  <c r="E255" i="3"/>
  <c r="E345" i="3"/>
  <c r="E374" i="3"/>
  <c r="E367" i="3"/>
  <c r="I3" i="6"/>
  <c r="E558" i="3"/>
  <c r="E505" i="3"/>
  <c r="AP6" i="3"/>
  <c r="E557" i="3"/>
  <c r="E500" i="3"/>
  <c r="E554" i="3"/>
  <c r="E581" i="3"/>
  <c r="AS6" i="3"/>
  <c r="E517" i="3"/>
  <c r="E531" i="3"/>
  <c r="E413" i="3"/>
  <c r="E403" i="3"/>
  <c r="E460" i="3"/>
  <c r="E476" i="3"/>
  <c r="E491" i="3"/>
  <c r="E489" i="3"/>
  <c r="E520" i="3"/>
  <c r="E417"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217" i="3"/>
  <c r="E366" i="3"/>
  <c r="E526" i="3"/>
  <c r="E268" i="3"/>
  <c r="E282" i="3"/>
  <c r="E322" i="3"/>
  <c r="N6" i="3"/>
  <c r="AJ6" i="3"/>
  <c r="E347" i="3"/>
  <c r="E583" i="3"/>
  <c r="AA6" i="3"/>
  <c r="X6" i="3"/>
  <c r="E336" i="3"/>
  <c r="E280" i="3"/>
  <c r="E246" i="3"/>
  <c r="E124" i="3"/>
  <c r="E293" i="3"/>
  <c r="E270" i="3"/>
  <c r="E533" i="3"/>
  <c r="S6" i="3"/>
  <c r="AR6" i="3"/>
  <c r="E523" i="3"/>
  <c r="E561" i="3"/>
  <c r="E506"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405" i="3"/>
  <c r="E486" i="3"/>
  <c r="E469" i="3"/>
  <c r="E507" i="3"/>
  <c r="E512" i="3"/>
  <c r="E422" i="3"/>
  <c r="E408" i="3"/>
  <c r="E451" i="3"/>
  <c r="E490" i="3"/>
  <c r="E360" i="3"/>
  <c r="E376" i="3"/>
  <c r="E556" i="3"/>
  <c r="AH6" i="3"/>
  <c r="E497" i="3"/>
  <c r="J6" i="3"/>
  <c r="E13" i="3"/>
  <c r="E498" i="3"/>
  <c r="E494"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33" i="3"/>
  <c r="E356" i="3"/>
  <c r="E372" i="3"/>
  <c r="AL6" i="3"/>
  <c r="L6" i="3"/>
  <c r="E42" i="3"/>
  <c r="E60" i="3"/>
  <c r="E94" i="3"/>
  <c r="E43" i="3"/>
  <c r="E488" i="3"/>
  <c r="E428" i="3"/>
  <c r="E482" i="3"/>
  <c r="E412" i="3"/>
  <c r="E18" i="3"/>
  <c r="E96"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10" i="52"/>
  <c r="D125" i="9"/>
  <c r="D11" i="52" s="1"/>
  <c r="H14" i="74"/>
  <c r="B7" i="74" s="1"/>
  <c r="E466" i="3"/>
  <c r="E435" i="3"/>
  <c r="E423" i="3"/>
  <c r="E414" i="3"/>
  <c r="E404" i="3"/>
  <c r="E552" i="3"/>
  <c r="E582" i="3"/>
  <c r="S26" i="35"/>
  <c r="AA26" i="35"/>
  <c r="AA26" i="37"/>
  <c r="S26" i="37"/>
  <c r="W13" i="37"/>
  <c r="AC13" i="37"/>
  <c r="AB13" i="37"/>
  <c r="U13" i="37"/>
  <c r="AB33" i="36"/>
  <c r="U33" i="36"/>
  <c r="AB34" i="36"/>
  <c r="U34" i="36"/>
  <c r="AC9" i="36"/>
  <c r="W9" i="36"/>
  <c r="AC46" i="34"/>
  <c r="W46" i="34"/>
  <c r="AA32" i="34"/>
  <c r="S32" i="34"/>
  <c r="AB30" i="34"/>
  <c r="U30" i="34"/>
  <c r="W14" i="34"/>
  <c r="AC14" i="34"/>
  <c r="AA12" i="34"/>
  <c r="S12" i="34"/>
  <c r="AA31" i="33"/>
  <c r="S31" i="33"/>
  <c r="AC29" i="33"/>
  <c r="W29" i="33"/>
  <c r="AC13" i="33"/>
  <c r="W13" i="33"/>
  <c r="U28" i="33"/>
  <c r="AB28" i="33"/>
  <c r="E547" i="3"/>
  <c r="E310" i="3"/>
  <c r="E379" i="3"/>
  <c r="E157" i="3"/>
  <c r="E317" i="3"/>
  <c r="E304" i="3"/>
  <c r="E359" i="3"/>
  <c r="E28" i="6"/>
  <c r="E502" i="3"/>
  <c r="E509" i="3"/>
  <c r="AZ5" i="3"/>
  <c r="E8" i="71"/>
  <c r="E7" i="71" s="1"/>
  <c r="E6" i="71" s="1"/>
  <c r="E5" i="71" s="1"/>
  <c r="V9" i="71"/>
  <c r="F68" i="39"/>
  <c r="E70" i="39"/>
  <c r="E456" i="3"/>
  <c r="E427" i="3"/>
  <c r="E399" i="3"/>
  <c r="E553" i="3"/>
  <c r="E321" i="3"/>
  <c r="E125" i="3"/>
  <c r="E161" i="3"/>
  <c r="BL5" i="3"/>
  <c r="B20" i="71"/>
  <c r="B19" i="71" s="1"/>
  <c r="B18" i="71" s="1"/>
  <c r="B17" i="71" s="1"/>
  <c r="S21" i="71"/>
  <c r="B63" i="71"/>
  <c r="N64" i="71"/>
  <c r="W13" i="40"/>
  <c r="AC13" i="40"/>
  <c r="AA37" i="39"/>
  <c r="S37" i="39"/>
  <c r="W44" i="39"/>
  <c r="AC44" i="39"/>
  <c r="S38" i="37"/>
  <c r="AA38" i="37"/>
  <c r="AB38" i="37"/>
  <c r="U38" i="37"/>
  <c r="AC28" i="37"/>
  <c r="W28" i="37"/>
  <c r="AB25" i="36"/>
  <c r="U25" i="36"/>
  <c r="AC25" i="36"/>
  <c r="W25" i="36"/>
  <c r="AB36" i="35"/>
  <c r="U36" i="35"/>
  <c r="S28" i="34"/>
  <c r="AA28" i="34"/>
  <c r="W9" i="34"/>
  <c r="AC9" i="34"/>
  <c r="AC45" i="21"/>
  <c r="W45" i="21"/>
  <c r="S30" i="21"/>
  <c r="AA30" i="21"/>
  <c r="AB14" i="21"/>
  <c r="U14" i="21"/>
  <c r="AC14" i="21"/>
  <c r="W14" i="21"/>
  <c r="AB26" i="37"/>
  <c r="U26" i="37"/>
  <c r="AA13" i="36"/>
  <c r="S13" i="36"/>
  <c r="S34" i="35"/>
  <c r="AA34" i="35"/>
  <c r="W34" i="35"/>
  <c r="AC34" i="35"/>
  <c r="W12" i="35"/>
  <c r="AC12" i="35"/>
  <c r="S31" i="21"/>
  <c r="AA31" i="21"/>
  <c r="AB31" i="21"/>
  <c r="U31" i="21"/>
  <c r="AA28" i="21"/>
  <c r="S28" i="21"/>
  <c r="H107" i="43"/>
  <c r="H106" i="43"/>
  <c r="H105" i="43"/>
  <c r="H102" i="43"/>
  <c r="H104" i="43"/>
  <c r="H109" i="43"/>
  <c r="H103" i="43"/>
  <c r="C107" i="43"/>
  <c r="C103" i="43"/>
  <c r="C109" i="43"/>
  <c r="C105" i="43"/>
  <c r="C102" i="43"/>
  <c r="C104" i="43"/>
  <c r="C106"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B115" i="43"/>
  <c r="D117" i="43"/>
  <c r="E117" i="43" s="1"/>
  <c r="F117" i="43" s="1"/>
  <c r="G117" i="43" s="1"/>
  <c r="H117" i="43" s="1"/>
  <c r="D118" i="43"/>
  <c r="E118" i="43" s="1"/>
  <c r="F118" i="43" s="1"/>
  <c r="S13" i="33"/>
  <c r="AA13" i="33"/>
  <c r="AA45" i="33"/>
  <c r="S45" i="33"/>
  <c r="U46" i="34"/>
  <c r="AB46" i="34"/>
  <c r="E511" i="3"/>
  <c r="E303" i="3"/>
  <c r="E173" i="3"/>
  <c r="E16" i="3"/>
  <c r="E368" i="3"/>
  <c r="E348" i="3"/>
  <c r="BA5" i="3"/>
  <c r="E27" i="6" s="1"/>
  <c r="P6" i="1"/>
  <c r="E444" i="3"/>
  <c r="E430" i="3"/>
  <c r="E421" i="3"/>
  <c r="E411" i="3"/>
  <c r="E566" i="3"/>
  <c r="W26" i="35"/>
  <c r="AC26" i="35"/>
  <c r="AC26" i="37"/>
  <c r="W26" i="37"/>
  <c r="AA13" i="37"/>
  <c r="S13" i="37"/>
  <c r="S33" i="36"/>
  <c r="AA33" i="36"/>
  <c r="W34" i="36"/>
  <c r="AC34" i="36"/>
  <c r="AA9" i="36"/>
  <c r="S9" i="36"/>
  <c r="AA46" i="34"/>
  <c r="S46" i="34"/>
  <c r="W32" i="34"/>
  <c r="AC32" i="34"/>
  <c r="W30" i="34"/>
  <c r="AC30" i="34"/>
  <c r="AB14" i="34"/>
  <c r="U14" i="34"/>
  <c r="U12" i="34"/>
  <c r="AB12" i="34"/>
  <c r="AB31" i="33"/>
  <c r="U31" i="33"/>
  <c r="S29" i="33"/>
  <c r="AA29" i="33"/>
  <c r="AB13" i="33"/>
  <c r="U13" i="33"/>
  <c r="W28" i="33"/>
  <c r="AC28" i="33"/>
  <c r="D121" i="9"/>
  <c r="D7" i="52" s="1"/>
  <c r="D6" i="52"/>
  <c r="E377" i="3"/>
  <c r="E388" i="3"/>
  <c r="E193" i="3"/>
  <c r="E350" i="3"/>
  <c r="E312" i="3"/>
  <c r="E363" i="3"/>
  <c r="F30" i="6"/>
  <c r="F31" i="6" s="1"/>
  <c r="E17" i="3"/>
  <c r="E391" i="3"/>
  <c r="E440" i="3"/>
  <c r="E419" i="3"/>
  <c r="E543" i="3"/>
  <c r="E390" i="3"/>
  <c r="E129" i="3"/>
  <c r="E538" i="3"/>
  <c r="T8" i="43"/>
  <c r="V8" i="43" s="1"/>
  <c r="T16" i="43"/>
  <c r="V16" i="43" s="1"/>
  <c r="T15" i="43"/>
  <c r="V15" i="43" s="1"/>
  <c r="F59" i="67"/>
  <c r="H7" i="37"/>
  <c r="AB7" i="37" s="1"/>
  <c r="T42" i="37" s="1"/>
  <c r="G42" i="37" s="1"/>
  <c r="B40" i="1"/>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8" i="43" l="1"/>
  <c r="I38" i="43" s="1"/>
  <c r="E38" i="43"/>
  <c r="C36" i="43"/>
  <c r="C33" i="43"/>
  <c r="C37" i="43"/>
  <c r="C39" i="43"/>
  <c r="C35" i="43"/>
  <c r="E34" i="43"/>
  <c r="C19" i="15"/>
  <c r="C20" i="15" s="1"/>
  <c r="C26" i="15" s="1"/>
  <c r="S10" i="40"/>
  <c r="U10" i="39"/>
  <c r="AC10" i="39"/>
  <c r="AC6" i="3"/>
  <c r="H6" i="3"/>
  <c r="S6" i="43"/>
  <c r="T6" i="43" s="1"/>
  <c r="V6" i="43" s="1"/>
  <c r="S5" i="43"/>
  <c r="T5" i="43" s="1"/>
  <c r="V5" i="43" s="1"/>
  <c r="S3" i="43"/>
  <c r="T3" i="43" s="1"/>
  <c r="V3" i="43" s="1"/>
  <c r="S4" i="43"/>
  <c r="T4" i="43" s="1"/>
  <c r="V4" i="43" s="1"/>
  <c r="S2" i="43"/>
  <c r="T2" i="43" s="1"/>
  <c r="V2" i="43" s="1"/>
  <c r="C23" i="43"/>
  <c r="C21" i="43" s="1"/>
  <c r="C29" i="43" s="1"/>
  <c r="C30" i="43" s="1"/>
  <c r="E30" i="43" s="1"/>
  <c r="S7" i="43"/>
  <c r="T7" i="43" s="1"/>
  <c r="V7" i="43" s="1"/>
  <c r="E29" i="43"/>
  <c r="U7" i="37"/>
  <c r="C115" i="43"/>
  <c r="D113" i="43" s="1"/>
  <c r="N62" i="71"/>
  <c r="N63" i="71"/>
  <c r="B16" i="71"/>
  <c r="B15" i="71" s="1"/>
  <c r="B14" i="71" s="1"/>
  <c r="B13" i="71" s="1"/>
  <c r="S17" i="71"/>
  <c r="F70" i="39"/>
  <c r="G68" i="39"/>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26" i="6"/>
  <c r="M26" i="6" s="1"/>
  <c r="I26" i="6" s="1"/>
  <c r="S26" i="6" s="1"/>
  <c r="K19" i="6"/>
  <c r="S6" i="1" s="1"/>
  <c r="F45" i="68"/>
  <c r="C29" i="68"/>
  <c r="D27" i="68" s="1"/>
  <c r="C47" i="68"/>
  <c r="D45" i="68" s="1"/>
  <c r="C47" i="11"/>
  <c r="D45" i="11" s="1"/>
  <c r="C29" i="11"/>
  <c r="D27" i="11" s="1"/>
  <c r="E61" i="39"/>
  <c r="E56" i="40"/>
  <c r="E64" i="39"/>
  <c r="E59" i="40"/>
  <c r="E58" i="40"/>
  <c r="E63" i="39"/>
  <c r="AY6" i="3"/>
  <c r="E3" i="6"/>
  <c r="E6" i="3"/>
  <c r="F45" i="69"/>
  <c r="C47" i="69"/>
  <c r="D45" i="69" s="1"/>
  <c r="C29" i="69"/>
  <c r="D27" i="69" s="1"/>
  <c r="E60" i="40"/>
  <c r="E65" i="39"/>
  <c r="E16" i="6"/>
  <c r="E62" i="39"/>
  <c r="E57" i="40"/>
  <c r="C19" i="71"/>
  <c r="D20"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33" i="43"/>
  <c r="G33" i="43"/>
  <c r="I33" i="43" s="1"/>
  <c r="E36" i="43"/>
  <c r="G36" i="43"/>
  <c r="I36" i="43" s="1"/>
  <c r="G39" i="43"/>
  <c r="I39" i="43" s="1"/>
  <c r="E39" i="43"/>
  <c r="E35" i="43"/>
  <c r="G35" i="43"/>
  <c r="I35" i="43" s="1"/>
  <c r="E37" i="43"/>
  <c r="G37" i="43"/>
  <c r="I37" i="43" s="1"/>
  <c r="AQ6" i="1"/>
  <c r="S16" i="1"/>
  <c r="T6" i="1"/>
  <c r="AR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B12" i="71"/>
  <c r="B11" i="71" s="1"/>
  <c r="B10" i="71" s="1"/>
  <c r="B9" i="71" s="1"/>
  <c r="S13" i="71"/>
  <c r="D19" i="71"/>
  <c r="C18" i="71"/>
  <c r="D3" i="33"/>
  <c r="E6" i="6"/>
  <c r="D37" i="11"/>
  <c r="C37" i="11" s="1"/>
  <c r="D14" i="12"/>
  <c r="M18" i="9"/>
  <c r="B118" i="9" s="1"/>
  <c r="B14" i="74" s="1"/>
  <c r="B1" i="74" s="1"/>
  <c r="D3" i="21"/>
  <c r="D19" i="11"/>
  <c r="C19" i="11" s="1"/>
  <c r="C24" i="11" s="1"/>
  <c r="D3" i="37"/>
  <c r="C17" i="4"/>
  <c r="B4" i="52" s="1"/>
  <c r="B43" i="72" s="1"/>
  <c r="L18" i="9"/>
  <c r="E66" i="39"/>
  <c r="M19" i="6"/>
  <c r="K27" i="6"/>
  <c r="M14" i="1"/>
  <c r="K16" i="1"/>
  <c r="C34" i="69"/>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B2" i="34" l="1"/>
  <c r="B3" i="34" s="1"/>
  <c r="R24" i="31"/>
  <c r="C27" i="43"/>
  <c r="C26" i="43"/>
  <c r="B2" i="43" s="1"/>
  <c r="D17" i="12"/>
  <c r="C17" i="12" s="1"/>
  <c r="C14" i="12"/>
  <c r="D10" i="11"/>
  <c r="C10" i="11" s="1"/>
  <c r="D20" i="12"/>
  <c r="C20" i="12" s="1"/>
  <c r="D10" i="68"/>
  <c r="D10" i="69"/>
  <c r="B8" i="71"/>
  <c r="B7" i="71" s="1"/>
  <c r="B6" i="71" s="1"/>
  <c r="B5" i="71" s="1"/>
  <c r="S9" i="71"/>
  <c r="I68" i="39"/>
  <c r="H70" i="39"/>
  <c r="C35" i="69"/>
  <c r="C38" i="69"/>
  <c r="O14" i="1"/>
  <c r="O16" i="1" s="1"/>
  <c r="T16" i="1"/>
  <c r="M16" i="1"/>
  <c r="I19" i="6"/>
  <c r="M27" i="6"/>
  <c r="C20" i="11"/>
  <c r="C25" i="11" s="1"/>
  <c r="C8" i="74"/>
  <c r="C7" i="74"/>
  <c r="C17" i="71"/>
  <c r="D18" i="7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6" i="67"/>
  <c r="C33" i="67"/>
  <c r="C31" i="67" s="1"/>
  <c r="J14" i="67"/>
  <c r="C13" i="67"/>
  <c r="J19" i="67"/>
  <c r="J17" i="67" s="1"/>
  <c r="C57" i="67"/>
  <c r="C61" i="67" s="1"/>
  <c r="Q49" i="67"/>
  <c r="J59" i="67"/>
  <c r="J60" i="67" s="1"/>
  <c r="E6" i="76"/>
  <c r="B6" i="76"/>
  <c r="S24" i="31" l="1"/>
  <c r="R25" i="31"/>
  <c r="S25" i="31" s="1"/>
  <c r="E2" i="76"/>
  <c r="B2" i="76"/>
  <c r="B3" i="43"/>
  <c r="H27" i="6"/>
  <c r="D16" i="6"/>
  <c r="R23" i="6"/>
  <c r="D27" i="6"/>
  <c r="D31" i="6" s="1"/>
  <c r="R19" i="6"/>
  <c r="D8" i="74"/>
  <c r="D7" i="74"/>
  <c r="R20" i="6"/>
  <c r="R21" i="6"/>
  <c r="C28" i="11"/>
  <c r="C27" i="11" s="1"/>
  <c r="C31" i="11" s="1"/>
  <c r="N16" i="1"/>
  <c r="L16" i="1"/>
  <c r="C34" i="11"/>
  <c r="C34" i="68"/>
  <c r="C10" i="69"/>
  <c r="C8" i="69" s="1"/>
  <c r="C5" i="69" s="1"/>
  <c r="D19" i="69"/>
  <c r="A7" i="51"/>
  <c r="B7" i="72" s="1"/>
  <c r="C4" i="52"/>
  <c r="B45" i="72" s="1"/>
  <c r="A10" i="51"/>
  <c r="B9" i="72" s="1"/>
  <c r="R26" i="6"/>
  <c r="R24" i="6"/>
  <c r="R22" i="6"/>
  <c r="R25" i="6"/>
  <c r="C16" i="71"/>
  <c r="T17" i="71"/>
  <c r="D17" i="71"/>
  <c r="U17" i="71" s="1"/>
  <c r="S19" i="6"/>
  <c r="S27" i="6" s="1"/>
  <c r="I27" i="6"/>
  <c r="P14" i="1"/>
  <c r="P16" i="1" s="1"/>
  <c r="C11" i="12" s="1"/>
  <c r="J68" i="39"/>
  <c r="I70" i="39"/>
  <c r="C10" i="68"/>
  <c r="B29" i="1" s="1"/>
  <c r="C8" i="68" s="1"/>
  <c r="C5" i="68" s="1"/>
  <c r="C23" i="68" s="1"/>
  <c r="D19" i="68"/>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S22" i="31" l="1"/>
  <c r="R22" i="31" s="1"/>
  <c r="B3" i="76"/>
  <c r="C18" i="12"/>
  <c r="R27" i="6"/>
  <c r="R6" i="1"/>
  <c r="J70" i="39"/>
  <c r="K68" i="39"/>
  <c r="C15" i="71"/>
  <c r="D16" i="71"/>
  <c r="C19" i="69"/>
  <c r="C24" i="69" s="1"/>
  <c r="D37" i="69"/>
  <c r="C37" i="69" s="1"/>
  <c r="C33" i="69" s="1"/>
  <c r="C35" i="68"/>
  <c r="C38" i="68"/>
  <c r="C19" i="68"/>
  <c r="D37" i="68"/>
  <c r="C37" i="68" s="1"/>
  <c r="C15" i="12"/>
  <c r="C12" i="12"/>
  <c r="C23" i="69"/>
  <c r="C38" i="11"/>
  <c r="C35" i="11"/>
  <c r="F50" i="69"/>
  <c r="F50" i="11"/>
  <c r="F50" i="68"/>
  <c r="I6" i="6"/>
  <c r="I5" i="6"/>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7" i="35" l="1"/>
  <c r="W7" i="35" s="1"/>
  <c r="B20" i="31"/>
  <c r="B21" i="31" s="1"/>
  <c r="J20" i="15"/>
  <c r="J17" i="15" s="1"/>
  <c r="J16" i="15" s="1"/>
  <c r="J25" i="15" s="1"/>
  <c r="F63" i="15"/>
  <c r="C62" i="15" s="1"/>
  <c r="C59" i="15" s="1"/>
  <c r="C58" i="15" s="1"/>
  <c r="C67" i="15" s="1"/>
  <c r="C68" i="15" s="1"/>
  <c r="C71" i="15" s="1"/>
  <c r="C34" i="15"/>
  <c r="C31" i="15" s="1"/>
  <c r="C30" i="15" s="1"/>
  <c r="C39" i="15" s="1"/>
  <c r="R16" i="1"/>
  <c r="C20" i="69"/>
  <c r="C28" i="69" s="1"/>
  <c r="C27" i="69" s="1"/>
  <c r="C33" i="11"/>
  <c r="C42" i="11" s="1"/>
  <c r="C16" i="12"/>
  <c r="C21" i="12" s="1"/>
  <c r="C22" i="12" s="1"/>
  <c r="C39" i="11"/>
  <c r="C20" i="68"/>
  <c r="C25" i="68" s="1"/>
  <c r="C24" i="68"/>
  <c r="C14" i="71"/>
  <c r="D15" i="71"/>
  <c r="C33" i="68"/>
  <c r="C39" i="69"/>
  <c r="C43" i="69" s="1"/>
  <c r="C42" i="69"/>
  <c r="K70" i="39"/>
  <c r="L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25" i="69" l="1"/>
  <c r="C22" i="69" s="1"/>
  <c r="C31" i="69" s="1"/>
  <c r="Q67" i="15"/>
  <c r="L57" i="15"/>
  <c r="L60" i="15" s="1"/>
  <c r="L46" i="15" s="1"/>
  <c r="C80" i="15"/>
  <c r="C79" i="15" s="1"/>
  <c r="Q69" i="15"/>
  <c r="Q68" i="15" s="1"/>
  <c r="C40" i="15"/>
  <c r="C22" i="68"/>
  <c r="C30" i="12"/>
  <c r="C28" i="12" s="1"/>
  <c r="C27" i="12"/>
  <c r="C25" i="12" s="1"/>
  <c r="C41" i="69"/>
  <c r="M68" i="39"/>
  <c r="L70" i="39"/>
  <c r="C46" i="69"/>
  <c r="C45" i="69" s="1"/>
  <c r="C39" i="68"/>
  <c r="C42" i="68"/>
  <c r="D14" i="71"/>
  <c r="C13" i="71"/>
  <c r="C28" i="68"/>
  <c r="C27" i="68" s="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1" i="68" l="1"/>
  <c r="Q57" i="15"/>
  <c r="Q66" i="15"/>
  <c r="B2" i="15"/>
  <c r="Q65" i="15"/>
  <c r="Q75" i="15" s="1"/>
  <c r="Q47" i="15"/>
  <c r="Q53" i="15" s="1"/>
  <c r="C46" i="15"/>
  <c r="Q56" i="15"/>
  <c r="Q62" i="15" s="1"/>
  <c r="C43" i="15"/>
  <c r="C83" i="15"/>
  <c r="C82" i="15" s="1"/>
  <c r="C49" i="11"/>
  <c r="C51" i="11" s="1"/>
  <c r="C52" i="11" s="1"/>
  <c r="B2" i="11" s="1"/>
  <c r="B3" i="11" s="1"/>
  <c r="C32" i="12"/>
  <c r="B2" i="12" s="1"/>
  <c r="B3" i="12" s="1"/>
  <c r="C49" i="69"/>
  <c r="C51" i="69" s="1"/>
  <c r="C52" i="69" s="1"/>
  <c r="B2" i="69" s="1"/>
  <c r="B3" i="69" s="1"/>
  <c r="C46" i="68"/>
  <c r="C45" i="68" s="1"/>
  <c r="C43" i="68"/>
  <c r="C41" i="68" s="1"/>
  <c r="M70" i="39"/>
  <c r="N68" i="39"/>
  <c r="C12" i="71"/>
  <c r="T13" i="71"/>
  <c r="D13" i="71"/>
  <c r="U13" i="71" s="1"/>
  <c r="R39" i="35"/>
  <c r="E38" i="35"/>
  <c r="M63" i="40"/>
  <c r="L65" i="40"/>
  <c r="D19" i="9"/>
  <c r="AO6" i="1"/>
  <c r="L23" i="9" l="1"/>
  <c r="L24" i="9" s="1"/>
  <c r="D102" i="9"/>
  <c r="D21" i="9"/>
  <c r="B6" i="70"/>
  <c r="B2" i="70" s="1"/>
  <c r="B3" i="70" s="1"/>
  <c r="B3" i="15"/>
  <c r="C57" i="69"/>
  <c r="C56" i="69" s="1"/>
  <c r="C49" i="68"/>
  <c r="C51" i="68" s="1"/>
  <c r="C52" i="68" s="1"/>
  <c r="B2" i="68" s="1"/>
  <c r="D12" i="71"/>
  <c r="C11" i="71"/>
  <c r="F7" i="39"/>
  <c r="N70" i="39"/>
  <c r="O68" i="39"/>
  <c r="O70" i="39" s="1"/>
  <c r="C56" i="11"/>
  <c r="C57" i="11" s="1"/>
  <c r="C39" i="35"/>
  <c r="B2" i="35" s="1"/>
  <c r="B3" i="35" s="1"/>
  <c r="C38" i="35"/>
  <c r="N63" i="40"/>
  <c r="M65" i="40"/>
  <c r="E43" i="35"/>
  <c r="F43" i="35" s="1"/>
  <c r="E42" i="35"/>
  <c r="F42" i="35" s="1"/>
  <c r="I43" i="35"/>
  <c r="J43" i="35" s="1"/>
  <c r="D34" i="9"/>
  <c r="D35" i="9"/>
  <c r="D20" i="9"/>
  <c r="C19" i="9"/>
  <c r="K23" i="9" l="1"/>
  <c r="K24" i="9" s="1"/>
  <c r="D103" i="9"/>
  <c r="D22" i="9"/>
  <c r="C102" i="9"/>
  <c r="G19" i="9"/>
  <c r="C21" i="9"/>
  <c r="B3" i="68"/>
  <c r="J7" i="39"/>
  <c r="H7" i="39"/>
  <c r="C57" i="68"/>
  <c r="C56" i="68" s="1"/>
  <c r="D11" i="71"/>
  <c r="C10" i="71"/>
  <c r="S7" i="39"/>
  <c r="AA7" i="39"/>
  <c r="R47" i="39" s="1"/>
  <c r="O63" i="40"/>
  <c r="O65" i="40" s="1"/>
  <c r="N65" i="40"/>
  <c r="C20" i="9"/>
  <c r="G21" i="9" l="1"/>
  <c r="M23" i="9"/>
  <c r="M24" i="9" s="1"/>
  <c r="G20" i="9"/>
  <c r="C32" i="9" s="1"/>
  <c r="C103" i="9"/>
  <c r="AB7" i="39"/>
  <c r="T47" i="39" s="1"/>
  <c r="G47" i="39" s="1"/>
  <c r="U7" i="39"/>
  <c r="R48" i="39"/>
  <c r="E47" i="39"/>
  <c r="D10" i="71"/>
  <c r="C9" i="71"/>
  <c r="AC7" i="39"/>
  <c r="V47" i="39" s="1"/>
  <c r="I47" i="39" s="1"/>
  <c r="W7" i="39"/>
  <c r="J7" i="40"/>
  <c r="F7" i="40"/>
  <c r="H7" i="40"/>
  <c r="C35" i="9" l="1"/>
  <c r="C34" i="9" s="1"/>
  <c r="C8" i="71"/>
  <c r="T9" i="71"/>
  <c r="D9" i="71"/>
  <c r="U9" i="71" s="1"/>
  <c r="E51" i="39"/>
  <c r="F51" i="39" s="1"/>
  <c r="E52" i="39"/>
  <c r="F52" i="39" s="1"/>
  <c r="I52" i="39"/>
  <c r="J52" i="39" s="1"/>
  <c r="I51" i="39"/>
  <c r="J51" i="39" s="1"/>
  <c r="C47" i="39"/>
  <c r="C48" i="39"/>
  <c r="G52" i="39"/>
  <c r="H52" i="39" s="1"/>
  <c r="G51" i="39"/>
  <c r="H51"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7" i="71"/>
  <c r="D8" i="71"/>
  <c r="I46" i="40"/>
  <c r="J46" i="40" s="1"/>
  <c r="R43" i="40"/>
  <c r="E42" i="40"/>
  <c r="G47" i="40"/>
  <c r="H47" i="40" s="1"/>
  <c r="G46" i="40"/>
  <c r="H46" i="40" s="1"/>
  <c r="C6" i="71" l="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4" i="52" s="1"/>
  <c r="B51" i="72" s="1"/>
  <c r="H118" i="9"/>
  <c r="I118" i="9" s="1"/>
  <c r="F119" i="9" l="1"/>
  <c r="F5" i="52" s="1"/>
  <c r="B53" i="72" s="1"/>
  <c r="D4" i="52"/>
  <c r="B47" i="72" s="1"/>
  <c r="G118" i="9"/>
  <c r="G4" i="52" s="1"/>
  <c r="B52" i="72" s="1"/>
  <c r="I4" i="52"/>
  <c r="C105" i="9"/>
  <c r="H102" i="9"/>
  <c r="D7" i="53" s="1"/>
  <c r="B21" i="72" s="1"/>
  <c r="E118" i="9"/>
  <c r="E4" i="52" s="1"/>
  <c r="B48" i="72" s="1"/>
  <c r="H101" i="9"/>
  <c r="H4" i="52"/>
  <c r="H119" i="9"/>
  <c r="H5" i="52" s="1"/>
  <c r="C104" i="9"/>
  <c r="D14" i="74"/>
  <c r="G36" i="6" s="1"/>
  <c r="G35" i="6" s="1"/>
  <c r="H35" i="6" s="1"/>
  <c r="E14" i="74" l="1"/>
  <c r="B5" i="74"/>
  <c r="F14" i="74"/>
  <c r="D5" i="53"/>
  <c r="M48" i="9"/>
  <c r="H107" i="9"/>
  <c r="D45" i="9"/>
  <c r="B20" i="72" l="1"/>
  <c r="D6" i="53"/>
  <c r="B22" i="72" s="1"/>
  <c r="C5" i="74"/>
  <c r="D5" i="74"/>
  <c r="D122" i="9"/>
  <c r="M49" i="9"/>
  <c r="D13" i="53"/>
  <c r="H108" i="9"/>
  <c r="D15" i="53" s="1"/>
  <c r="B31" i="72" s="1"/>
  <c r="D53" i="9"/>
  <c r="D55" i="9"/>
  <c r="M53" i="9" s="1"/>
  <c r="C93" i="9"/>
  <c r="C86" i="9" s="1"/>
  <c r="D52" i="9"/>
  <c r="C78" i="9"/>
  <c r="C73" i="9" s="1"/>
  <c r="C72" i="9"/>
  <c r="C64" i="9"/>
  <c r="C63" i="9" s="1"/>
  <c r="C67" i="9" s="1"/>
  <c r="C85" i="9"/>
  <c r="C95" i="9" l="1"/>
  <c r="C79" i="9"/>
  <c r="C96" i="9"/>
  <c r="E96" i="9" s="1"/>
  <c r="E97" i="9" s="1"/>
  <c r="C80" i="9"/>
  <c r="E80" i="9" s="1"/>
  <c r="E81" i="9" s="1"/>
  <c r="L65" i="9"/>
  <c r="M65" i="9" s="1"/>
  <c r="L64" i="9"/>
  <c r="M64" i="9" s="1"/>
  <c r="L67" i="9"/>
  <c r="M67" i="9" s="1"/>
  <c r="L66" i="9"/>
  <c r="M66" i="9" s="1"/>
  <c r="L68" i="9"/>
  <c r="M68" i="9" s="1"/>
  <c r="L63" i="9"/>
  <c r="M63" i="9" s="1"/>
  <c r="C68" i="9"/>
  <c r="D54" i="9" s="1"/>
  <c r="D59" i="9"/>
  <c r="M55" i="9" s="1"/>
  <c r="D14" i="53"/>
  <c r="B32" i="72" s="1"/>
  <c r="B30" i="72"/>
  <c r="D8" i="52"/>
  <c r="G14" i="74"/>
  <c r="B6" i="74" s="1"/>
  <c r="D123" i="9"/>
  <c r="D9" i="52" s="1"/>
  <c r="C81" i="9" l="1"/>
  <c r="C97" i="9"/>
  <c r="D58" i="9" s="1"/>
  <c r="D56" i="9" s="1"/>
  <c r="M54" i="9" s="1"/>
  <c r="N57" i="9" s="1"/>
  <c r="C6" i="74"/>
  <c r="D6" i="74"/>
  <c r="M69" i="9"/>
  <c r="N69" i="9" s="1"/>
  <c r="N58" i="9" l="1"/>
  <c r="N59" i="9"/>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<sst xmlns="http://schemas.openxmlformats.org/spreadsheetml/2006/main" count="7456" uniqueCount="3194">
  <si>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</si>
  <si>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</si>
  <si>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</si>
  <si>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</si>
  <si>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</si>
  <si>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</si>
  <si>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</si>
  <si>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</si>
  <si>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</si>
  <si>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</si>
  <si>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</si>
  <si>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</si>
  <si>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</si>
  <si>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</si>
  <si>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</si>
  <si>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</si>
  <si>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</si>
  <si>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</si>
  <si>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</si>
  <si>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</si>
  <si>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</si>
  <si>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</si>
  <si>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</si>
  <si>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</si>
  <si>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</si>
  <si>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</si>
  <si>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</si>
  <si>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</si>
  <si>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</si>
  <si>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</si>
  <si>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</si>
  <si>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</si>
  <si>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</si>
  <si>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</si>
  <si>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</si>
  <si>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</si>
  <si>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</si>
  <si>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</si>
  <si>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</si>
  <si>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</si>
  <si>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</si>
  <si>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</si>
  <si>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</si>
  <si>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</si>
  <si>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</si>
  <si>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</si>
  <si>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</si>
  <si>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</si>
  <si>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</si>
  <si>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</si>
  <si>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</si>
  <si>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</si>
  <si>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</si>
  <si>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</si>
  <si>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</si>
  <si>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</si>
  <si>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</si>
  <si>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</si>
  <si>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</si>
  <si>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</si>
  <si>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</si>
  <si>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</si>
  <si>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</si>
  <si>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</si>
  <si>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</si>
  <si>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</si>
  <si>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</si>
  <si>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</si>
  <si>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</si>
  <si>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</si>
  <si>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</si>
  <si>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</si>
  <si>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</si>
  <si>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</si>
  <si>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</si>
  <si>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</si>
  <si>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</si>
  <si>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</si>
  <si>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</si>
  <si>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</si>
  <si>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</si>
  <si>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</si>
  <si>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</si>
  <si>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</si>
  <si>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</si>
  <si>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</si>
  <si>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</si>
  <si>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</si>
  <si>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</si>
  <si>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</si>
  <si>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</si>
  <si>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</si>
  <si>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</si>
  <si>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</si>
  <si>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</si>
  <si>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</si>
  <si>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</si>
  <si>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</si>
  <si>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</si>
  <si>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</si>
  <si>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</si>
  <si>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</si>
  <si>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</si>
  <si>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</si>
  <si>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</si>
  <si>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</si>
  <si>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</si>
  <si>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</si>
  <si>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</si>
  <si>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</si>
  <si>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</si>
  <si>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</si>
  <si>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</si>
  <si>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</si>
  <si>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</si>
  <si>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</si>
  <si>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</si>
  <si>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</si>
  <si>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</si>
  <si>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</si>
  <si>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</si>
  <si>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</si>
  <si>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</si>
  <si>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</si>
  <si>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</si>
  <si>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</si>
  <si>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</si>
  <si>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</si>
  <si>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</si>
  <si>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</si>
  <si>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</si>
  <si>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</si>
  <si>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</si>
  <si>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</si>
  <si>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</si>
  <si>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</si>
  <si>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</si>
  <si>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</si>
  <si>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</si>
  <si>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</si>
  <si>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</si>
  <si>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</si>
  <si>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</si>
  <si>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</si>
  <si>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</si>
  <si>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</si>
  <si>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</si>
  <si>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</si>
  <si>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</si>
  <si>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</si>
  <si>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</si>
  <si>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</si>
  <si>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</si>
  <si>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</si>
  <si>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</si>
  <si>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</si>
  <si>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</si>
  <si>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</si>
  <si>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</si>
  <si>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</si>
  <si>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</si>
  <si>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</si>
  <si>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</si>
  <si>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</si>
  <si>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</si>
  <si>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</si>
  <si>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</si>
  <si>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</si>
  <si>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</si>
  <si>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</si>
  <si>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</si>
  <si>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</si>
  <si>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</si>
  <si>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</si>
  <si>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</si>
  <si>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</si>
  <si>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</si>
  <si>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</si>
  <si>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</si>
  <si>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</si>
  <si>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</si>
  <si>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</si>
  <si>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</si>
  <si>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</si>
  <si>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</si>
  <si>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</si>
  <si>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</si>
  <si>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</si>
  <si>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</si>
  <si>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</si>
  <si>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</si>
  <si>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</si>
  <si>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</si>
  <si>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</si>
  <si>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</si>
  <si>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</si>
  <si>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</si>
  <si>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</si>
  <si>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</si>
  <si>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</si>
  <si>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</si>
  <si>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</si>
  <si>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</si>
  <si>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</si>
  <si>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</si>
  <si>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</si>
  <si>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</si>
  <si>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</si>
  <si>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</si>
  <si>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</si>
  <si>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</si>
  <si>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</si>
  <si>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</si>
  <si>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</si>
  <si>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</si>
  <si>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</si>
  <si>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</si>
  <si>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</si>
  <si>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</si>
  <si>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</si>
  <si>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</si>
  <si>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</si>
  <si>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</si>
  <si>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</si>
  <si>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</si>
  <si>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</si>
  <si>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</si>
  <si>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</si>
  <si>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</si>
  <si>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</si>
  <si>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</si>
  <si>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</si>
  <si>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</si>
  <si>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</si>
  <si>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</si>
  <si>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</si>
  <si>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</si>
  <si>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</si>
  <si>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</si>
  <si>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</si>
  <si>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</si>
  <si>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</si>
  <si>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</si>
  <si>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</si>
  <si>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</si>
  <si>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</si>
  <si>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</si>
  <si>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</si>
  <si>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</si>
  <si>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</si>
  <si>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</si>
  <si>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</si>
  <si>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</si>
  <si>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</si>
  <si>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</si>
  <si>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</si>
  <si>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</si>
  <si>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</si>
  <si>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</si>
  <si>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</si>
  <si>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</si>
  <si>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</si>
  <si>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</si>
  <si>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</si>
  <si>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</si>
  <si>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</si>
  <si>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</si>
  <si>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</si>
  <si>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</si>
  <si>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</si>
  <si>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</si>
  <si>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</si>
  <si>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</si>
  <si>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</si>
  <si>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</si>
  <si>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</si>
  <si>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</si>
  <si>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</si>
  <si>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</si>
  <si>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</si>
  <si>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</si>
  <si>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</si>
  <si>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</si>
  <si>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</si>
  <si>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</si>
  <si>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</si>
  <si>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</si>
  <si>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</si>
  <si>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</si>
  <si>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</si>
  <si>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</si>
  <si>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</si>
  <si>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</si>
  <si>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</si>
  <si>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</si>
  <si>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</si>
  <si>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</si>
  <si>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</si>
  <si>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</si>
  <si>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</si>
  <si>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</si>
  <si>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</si>
  <si>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</si>
  <si>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</si>
  <si>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</si>
  <si>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</si>
  <si>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</si>
  <si>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</si>
  <si>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</si>
  <si>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</si>
  <si>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</si>
  <si>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</si>
  <si>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</si>
  <si>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</si>
  <si>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</si>
  <si>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</si>
  <si>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</si>
  <si>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</si>
  <si>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</si>
  <si>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</si>
  <si>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</si>
  <si>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</si>
  <si>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</si>
  <si>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</si>
  <si>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</si>
  <si>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</si>
  <si>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</si>
  <si>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</si>
  <si>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</si>
  <si>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</si>
  <si>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</si>
  <si>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</si>
  <si>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</si>
  <si>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</si>
  <si>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</si>
  <si>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</si>
  <si>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</si>
  <si>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</si>
  <si>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</si>
  <si>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</si>
  <si>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</si>
  <si>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</si>
  <si>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</si>
  <si>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</si>
  <si>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</si>
  <si>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</si>
  <si>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</si>
  <si>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</si>
  <si>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</si>
  <si>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</si>
  <si>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</si>
  <si>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</si>
  <si>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</si>
  <si>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</si>
  <si>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</si>
  <si>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</si>
  <si>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</si>
  <si>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</si>
  <si>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</si>
  <si>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</si>
  <si>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</si>
  <si>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</si>
  <si>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</si>
  <si>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</si>
  <si>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</si>
  <si>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</si>
  <si>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</si>
  <si>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</si>
  <si>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</si>
  <si>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</si>
  <si>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</si>
  <si>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</si>
  <si>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</si>
  <si>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</si>
  <si>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</si>
  <si>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</si>
  <si>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</si>
  <si>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</si>
  <si>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</si>
  <si>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</si>
  <si>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</si>
  <si>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</si>
  <si>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</si>
  <si>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</si>
  <si>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</si>
  <si>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</si>
  <si>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</si>
  <si>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</si>
  <si>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</si>
  <si>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</si>
  <si>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</si>
  <si>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</si>
  <si>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</si>
  <si>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</si>
  <si>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</si>
  <si>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</si>
  <si>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</si>
  <si>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</si>
  <si>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</si>
  <si>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</si>
  <si>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</si>
  <si>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</si>
  <si>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</si>
  <si>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</si>
  <si>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</si>
  <si>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</si>
  <si>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</si>
  <si>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</si>
  <si>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</si>
  <si>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</si>
  <si>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</si>
  <si>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</si>
  <si>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</si>
  <si>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</si>
  <si>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</si>
  <si>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</si>
  <si>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</si>
  <si>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</si>
  <si>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</si>
  <si>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</si>
  <si>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</si>
  <si>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</si>
  <si>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</si>
  <si>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</si>
  <si>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</si>
  <si>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</si>
  <si>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</si>
  <si>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</si>
  <si>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</si>
  <si>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</si>
  <si>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</si>
  <si>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</si>
  <si>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</si>
  <si>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</si>
  <si>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</si>
  <si>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</si>
  <si>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</si>
  <si>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</si>
  <si>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</si>
  <si>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</si>
  <si>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</si>
  <si>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</si>
  <si>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</si>
  <si>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</si>
  <si>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</si>
  <si>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</si>
  <si>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</si>
  <si>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</si>
  <si>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</si>
  <si>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</si>
  <si>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</si>
  <si>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</si>
  <si>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</si>
  <si>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</si>
  <si>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</si>
  <si>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</si>
  <si>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</si>
  <si>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</si>
  <si>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</si>
  <si>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</si>
  <si>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</si>
  <si>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</si>
  <si>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</si>
  <si>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</si>
  <si>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</si>
  <si>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</si>
  <si>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</si>
  <si>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</si>
  <si>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</si>
  <si>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</si>
  <si>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</si>
  <si>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</si>
  <si>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</si>
  <si>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</si>
  <si>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</si>
  <si>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</si>
  <si>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</si>
  <si>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</si>
  <si>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</si>
  <si>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</si>
  <si>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</si>
  <si>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</si>
  <si>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</si>
  <si>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</si>
  <si>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</si>
  <si>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</si>
  <si>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</si>
  <si>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</si>
  <si>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</si>
  <si>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</si>
  <si>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</si>
  <si>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</si>
  <si>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</si>
  <si>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</si>
  <si>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</si>
  <si>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</si>
  <si>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</si>
  <si>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</si>
  <si>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</si>
  <si>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</si>
  <si>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</si>
  <si>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</si>
  <si>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</si>
  <si>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</si>
  <si>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</si>
  <si>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</si>
  <si>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</si>
  <si>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</si>
  <si>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</si>
  <si>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</si>
  <si>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</si>
  <si>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</si>
  <si>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</si>
  <si>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</si>
  <si>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</si>
  <si>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</si>
  <si>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</si>
  <si>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</si>
  <si>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</si>
  <si>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</si>
  <si>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</si>
  <si>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</si>
  <si>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</si>
  <si>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</si>
  <si>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</si>
  <si>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</si>
  <si>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</si>
  <si>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</si>
  <si>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</si>
  <si>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</si>
  <si>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</si>
  <si>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</si>
  <si>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</si>
  <si>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</si>
  <si>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</si>
  <si>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</si>
  <si>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</si>
  <si>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</si>
  <si>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</si>
  <si>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</si>
  <si>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</si>
  <si>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</si>
  <si>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</si>
  <si>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</si>
  <si>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</si>
  <si>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</si>
  <si>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</si>
  <si>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</si>
  <si>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</si>
  <si>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</si>
  <si>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</si>
  <si>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</si>
  <si>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</si>
  <si>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</si>
  <si>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</si>
  <si>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</si>
  <si>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</si>
  <si>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</si>
  <si>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</si>
  <si>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</si>
  <si>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</si>
  <si>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</si>
  <si>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</si>
  <si>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</si>
  <si>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</si>
  <si>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</si>
  <si>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</si>
  <si>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</si>
  <si>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</si>
  <si>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</si>
  <si>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</si>
  <si>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</si>
  <si>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</si>
  <si>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</si>
  <si>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</si>
  <si>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</si>
  <si>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</si>
  <si>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</si>
  <si>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</si>
  <si>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</si>
  <si>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</si>
  <si>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</si>
  <si>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</si>
  <si>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</si>
  <si>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</si>
  <si>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</si>
  <si>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</si>
  <si>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</si>
  <si>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</si>
  <si>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</si>
  <si>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</si>
  <si>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</si>
  <si>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</si>
  <si>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</si>
  <si>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</si>
  <si>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</si>
  <si>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</si>
  <si>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</si>
  <si>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</si>
  <si>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</si>
  <si>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</si>
  <si>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</si>
  <si>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</si>
  <si>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</si>
  <si>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</si>
  <si>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</si>
  <si>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</si>
  <si>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</si>
  <si>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</si>
  <si>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</si>
  <si>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</si>
  <si>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</si>
  <si>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</si>
  <si>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</si>
  <si>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</si>
  <si>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</si>
  <si>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</si>
  <si>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</si>
  <si>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</si>
  <si>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</si>
  <si>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</si>
  <si>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</si>
  <si>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</si>
  <si>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</si>
  <si>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</si>
  <si>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</si>
  <si>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</si>
  <si>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</si>
  <si>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</si>
  <si>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</si>
  <si>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</si>
  <si>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</si>
  <si>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</si>
  <si>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</si>
  <si>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</si>
  <si>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</si>
  <si>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</si>
  <si>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</si>
  <si>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</si>
  <si>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</si>
  <si>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</si>
  <si>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</si>
  <si>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</si>
  <si>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</si>
  <si>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</si>
  <si>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</si>
  <si>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</si>
  <si>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</si>
  <si>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</si>
  <si>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</si>
  <si>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</si>
  <si>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</si>
  <si>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</si>
  <si>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</si>
  <si>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</si>
  <si>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</si>
  <si>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</si>
  <si>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</si>
  <si>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</si>
  <si>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</si>
  <si>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</si>
  <si>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</si>
  <si>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</si>
  <si>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</si>
  <si>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</si>
  <si>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</si>
  <si>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</si>
  <si>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</si>
  <si>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</si>
  <si>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</si>
  <si>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</si>
  <si>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</si>
  <si>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</si>
  <si>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</si>
  <si>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</si>
  <si>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</si>
  <si>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</si>
  <si>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</si>
  <si>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</si>
  <si>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</si>
  <si>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</si>
  <si>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</si>
  <si>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</si>
  <si>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</si>
  <si>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</si>
  <si>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</si>
  <si>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</si>
  <si>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</si>
  <si>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</si>
  <si>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</si>
  <si>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</si>
  <si>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</si>
  <si>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</si>
  <si>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</si>
  <si>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</si>
  <si>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</si>
  <si>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</si>
  <si>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</si>
  <si>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</si>
  <si>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</si>
  <si>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</si>
  <si>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</si>
  <si>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</si>
  <si>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</si>
  <si>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</si>
  <si>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</si>
  <si>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</si>
  <si>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</si>
  <si>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</si>
  <si>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</si>
  <si>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</si>
  <si>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</si>
  <si>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</si>
  <si>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</si>
  <si>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</si>
  <si>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</si>
  <si>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</si>
  <si>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</si>
  <si>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</si>
  <si>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</si>
  <si>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</si>
  <si>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</si>
  <si>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</si>
  <si>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</si>
  <si>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</si>
  <si>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</si>
  <si>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</si>
  <si>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</si>
  <si>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</si>
  <si>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</si>
  <si>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</si>
  <si>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</si>
  <si>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</si>
  <si>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</si>
  <si>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</si>
  <si>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</si>
  <si>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</si>
  <si>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</si>
  <si>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</si>
  <si>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</si>
  <si>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</si>
  <si>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</si>
  <si>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</si>
  <si>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</si>
  <si>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</si>
  <si>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</si>
  <si>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</si>
  <si>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</si>
  <si>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</si>
  <si>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</si>
  <si>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</si>
  <si>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</si>
  <si>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</si>
  <si>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</si>
  <si>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</si>
  <si>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</si>
  <si>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</si>
  <si>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</si>
  <si>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</si>
  <si>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</si>
  <si>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</si>
  <si>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</si>
  <si>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</si>
  <si>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</si>
  <si>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</si>
  <si>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</si>
  <si>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</si>
  <si>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</si>
  <si>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</si>
  <si>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</si>
  <si>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</si>
  <si>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</si>
  <si>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</si>
  <si>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</si>
  <si>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</si>
  <si>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</si>
  <si>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</si>
  <si>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</si>
  <si>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</si>
  <si>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</si>
  <si>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</si>
  <si>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</si>
  <si>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</si>
  <si>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</si>
  <si>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</si>
  <si>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</si>
  <si>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</si>
  <si>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</si>
  <si>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</si>
  <si>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</si>
  <si>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</si>
  <si>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</si>
  <si>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</si>
  <si>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</si>
  <si>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</si>
  <si>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</si>
  <si>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</si>
  <si>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</si>
  <si>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</si>
  <si>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</si>
  <si>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</si>
  <si>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</si>
  <si>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</si>
  <si>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</si>
  <si>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</si>
  <si>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</si>
  <si>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</si>
  <si>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</si>
  <si>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</si>
  <si>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</si>
  <si>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</si>
  <si>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</si>
  <si>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</si>
  <si>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</si>
  <si>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</si>
  <si>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</si>
  <si>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</si>
  <si>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</si>
  <si>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</si>
  <si>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</si>
  <si>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</si>
  <si>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</si>
  <si>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</si>
  <si>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</si>
  <si>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</si>
  <si>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</si>
  <si>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</si>
  <si>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</si>
  <si>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</si>
  <si>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</si>
  <si>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</si>
  <si>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</si>
  <si>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</si>
  <si>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</si>
  <si>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</si>
  <si>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</si>
  <si>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</si>
  <si>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</si>
  <si>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</si>
  <si>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</si>
  <si>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</si>
  <si>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</si>
  <si>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</si>
  <si>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</si>
  <si>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</si>
  <si>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</si>
  <si>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</si>
  <si>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</si>
  <si>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</si>
  <si>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</si>
  <si>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</si>
  <si>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</si>
  <si>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</si>
  <si>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</si>
  <si>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</si>
  <si>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</si>
  <si>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</si>
  <si>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</si>
  <si>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</si>
  <si>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</si>
  <si>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</si>
  <si>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</si>
  <si>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</si>
  <si>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</si>
  <si>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</si>
  <si>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</si>
  <si>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</si>
  <si>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</si>
  <si>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</si>
  <si>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</si>
  <si>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</si>
  <si>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</si>
  <si>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</si>
  <si>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</si>
  <si>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</si>
  <si>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</si>
  <si>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</si>
  <si>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</si>
  <si>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</si>
  <si>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</si>
  <si>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</si>
  <si>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</si>
  <si>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</si>
  <si>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</si>
  <si>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</si>
  <si>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</si>
  <si>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</si>
  <si>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</si>
  <si>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</si>
  <si>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</si>
  <si>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</si>
  <si>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</si>
  <si>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</si>
  <si>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</si>
  <si>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</si>
  <si>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</si>
  <si>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</si>
  <si>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</si>
  <si>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</si>
  <si>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</si>
  <si>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</si>
  <si>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</si>
  <si>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</si>
  <si>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</si>
  <si>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</si>
  <si>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</si>
  <si>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</si>
  <si>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</si>
  <si>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</si>
  <si>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</si>
  <si>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</si>
  <si>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</si>
  <si>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</si>
  <si>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</si>
  <si>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</si>
  <si>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</si>
  <si>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</si>
  <si>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</si>
  <si>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</si>
  <si>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</si>
  <si>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</si>
  <si>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</si>
  <si>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</si>
  <si>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</si>
  <si>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</si>
  <si>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</si>
  <si>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</si>
  <si>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</si>
  <si>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</si>
  <si>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</si>
  <si>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</si>
  <si>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</si>
  <si>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</si>
  <si>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</si>
  <si>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</si>
  <si>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</si>
  <si>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</si>
  <si>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</si>
  <si>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</si>
  <si>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</si>
  <si>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</si>
  <si>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</si>
  <si>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</si>
  <si>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</si>
  <si>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</si>
  <si>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</si>
  <si>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</si>
  <si>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</si>
  <si>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</si>
  <si>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</si>
  <si>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</si>
  <si>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</si>
  <si>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</si>
  <si>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</si>
  <si>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</si>
  <si>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</si>
  <si>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</si>
  <si>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</si>
  <si>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</si>
  <si>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</si>
  <si>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</si>
  <si>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</si>
  <si>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</si>
  <si>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</si>
  <si>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</si>
  <si>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</si>
  <si>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</si>
  <si>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</si>
  <si>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</si>
  <si>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</si>
  <si>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</si>
  <si>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</si>
  <si>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</si>
  <si>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</si>
  <si>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</si>
  <si>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</si>
  <si>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</si>
  <si>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</si>
  <si>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</si>
  <si>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</si>
  <si>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</si>
  <si>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</si>
  <si>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</si>
  <si>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</si>
  <si>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</si>
  <si>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</si>
  <si>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</si>
  <si>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</si>
  <si>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</si>
  <si>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</si>
  <si>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</si>
  <si>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</si>
  <si>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</si>
  <si>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</si>
  <si>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</si>
  <si>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</si>
  <si>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</si>
  <si>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</si>
  <si>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</si>
  <si>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</si>
  <si>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</si>
  <si>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</si>
  <si>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</si>
  <si>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</si>
  <si>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</si>
  <si>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</si>
  <si>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</si>
  <si>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</si>
  <si>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</si>
  <si>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</si>
  <si>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</si>
  <si>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</si>
  <si>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</si>
  <si>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</si>
  <si>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</si>
  <si>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</si>
  <si>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</si>
  <si>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</si>
  <si>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</si>
  <si>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</si>
  <si>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</si>
  <si>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</si>
  <si>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</si>
  <si>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</si>
  <si>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</si>
  <si>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</si>
  <si>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</si>
  <si>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</si>
  <si>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</si>
  <si>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</si>
  <si>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</si>
  <si>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</si>
  <si>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</si>
  <si>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</si>
  <si>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</si>
  <si>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</si>
  <si>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</si>
  <si>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</si>
  <si>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</si>
  <si>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</si>
  <si>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</si>
  <si>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</si>
  <si>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</si>
  <si>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</si>
  <si>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</si>
  <si>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</si>
  <si>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</si>
  <si>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</si>
  <si>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</si>
  <si>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</si>
  <si>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</si>
  <si>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</si>
  <si>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</si>
  <si>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</si>
  <si>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</si>
  <si>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</si>
  <si>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</si>
  <si>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</si>
  <si>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</si>
  <si>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</si>
  <si>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</si>
  <si>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</si>
  <si>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</si>
  <si>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</si>
  <si>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</si>
  <si>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</si>
  <si>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</si>
  <si>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</si>
  <si>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</si>
  <si>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</si>
  <si>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</si>
  <si>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</si>
  <si>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</si>
  <si>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</si>
  <si>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</si>
  <si>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</si>
  <si>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</si>
  <si>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</si>
  <si>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</si>
  <si>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</si>
  <si>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</si>
  <si>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</si>
  <si>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</si>
  <si>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</si>
  <si>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</si>
  <si>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</si>
  <si>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</si>
  <si>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</si>
  <si>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</si>
  <si>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</si>
  <si>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</si>
  <si>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</si>
  <si>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</si>
  <si>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</si>
  <si>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</si>
  <si>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</si>
  <si>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</si>
  <si>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</si>
  <si>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</si>
  <si>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</si>
  <si>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</si>
  <si>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</si>
  <si>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</si>
  <si>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</si>
  <si>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</si>
  <si>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</si>
  <si>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</si>
  <si>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</si>
  <si>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</si>
  <si>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</si>
  <si>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</si>
  <si>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</si>
  <si>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</si>
  <si>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</si>
  <si>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</si>
  <si>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</si>
  <si>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</si>
  <si>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</si>
  <si>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</si>
  <si>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</si>
  <si>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</si>
  <si>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</si>
  <si>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</si>
  <si>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</si>
  <si>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</si>
  <si>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</si>
  <si>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</si>
  <si>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</si>
  <si>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</si>
  <si>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</si>
  <si>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</si>
  <si>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</si>
  <si>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</si>
  <si>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</si>
  <si>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</si>
  <si>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</si>
  <si>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</si>
  <si>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</si>
  <si>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</si>
  <si>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</si>
  <si>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</si>
  <si>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</si>
  <si>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</si>
  <si>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</si>
  <si>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</si>
  <si>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</si>
  <si>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</si>
  <si>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</si>
  <si>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</si>
  <si>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</si>
  <si>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</si>
  <si>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</si>
  <si>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</si>
  <si>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</si>
  <si>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</si>
  <si>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</si>
  <si>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</si>
  <si>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</si>
  <si>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</si>
  <si>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</si>
  <si>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</si>
  <si>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</si>
  <si>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</si>
  <si>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</si>
  <si>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</si>
  <si>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</si>
  <si>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</si>
  <si>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</si>
  <si>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</si>
  <si>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</si>
  <si>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</si>
  <si>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</si>
  <si>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</si>
  <si>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</si>
  <si>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</si>
  <si>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</si>
  <si>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</si>
  <si>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</si>
  <si>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</si>
  <si>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</si>
  <si>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</si>
  <si>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</si>
  <si>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</si>
  <si>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</si>
  <si>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</si>
  <si>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</si>
  <si>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</si>
  <si>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</si>
  <si>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</si>
  <si>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</si>
  <si>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</si>
  <si>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</si>
  <si>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</si>
  <si>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</si>
  <si>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</si>
  <si>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</si>
  <si>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</si>
  <si>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</si>
  <si>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</si>
  <si>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</si>
  <si>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</si>
  <si>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</si>
  <si>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</si>
  <si>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</si>
  <si>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</si>
  <si>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</si>
  <si>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</si>
  <si>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</si>
  <si>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</si>
  <si>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</si>
  <si>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</si>
  <si>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</si>
  <si>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</si>
  <si>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</si>
  <si>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</si>
  <si>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</si>
  <si>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</si>
  <si>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</si>
  <si>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</si>
  <si>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</si>
  <si>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</si>
  <si>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</si>
  <si>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</si>
  <si>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</si>
  <si>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</si>
  <si>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</si>
  <si>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</si>
  <si>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</si>
  <si>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</si>
  <si>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</si>
  <si>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</si>
  <si>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</si>
  <si>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</si>
  <si>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</si>
  <si>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</si>
  <si>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</si>
  <si>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</si>
  <si>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</si>
  <si>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</si>
  <si>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</si>
  <si>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</si>
  <si>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</si>
  <si>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</si>
  <si>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</si>
  <si>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</si>
  <si>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</si>
  <si>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</si>
  <si>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</si>
  <si>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</si>
  <si>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</si>
  <si>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</si>
  <si>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</si>
  <si>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</si>
  <si>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</si>
  <si>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</si>
  <si>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</si>
  <si>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</si>
  <si>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</si>
  <si>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</si>
  <si>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</si>
  <si>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</si>
  <si>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</si>
  <si>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</si>
  <si>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</si>
  <si>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</si>
  <si>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</si>
  <si>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</si>
  <si>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</si>
  <si>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</si>
  <si>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</si>
  <si>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</si>
  <si>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</si>
  <si>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</si>
  <si>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</si>
  <si>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</si>
  <si>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</si>
  <si>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</si>
  <si>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</si>
  <si>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</si>
  <si>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</si>
  <si>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</si>
  <si>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</si>
  <si>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</si>
  <si>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</si>
  <si>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</si>
  <si>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</si>
  <si>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</si>
  <si>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</si>
  <si>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</si>
  <si>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</si>
  <si>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</si>
  <si>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</si>
  <si>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</si>
  <si>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</si>
  <si>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</si>
  <si>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</si>
  <si>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</si>
  <si>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</si>
  <si>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</si>
  <si>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</si>
  <si>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</si>
  <si>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</si>
  <si>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</si>
  <si>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</si>
  <si>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</si>
  <si>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</si>
  <si>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</si>
  <si>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</si>
  <si>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</si>
  <si>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</si>
  <si>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</si>
  <si>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</si>
  <si>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</si>
  <si>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</si>
  <si>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</si>
  <si>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</si>
  <si>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</si>
  <si>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</si>
  <si>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</si>
  <si>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</si>
  <si>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</si>
  <si>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</si>
  <si>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</si>
  <si>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</si>
  <si>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</si>
  <si>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</si>
  <si>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</si>
  <si>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</si>
  <si>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</si>
  <si>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</si>
  <si>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</si>
  <si>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</si>
  <si>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</si>
  <si>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</si>
  <si>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</si>
  <si>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</si>
  <si>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</si>
  <si>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</si>
  <si>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</si>
  <si>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</si>
  <si>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</si>
  <si>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</si>
  <si>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</si>
  <si>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</si>
  <si>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</si>
  <si>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</si>
  <si>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</si>
  <si>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</si>
  <si>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</si>
  <si>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</si>
  <si>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</si>
  <si>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</si>
  <si>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</si>
  <si>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</si>
  <si>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</si>
  <si>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</si>
  <si>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</si>
  <si>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</si>
  <si>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</si>
  <si>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</si>
  <si>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</si>
  <si>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</si>
  <si>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</si>
  <si>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</si>
  <si>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</si>
  <si>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</si>
  <si>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</si>
  <si>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</si>
  <si>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</si>
  <si>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</si>
  <si>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</si>
  <si>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</si>
  <si>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</si>
  <si>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</si>
  <si>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</si>
  <si>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</si>
  <si>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</si>
  <si>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</si>
  <si>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</si>
  <si>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</si>
  <si>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</si>
  <si>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</si>
  <si>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</si>
  <si>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</si>
  <si>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</si>
  <si>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</si>
  <si>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</si>
  <si>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</si>
  <si>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</si>
  <si>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</si>
  <si>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</si>
  <si>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</si>
  <si>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</si>
  <si>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</si>
  <si>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</si>
  <si>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</si>
  <si>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</si>
  <si>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</si>
  <si>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</si>
  <si>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</si>
  <si>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</si>
  <si>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</si>
  <si>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</si>
  <si>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</si>
  <si>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</si>
  <si>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</si>
  <si>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</si>
  <si>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</si>
  <si>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</si>
  <si>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</si>
  <si>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</si>
  <si>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</si>
  <si>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</si>
  <si>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</si>
  <si>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</si>
  <si>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</si>
  <si>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</si>
  <si>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</si>
  <si>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</si>
  <si>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</si>
  <si>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</si>
  <si>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</si>
  <si>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</si>
  <si>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</si>
  <si>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</si>
  <si>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</si>
  <si>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</si>
  <si>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</si>
  <si>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</si>
  <si>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</si>
  <si>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</si>
  <si>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</si>
  <si>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</si>
  <si>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</si>
  <si>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</si>
  <si>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</si>
  <si>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</si>
  <si>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</si>
  <si>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</si>
  <si>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</si>
  <si>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</si>
  <si>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</si>
  <si>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</si>
  <si>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</si>
  <si>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</si>
  <si>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</si>
  <si>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</si>
  <si>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</si>
  <si>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</si>
  <si>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</si>
  <si>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</si>
  <si>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</si>
  <si>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</si>
  <si>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</si>
  <si>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</si>
  <si>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</si>
  <si>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</si>
  <si>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</si>
  <si>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</si>
  <si>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</si>
  <si>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</si>
  <si>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</si>
  <si>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</si>
  <si>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</si>
  <si>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</si>
  <si>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</si>
  <si>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</si>
  <si>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</si>
  <si>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</si>
  <si>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</si>
  <si>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</si>
  <si>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</si>
  <si>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</si>
  <si>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</si>
  <si>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</si>
  <si>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</si>
  <si>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</si>
  <si>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</si>
  <si>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</si>
  <si>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</si>
  <si>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</si>
  <si>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</si>
  <si>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</si>
  <si>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</si>
  <si>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</si>
  <si>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</si>
  <si>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</si>
  <si>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</si>
  <si>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</si>
  <si>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</si>
  <si>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</si>
  <si>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</si>
  <si>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</si>
  <si>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</si>
  <si>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</si>
  <si>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</si>
  <si>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</si>
  <si>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</si>
  <si>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</si>
  <si>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</si>
  <si>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</si>
  <si>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</si>
  <si>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</si>
  <si>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</si>
  <si>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</si>
  <si>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</si>
  <si>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</si>
  <si>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</si>
  <si>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</si>
  <si>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</si>
  <si>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</si>
  <si>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</si>
  <si>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</si>
  <si>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</si>
  <si>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</si>
  <si>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</si>
  <si>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</si>
  <si>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</si>
  <si>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</si>
  <si>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</si>
  <si>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</si>
  <si>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</si>
  <si>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</si>
  <si>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</si>
  <si>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</si>
  <si>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</si>
  <si>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</si>
  <si>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</si>
  <si>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</si>
  <si>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</si>
  <si>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</si>
  <si>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</si>
  <si>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</si>
  <si>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</si>
  <si>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</si>
  <si>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</si>
  <si>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</si>
  <si>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</si>
  <si>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</si>
  <si>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</si>
  <si>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</si>
  <si>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</si>
  <si>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</si>
  <si>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</si>
  <si>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</si>
  <si>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</si>
  <si>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</si>
  <si>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</si>
  <si>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</si>
  <si>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</si>
  <si>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</si>
  <si>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</si>
  <si>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</si>
  <si>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</si>
  <si>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</si>
  <si>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</si>
  <si>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</si>
  <si>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</si>
  <si>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</si>
  <si>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</si>
  <si>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</si>
  <si>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</si>
  <si>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</si>
  <si>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</si>
  <si>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</si>
  <si>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</si>
  <si>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</si>
  <si>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</si>
  <si>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</si>
  <si>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</si>
  <si>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</si>
  <si>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</si>
  <si>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</si>
  <si>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</si>
  <si>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</si>
  <si>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</si>
  <si>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</si>
  <si>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</si>
  <si>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</si>
  <si>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</si>
  <si>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</si>
  <si>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</si>
  <si>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</si>
  <si>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</si>
  <si>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</si>
  <si>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</si>
  <si>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</si>
  <si>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</si>
  <si>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</si>
  <si>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</si>
  <si>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</si>
  <si>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</si>
  <si>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</si>
  <si>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</si>
  <si>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</si>
  <si>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</si>
  <si>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</si>
  <si>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</si>
  <si>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</si>
  <si>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</si>
  <si>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</si>
  <si>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</si>
  <si>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</si>
  <si>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</si>
  <si>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</si>
  <si>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</si>
  <si>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</si>
  <si>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</si>
  <si>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</si>
  <si>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</si>
  <si>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</si>
  <si>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</si>
  <si>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</si>
  <si>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</si>
  <si>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</si>
  <si>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</si>
  <si>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</si>
  <si>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</si>
  <si>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</si>
  <si>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</si>
  <si>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</si>
  <si>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</si>
  <si>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</si>
  <si>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</si>
  <si>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</si>
  <si>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</si>
  <si>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</si>
  <si>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</si>
  <si>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</si>
  <si>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</si>
  <si>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</si>
  <si>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</si>
  <si>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</si>
  <si>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</si>
  <si>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</si>
  <si>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</si>
  <si>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</si>
  <si>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</si>
  <si>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</si>
  <si>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</si>
  <si>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</si>
  <si>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</si>
  <si>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</si>
  <si>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</si>
  <si>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</si>
  <si>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</si>
  <si>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</si>
  <si>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</si>
  <si>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</si>
  <si>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</si>
  <si>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</si>
  <si>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</si>
  <si>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</si>
  <si>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</si>
  <si>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</si>
  <si>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</si>
  <si>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</si>
  <si>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</si>
  <si>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</si>
  <si>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</si>
  <si>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</si>
  <si>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</si>
  <si>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</si>
  <si>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</si>
  <si>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</si>
  <si>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</si>
  <si>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</si>
  <si>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</si>
  <si>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</si>
  <si>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</si>
  <si>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</si>
  <si>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</si>
  <si>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</si>
  <si>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</si>
  <si>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</si>
  <si>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</si>
  <si>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</si>
  <si>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</si>
  <si>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</si>
  <si>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</si>
  <si>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</si>
  <si>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</si>
  <si>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</si>
  <si>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</si>
  <si>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</si>
  <si>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</si>
  <si>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</si>
  <si>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</si>
  <si>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</si>
  <si>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</si>
  <si>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</si>
  <si>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</si>
  <si>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</si>
  <si>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</si>
  <si>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</si>
  <si>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</si>
  <si>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</si>
  <si>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</si>
  <si>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</si>
  <si>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</si>
  <si>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</si>
  <si>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</si>
  <si>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</si>
  <si>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</si>
  <si>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</si>
  <si>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</si>
  <si>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</si>
  <si>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</si>
  <si>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</si>
  <si>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</si>
  <si>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</si>
  <si>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</si>
  <si>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</si>
  <si>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</si>
  <si>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</si>
  <si>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</si>
  <si>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</si>
  <si>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</si>
  <si>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</si>
  <si>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</si>
  <si>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</si>
  <si>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</si>
  <si>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</si>
  <si>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</si>
  <si>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</si>
  <si>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</si>
  <si>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</si>
  <si>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</si>
  <si>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</si>
  <si>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</si>
  <si>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</si>
  <si>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</si>
  <si>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</si>
  <si>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</si>
  <si>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</si>
  <si>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</si>
  <si>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</si>
  <si>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</si>
  <si>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</si>
  <si>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</si>
  <si>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</si>
  <si>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</si>
  <si>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</si>
  <si>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</si>
  <si>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</si>
  <si>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</si>
  <si>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</si>
  <si>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</si>
  <si>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</si>
  <si>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</si>
  <si>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</si>
  <si>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</si>
  <si>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</si>
  <si>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</si>
  <si>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</si>
  <si>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</si>
  <si>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</si>
  <si>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</si>
  <si>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</si>
  <si>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</si>
  <si>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</si>
  <si>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</si>
  <si>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</si>
  <si>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</si>
  <si>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</si>
  <si>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</si>
  <si>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</si>
  <si>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</si>
  <si>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</si>
  <si>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</si>
  <si>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</si>
  <si>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</si>
  <si>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</si>
  <si>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</si>
  <si>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</si>
  <si>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</si>
  <si>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</si>
  <si>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</si>
  <si>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</si>
  <si>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</si>
  <si>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</si>
  <si>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</si>
  <si>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</si>
  <si>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</si>
  <si>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</si>
  <si>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</si>
  <si>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</si>
  <si>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</si>
  <si>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</si>
  <si>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</si>
  <si>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</si>
  <si>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</si>
  <si>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</si>
  <si>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</si>
  <si>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</si>
  <si>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</si>
  <si>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</si>
  <si>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</si>
  <si>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</si>
  <si>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</si>
  <si>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</si>
  <si>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</si>
  <si>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</si>
  <si>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</si>
  <si>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</si>
  <si>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</si>
  <si>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</si>
  <si>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</si>
  <si>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</si>
  <si>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</si>
  <si>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</si>
  <si>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</si>
  <si>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</si>
  <si>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</si>
  <si>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</si>
  <si>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</si>
  <si>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</si>
  <si>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</si>
  <si>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</si>
  <si>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</si>
  <si>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</si>
  <si>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</si>
  <si>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</si>
  <si>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</si>
  <si>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</si>
  <si>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</si>
  <si>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</si>
  <si>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</si>
  <si>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</si>
  <si>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</si>
  <si>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</si>
  <si>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</si>
  <si>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</si>
  <si>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</si>
  <si>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</si>
  <si>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</si>
  <si>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</si>
  <si>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</si>
  <si>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</si>
  <si>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</si>
  <si>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</si>
  <si>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</si>
  <si>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</si>
  <si>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</si>
  <si>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</si>
  <si>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</si>
  <si>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</si>
  <si>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</si>
  <si>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</si>
  <si>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</si>
  <si>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</si>
  <si>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</si>
  <si>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</si>
  <si>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</si>
  <si>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</si>
  <si>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</si>
  <si>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</si>
  <si>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</si>
  <si>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</si>
  <si>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</si>
  <si>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</si>
  <si>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</si>
  <si>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</si>
  <si>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</si>
  <si>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</si>
  <si>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</si>
  <si>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</si>
  <si>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</si>
  <si>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</si>
  <si>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</si>
  <si>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</si>
  <si>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</si>
  <si>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</si>
  <si>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</si>
  <si>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</si>
  <si>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</si>
  <si>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</si>
  <si>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</si>
  <si>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</si>
  <si>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</si>
  <si>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</si>
  <si>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</si>
  <si>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</si>
  <si>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</si>
  <si>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</si>
  <si>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</si>
  <si>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</si>
  <si>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</si>
  <si>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</si>
  <si>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</si>
  <si>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</si>
  <si>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</si>
  <si>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</si>
  <si>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</si>
  <si>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</si>
  <si>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</si>
  <si>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</si>
  <si>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</si>
  <si>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</si>
  <si>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</si>
  <si>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</si>
  <si>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</si>
  <si>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</si>
  <si>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</si>
  <si>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</si>
  <si>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</si>
  <si>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</si>
  <si>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</si>
  <si>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</si>
  <si>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</si>
  <si>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</si>
  <si>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</si>
  <si>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</si>
  <si>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</si>
  <si>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</si>
  <si>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</si>
  <si>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</si>
  <si>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</si>
  <si>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</si>
  <si>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</si>
  <si>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</si>
  <si>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</si>
  <si>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</si>
  <si>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</si>
  <si>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</si>
  <si>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</si>
  <si>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</si>
  <si>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</si>
  <si>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</si>
  <si>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</si>
  <si>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</si>
  <si>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</si>
  <si>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</si>
  <si>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</si>
  <si>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</si>
  <si>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</si>
  <si>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</si>
  <si>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</si>
  <si>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</si>
  <si>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</si>
  <si>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</si>
  <si>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</si>
  <si>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</si>
  <si>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</si>
  <si>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</si>
  <si>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</si>
  <si>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</si>
  <si>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</si>
  <si>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</si>
  <si>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</si>
  <si>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</si>
  <si>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</si>
  <si>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</si>
  <si>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</si>
  <si>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</si>
  <si>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</si>
  <si>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</si>
  <si>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</si>
  <si>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</si>
  <si>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</si>
  <si>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</si>
  <si>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</si>
  <si>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</si>
  <si>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</si>
  <si>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</si>
  <si>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</si>
  <si>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</si>
  <si>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</si>
  <si>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</si>
  <si>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</si>
  <si>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</si>
  <si>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</si>
  <si>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</si>
  <si>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</si>
  <si>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</si>
  <si>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</si>
  <si>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</si>
  <si>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</si>
  <si>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</si>
  <si>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</si>
  <si>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</si>
  <si>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</si>
  <si>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</si>
  <si>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</si>
  <si>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</si>
  <si>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</si>
  <si>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</si>
  <si>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</si>
  <si>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</si>
  <si>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</si>
  <si>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</si>
  <si>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</si>
  <si>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</si>
  <si>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</si>
  <si>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</si>
  <si>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</si>
  <si>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</si>
  <si>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</si>
  <si>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</si>
  <si>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</si>
  <si>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</si>
  <si>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</si>
  <si>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</si>
  <si>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</si>
  <si>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</si>
  <si>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</si>
  <si>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</si>
  <si>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</si>
  <si>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</si>
  <si>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</si>
  <si>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</si>
  <si>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</si>
  <si>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</si>
  <si>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</si>
  <si>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</si>
  <si>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</si>
  <si>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</si>
  <si>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</si>
  <si>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</si>
  <si>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</si>
  <si>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</si>
  <si>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</si>
  <si>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</si>
  <si>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</si>
  <si>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</si>
  <si>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</si>
  <si>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</si>
  <si>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</si>
  <si>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</si>
  <si>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</si>
  <si>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</si>
  <si>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</si>
  <si>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</si>
  <si>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</si>
  <si>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</si>
  <si>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</si>
  <si>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</si>
  <si>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</si>
  <si>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</si>
  <si>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</si>
  <si>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</si>
  <si>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</si>
  <si>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</si>
  <si>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</si>
  <si>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</si>
  <si>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</si>
  <si>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</si>
  <si>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</si>
  <si>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</si>
  <si>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</si>
  <si>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</si>
  <si>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</si>
  <si>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</si>
  <si>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</si>
  <si>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</si>
  <si>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</si>
  <si>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</si>
  <si>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</si>
  <si>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</si>
  <si>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</si>
  <si>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</si>
  <si>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</si>
  <si>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</si>
  <si>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</si>
  <si>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</si>
  <si>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</si>
  <si>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</si>
  <si>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</si>
  <si>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</si>
  <si>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</si>
  <si>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</si>
  <si>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</si>
  <si>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</si>
  <si>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</si>
  <si>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</si>
  <si>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</si>
  <si>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</si>
  <si>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</si>
  <si>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</si>
  <si>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</si>
  <si>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</si>
  <si>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</si>
  <si>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</si>
  <si>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</si>
  <si>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</si>
  <si>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</si>
  <si>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</si>
  <si>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</si>
  <si>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</si>
  <si>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</si>
  <si>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</si>
  <si>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</si>
  <si>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</si>
  <si>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</si>
  <si>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</si>
  <si>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</si>
  <si>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</si>
  <si>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</si>
  <si>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</si>
  <si>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</si>
  <si>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</si>
  <si>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</si>
  <si>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</si>
  <si>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</si>
  <si>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</si>
  <si>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</si>
  <si>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</si>
  <si>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</si>
  <si>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</si>
  <si>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</si>
  <si>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</si>
  <si>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</si>
  <si>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</si>
  <si>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</si>
  <si>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</si>
  <si>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</si>
  <si>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</si>
  <si>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</si>
  <si>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</si>
  <si>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</si>
  <si>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</si>
  <si>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</si>
  <si>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</si>
  <si>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</si>
  <si>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</si>
  <si>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</si>
  <si>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</si>
  <si>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</si>
  <si>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</si>
  <si>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</si>
  <si>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</si>
  <si>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</si>
  <si>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</si>
  <si>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</si>
  <si>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</si>
  <si>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</si>
  <si>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</si>
  <si>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</si>
  <si>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</si>
  <si>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</si>
  <si>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</si>
  <si>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</si>
  <si>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</si>
  <si>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</si>
  <si>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</si>
  <si>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</si>
  <si>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</si>
  <si>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</si>
  <si>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</si>
  <si>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</si>
  <si>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</si>
  <si>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</si>
  <si>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</si>
  <si>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</si>
  <si>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</si>
  <si>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</si>
  <si>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</si>
  <si>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</si>
  <si>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</si>
  <si>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</si>
  <si>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</si>
  <si>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</si>
  <si>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</si>
  <si>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</si>
  <si>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</si>
  <si>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</si>
  <si>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</si>
  <si>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</si>
  <si>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</si>
  <si>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</si>
  <si>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</si>
  <si>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</si>
  <si>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</si>
  <si>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</si>
  <si>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</si>
  <si>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</si>
  <si>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</si>
  <si>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</si>
  <si>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</si>
  <si>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</si>
  <si>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</si>
  <si>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</si>
  <si>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</si>
  <si>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</si>
  <si>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</si>
  <si>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</si>
  <si>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</si>
  <si>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</si>
  <si>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</si>
  <si>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</si>
  <si>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</si>
  <si>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</si>
  <si>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</si>
  <si>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</si>
  <si>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</si>
  <si>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</si>
  <si>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</si>
  <si>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</si>
  <si>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</si>
  <si>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</si>
  <si>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</si>
  <si>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</si>
  <si>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</si>
  <si>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</si>
  <si>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</si>
  <si>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</si>
  <si>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</si>
  <si>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</si>
  <si>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</si>
  <si>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</si>
  <si>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</si>
  <si>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</si>
  <si>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</si>
  <si>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</si>
  <si>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</si>
  <si>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</si>
  <si>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</si>
  <si>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</si>
  <si>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</si>
  <si>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</si>
  <si>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</si>
  <si>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</si>
  <si>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</si>
  <si>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</si>
  <si>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</si>
  <si>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</si>
  <si>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</si>
  <si>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</si>
  <si>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</si>
  <si>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</si>
  <si>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</si>
  <si>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</si>
  <si>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</si>
  <si>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</si>
  <si>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</si>
  <si>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</si>
  <si>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</si>
  <si>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</si>
  <si>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</si>
  <si>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</si>
  <si>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</si>
  <si>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</si>
  <si>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</si>
  <si>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</si>
  <si>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</si>
  <si>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</si>
  <si>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</si>
  <si>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</si>
  <si>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</si>
  <si>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</si>
  <si>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</si>
  <si>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</si>
  <si>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</si>
  <si>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</si>
  <si>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</si>
  <si>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</si>
  <si>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</si>
  <si>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</si>
  <si>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</si>
  <si>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</si>
  <si>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</si>
  <si>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</si>
  <si>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</si>
  <si>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</si>
  <si>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</si>
  <si>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</si>
  <si>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</si>
  <si>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</si>
  <si>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</si>
  <si>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</si>
  <si>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</si>
  <si>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</si>
  <si>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</si>
  <si>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</si>
  <si>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</si>
  <si>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</si>
  <si>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</si>
  <si>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</si>
  <si>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</si>
  <si>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</si>
  <si>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</si>
  <si>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</si>
  <si>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</si>
  <si>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</si>
  <si>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</si>
  <si>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</si>
  <si>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</si>
  <si>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</si>
  <si>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</si>
  <si>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</si>
  <si>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</si>
  <si>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</si>
  <si>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</si>
  <si>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</si>
  <si>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</si>
  <si>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</si>
  <si>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</si>
  <si>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</si>
  <si>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</si>
  <si>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</si>
  <si>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</si>
  <si>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</si>
  <si>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</si>
  <si>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</si>
  <si>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</si>
  <si>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</si>
  <si>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</si>
  <si>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</si>
  <si>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</si>
  <si>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</si>
  <si>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</si>
  <si>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</si>
  <si>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</si>
  <si>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</si>
  <si>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</si>
  <si>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</si>
  <si>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</si>
  <si>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</si>
  <si>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</si>
  <si>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</si>
  <si>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</si>
  <si>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</si>
  <si>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</si>
  <si>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</si>
  <si>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</si>
  <si>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</si>
  <si>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</si>
  <si>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</si>
  <si>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</si>
  <si>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</si>
  <si>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</si>
  <si>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</si>
  <si>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</si>
  <si>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</si>
  <si>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</si>
  <si>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</si>
  <si>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</si>
  <si>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</si>
  <si>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</si>
  <si>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</si>
  <si>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</si>
  <si>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</si>
  <si>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</si>
  <si>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</si>
  <si>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</si>
  <si>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</si>
  <si>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</si>
  <si>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</si>
  <si>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</si>
  <si>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</si>
  <si>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</si>
  <si>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</si>
  <si>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</si>
  <si>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</si>
  <si>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</si>
  <si>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</si>
  <si>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</si>
  <si>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</si>
  <si>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</si>
  <si>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</si>
  <si>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</si>
  <si>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</si>
  <si>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</si>
  <si>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</si>
  <si>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</si>
  <si>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</si>
  <si>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</si>
  <si>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</si>
  <si>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</si>
  <si>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</si>
  <si>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</si>
  <si>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</si>
  <si>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</si>
  <si>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</si>
  <si>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</si>
  <si>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</si>
  <si>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</si>
  <si>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</si>
  <si>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</si>
  <si>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</si>
  <si>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</si>
  <si>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</si>
  <si>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</si>
  <si>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</si>
  <si>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</si>
  <si>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</si>
  <si>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</si>
  <si>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</si>
  <si>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</si>
  <si>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</si>
  <si>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</si>
  <si>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</si>
  <si>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</si>
  <si>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</si>
  <si>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</si>
  <si>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</si>
  <si>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</si>
  <si>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</si>
  <si>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</si>
  <si>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</si>
  <si>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</si>
  <si>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</si>
  <si>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</si>
  <si>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</si>
  <si>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</si>
  <si>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</si>
  <si>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</si>
  <si>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</si>
  <si>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</si>
  <si>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</si>
  <si>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</si>
  <si>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</si>
  <si>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</si>
  <si>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</si>
  <si>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</si>
  <si>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</si>
  <si>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</si>
  <si>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</si>
  <si>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</si>
  <si>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</si>
  <si>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</si>
  <si>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</si>
  <si>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</si>
  <si>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</si>
  <si>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</si>
  <si>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</si>
  <si>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</si>
  <si>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</si>
  <si>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</si>
  <si>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</si>
  <si>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</si>
  <si>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</si>
  <si>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</si>
  <si>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</si>
  <si>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</si>
  <si>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</si>
  <si>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</si>
  <si>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</si>
  <si>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</si>
  <si>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</si>
  <si>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</si>
  <si>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</si>
  <si>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</si>
  <si>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</si>
  <si>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</si>
  <si>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</si>
  <si>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</si>
  <si>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</si>
  <si>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</si>
  <si>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</si>
  <si>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</si>
  <si>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</si>
  <si>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</si>
  <si>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</si>
  <si>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</si>
  <si>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</si>
  <si>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</si>
  <si>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</si>
  <si>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</si>
  <si>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</si>
  <si>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</si>
  <si>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</si>
  <si>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</si>
  <si>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</si>
  <si>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</si>
  <si>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</si>
  <si>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</si>
  <si>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</si>
  <si>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</si>
  <si>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</si>
  <si>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</si>
  <si>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</si>
  <si>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</si>
  <si>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</si>
  <si>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</si>
  <si>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</si>
  <si>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</si>
  <si>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</si>
  <si>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</si>
  <si>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</si>
  <si>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</si>
  <si>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</si>
  <si>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</si>
  <si>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</si>
  <si>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</si>
  <si>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</si>
  <si>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</si>
  <si>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</si>
  <si>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</si>
  <si>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</si>
  <si>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</si>
  <si>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</si>
  <si>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</si>
  <si>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</si>
  <si>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</si>
  <si>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</si>
  <si>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</si>
  <si>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</si>
  <si>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</si>
  <si>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</si>
  <si>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</si>
  <si>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</si>
  <si>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</si>
  <si>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</si>
  <si>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</si>
  <si>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</si>
  <si>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</si>
  <si>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</si>
  <si>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</si>
  <si>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</si>
  <si>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</si>
  <si>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</si>
  <si>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</si>
  <si>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</si>
  <si>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</si>
  <si>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</si>
  <si>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</si>
  <si>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</si>
  <si>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</si>
  <si>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</si>
  <si>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</si>
  <si>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</si>
  <si>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</si>
  <si>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</si>
  <si>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</si>
  <si>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</si>
  <si>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</si>
  <si>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</si>
  <si>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</si>
  <si>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</si>
  <si>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</si>
  <si>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</si>
  <si>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</si>
  <si>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</si>
  <si>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</si>
  <si>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</si>
  <si>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</si>
  <si>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</si>
  <si>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</si>
  <si>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</si>
  <si>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</si>
  <si>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</si>
  <si>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</si>
  <si>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</si>
  <si>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</si>
  <si>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</si>
  <si>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</si>
  <si>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</si>
  <si>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</si>
  <si>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</si>
  <si>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</si>
  <si>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</si>
  <si>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</si>
  <si>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</si>
  <si>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</si>
  <si>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</si>
  <si>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</si>
  <si>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</si>
  <si>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</si>
  <si>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</si>
  <si>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</si>
  <si>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</si>
  <si>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</si>
  <si>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</si>
  <si>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</si>
  <si>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</si>
  <si>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</si>
  <si>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</si>
  <si>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</si>
  <si>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</si>
  <si>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</si>
  <si>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</si>
  <si>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</si>
  <si>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</si>
  <si>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</si>
  <si>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</si>
  <si>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</si>
  <si>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</si>
  <si>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</si>
  <si>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</si>
  <si>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</si>
  <si>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</si>
  <si>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</si>
  <si>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</si>
  <si>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</si>
  <si>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</si>
  <si>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</si>
  <si>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</si>
  <si>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</si>
  <si>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</si>
  <si>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</si>
  <si>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</si>
  <si>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</si>
  <si>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</si>
  <si>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</si>
  <si>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</si>
  <si>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</si>
  <si>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</si>
  <si>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</si>
  <si>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</si>
  <si>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</si>
  <si>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</si>
  <si>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</si>
  <si>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</si>
  <si>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</si>
  <si>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</si>
  <si>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</si>
  <si>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</si>
  <si>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</si>
  <si>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</si>
  <si>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</si>
  <si>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</si>
  <si>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</si>
  <si>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</si>
  <si>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</si>
  <si>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</si>
  <si>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</si>
  <si>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</si>
  <si>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</si>
  <si>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</si>
  <si>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</si>
  <si>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</si>
  <si>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</si>
  <si>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</si>
  <si>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</si>
  <si>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</si>
  <si>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</si>
  <si>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</si>
  <si>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</si>
  <si>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</si>
  <si>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</si>
  <si>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</si>
  <si>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</si>
  <si>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</si>
  <si>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</si>
  <si>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</si>
  <si>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</si>
  <si>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</si>
  <si>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</si>
  <si>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</si>
  <si>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</si>
  <si>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</si>
  <si>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</si>
  <si>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</si>
  <si>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</si>
  <si>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</si>
  <si>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</si>
  <si>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</si>
  <si>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</si>
  <si>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</si>
  <si>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</si>
  <si>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</si>
  <si>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</si>
  <si>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</si>
  <si>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</si>
  <si>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</si>
  <si>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</si>
  <si>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</si>
  <si>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</si>
  <si>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</si>
  <si>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</si>
  <si>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</si>
  <si>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</si>
  <si>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</si>
  <si>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</si>
  <si>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</si>
  <si>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</si>
  <si>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</si>
  <si>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</si>
  <si>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</si>
  <si>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</si>
  <si>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</si>
  <si>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</si>
  <si>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</si>
  <si>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</si>
  <si>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</si>
  <si>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</si>
  <si>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</si>
  <si>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</si>
  <si>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</si>
  <si>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</si>
  <si>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</si>
  <si>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</si>
  <si>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</si>
  <si>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</si>
  <si>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</si>
  <si>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</si>
  <si>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</si>
  <si>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</si>
  <si>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</si>
  <si>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</si>
  <si>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</si>
  <si>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</si>
  <si>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</si>
  <si>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</si>
  <si>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</si>
  <si>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</si>
  <si>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</si>
  <si>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</si>
  <si>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</si>
  <si>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</si>
  <si>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</si>
  <si>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</si>
  <si>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</si>
  <si>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</si>
  <si>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</si>
  <si>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</si>
  <si>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</si>
  <si>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</si>
  <si>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</si>
  <si>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</si>
  <si>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</si>
  <si>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</si>
  <si>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</si>
  <si>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</si>
  <si>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</si>
  <si>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</si>
  <si>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</si>
  <si>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</si>
  <si>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</si>
  <si>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</si>
  <si>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</si>
  <si>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</si>
  <si>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</si>
  <si>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</si>
  <si>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</si>
  <si>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</si>
  <si>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</si>
  <si>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</si>
  <si>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</si>
  <si>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</si>
  <si>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</si>
  <si>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</si>
  <si>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</si>
  <si>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</si>
  <si>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</si>
  <si>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</si>
  <si>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</si>
  <si>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</si>
  <si>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</si>
  <si>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</si>
  <si>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</si>
  <si>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</si>
  <si>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</si>
  <si>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</si>
  <si>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</si>
  <si>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</si>
  <si>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</si>
  <si>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</si>
  <si>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</si>
  <si>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</si>
  <si>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</si>
  <si>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</si>
  <si>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</si>
  <si>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</si>
  <si>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</si>
  <si>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</si>
  <si>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</si>
  <si>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</si>
  <si>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</si>
  <si>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</si>
  <si>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</si>
  <si>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</si>
  <si>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</si>
  <si>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</si>
  <si>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</si>
  <si>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</si>
  <si>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</si>
  <si>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</si>
  <si>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</si>
  <si>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</si>
  <si>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</si>
  <si>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</si>
  <si>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</si>
  <si>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</si>
  <si>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</si>
  <si>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</si>
  <si>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</si>
  <si>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</si>
  <si>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</si>
  <si>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</si>
  <si>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</si>
  <si>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</si>
  <si>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</si>
  <si>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</si>
  <si>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</si>
  <si>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</si>
  <si>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</si>
  <si>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</si>
  <si>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</si>
  <si>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</si>
  <si>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</si>
  <si>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</si>
  <si>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</si>
  <si>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</si>
  <si>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</si>
  <si>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</si>
  <si>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</si>
  <si>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</si>
  <si>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</si>
  <si>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</si>
  <si>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</si>
  <si>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</si>
  <si>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</si>
  <si>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</si>
  <si>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</si>
  <si>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</si>
  <si>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</si>
  <si>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</si>
  <si>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</si>
  <si>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</si>
  <si>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</si>
  <si>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</si>
  <si>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</si>
  <si>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</si>
  <si>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</si>
  <si>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</si>
  <si>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</si>
  <si>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</si>
  <si>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</si>
  <si>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</si>
  <si>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</si>
  <si>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</si>
  <si>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</si>
  <si>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</si>
  <si>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</si>
  <si>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</si>
  <si>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</si>
  <si>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</si>
  <si>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</si>
  <si>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</si>
  <si>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</si>
  <si>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</si>
  <si>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</si>
  <si>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</si>
  <si>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</si>
  <si>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</si>
  <si>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</si>
  <si>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</si>
  <si>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</si>
  <si>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</si>
  <si>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</si>
  <si>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</si>
  <si>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</si>
  <si>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</si>
  <si>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</si>
  <si>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</si>
  <si>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</si>
  <si>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</si>
  <si>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</si>
  <si>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</si>
  <si>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</si>
  <si>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</si>
  <si>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</si>
  <si>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</si>
  <si>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</si>
  <si>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</si>
  <si>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</si>
  <si>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</si>
  <si>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</si>
  <si>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</si>
  <si>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</si>
  <si>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</si>
  <si>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</si>
  <si>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</si>
  <si>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</si>
  <si>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</si>
  <si>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</si>
  <si>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</si>
  <si>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</si>
  <si>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</si>
  <si>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</si>
  <si>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</si>
  <si>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</si>
  <si>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</si>
  <si>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</si>
  <si>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</si>
  <si>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</si>
  <si>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</si>
  <si>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</si>
  <si>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</si>
  <si>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</si>
  <si>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</si>
  <si>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</si>
  <si>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</si>
  <si>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</si>
  <si>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</si>
  <si>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</si>
  <si>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</si>
  <si>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</si>
  <si>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</si>
  <si>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</si>
  <si>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</si>
  <si>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</si>
  <si>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</si>
  <si>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</si>
  <si>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</si>
  <si>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</si>
  <si>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</si>
  <si>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</si>
  <si>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</si>
  <si>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</si>
  <si>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</si>
  <si>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</si>
  <si>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</si>
  <si>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</si>
  <si>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</si>
  <si>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</si>
  <si>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</si>
  <si>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</si>
  <si>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</si>
  <si>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</si>
  <si>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</si>
  <si>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</si>
  <si>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</si>
  <si>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</si>
  <si>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</si>
  <si>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</si>
  <si>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</si>
  <si>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</si>
  <si>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</si>
  <si>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</si>
  <si>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</si>
  <si>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</si>
  <si>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</si>
  <si>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</si>
  <si>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</si>
  <si>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</si>
  <si>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</si>
  <si>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</si>
  <si>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</si>
  <si>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</si>
  <si>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</si>
  <si>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</si>
  <si>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</si>
  <si>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</si>
  <si>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</si>
  <si>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</si>
  <si>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</si>
  <si>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</si>
  <si>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</si>
  <si>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</si>
  <si>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</si>
  <si>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</si>
  <si>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</si>
  <si>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</si>
  <si>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</si>
  <si>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</si>
  <si>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</si>
  <si>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</si>
  <si>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</si>
  <si>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</si>
  <si>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</si>
  <si>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</si>
  <si>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</si>
  <si>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</si>
  <si>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</si>
  <si>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</si>
  <si>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</si>
  <si>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</si>
  <si>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</si>
  <si>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</si>
  <si>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</si>
  <si>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</si>
  <si>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</si>
  <si>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</si>
  <si>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</si>
  <si>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</si>
  <si>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</si>
  <si>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</si>
  <si>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</si>
  <si>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</si>
  <si>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</si>
  <si>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</si>
  <si>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</si>
  <si>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</si>
  <si>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</si>
  <si>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</si>
  <si>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</si>
  <si>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</si>
  <si>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</si>
  <si>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</si>
  <si>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</si>
  <si>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</si>
  <si>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</si>
  <si>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</si>
  <si>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</si>
  <si>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</si>
  <si>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</si>
  <si>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</si>
  <si>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</si>
  <si>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</si>
  <si>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</si>
  <si>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</si>
  <si>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</si>
  <si>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</si>
  <si>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</si>
  <si>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</si>
  <si>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</si>
  <si>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</si>
  <si>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</si>
  <si>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</si>
  <si>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</si>
  <si>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</si>
  <si>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</si>
  <si>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</si>
  <si>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</si>
  <si>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</si>
  <si>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</si>
  <si>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</si>
  <si>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</si>
  <si>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</si>
  <si>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</si>
  <si>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</si>
  <si>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</si>
  <si>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</si>
  <si>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</si>
  <si>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</si>
  <si>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</si>
  <si>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</si>
  <si>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</si>
  <si>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</si>
  <si>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</si>
  <si>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</si>
  <si>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</si>
  <si>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</si>
  <si>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</si>
  <si>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</si>
  <si>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</si>
  <si>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</si>
  <si>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</si>
  <si>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</si>
  <si>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</si>
  <si>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</si>
  <si>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</si>
  <si>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</si>
  <si>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</si>
  <si>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</si>
  <si>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</si>
  <si>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</si>
  <si>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</si>
  <si>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</si>
  <si>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</si>
  <si>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</si>
  <si>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</si>
  <si>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</si>
  <si>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</si>
  <si>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</si>
  <si>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</si>
  <si>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</si>
  <si>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</si>
  <si>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</si>
  <si>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</si>
  <si>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</si>
  <si>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</si>
  <si>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</si>
  <si>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</si>
  <si>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</si>
  <si>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</si>
  <si>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</si>
  <si>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</si>
  <si>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</si>
  <si>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</si>
  <si>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</si>
  <si>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</si>
  <si>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</si>
  <si>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</si>
  <si>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</si>
  <si>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</si>
  <si>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</si>
  <si>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</si>
  <si>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</si>
  <si>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</si>
  <si>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</si>
  <si>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</si>
  <si>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</si>
  <si>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</si>
  <si>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</si>
  <si>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</si>
  <si>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</si>
  <si>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</si>
  <si>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</si>
  <si>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</si>
  <si>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</si>
  <si>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</si>
  <si>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</si>
  <si>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</si>
  <si>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</si>
  <si>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</si>
  <si>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</si>
  <si>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</si>
  <si>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</si>
  <si>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</si>
  <si>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</si>
  <si>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</si>
  <si>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</si>
  <si>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</si>
  <si>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</si>
  <si>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</si>
  <si>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</si>
  <si>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</si>
  <si>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</si>
  <si>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</si>
  <si>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</si>
  <si>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</si>
  <si>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</si>
  <si>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</si>
  <si>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</si>
  <si>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</si>
  <si>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</si>
  <si>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</si>
  <si>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</si>
  <si>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</si>
  <si>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</si>
  <si>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</si>
  <si>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</si>
  <si>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</si>
  <si>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</si>
  <si>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</si>
  <si>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</si>
  <si>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</si>
  <si>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</si>
  <si>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</si>
  <si>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</si>
  <si>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</si>
  <si>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</si>
  <si>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</si>
  <si>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</si>
  <si>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</si>
  <si>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</si>
  <si>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</si>
  <si>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</si>
  <si>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Ⅵ-亦1</t>
  </si>
  <si>
    <t>是</t>
  </si>
  <si>
    <t>地上</t>
  </si>
  <si>
    <t>地下</t>
  </si>
  <si>
    <t>车库—办公</t>
  </si>
  <si>
    <t>朝林大厦</t>
  </si>
  <si>
    <t>朝林大厦</t>
    <phoneticPr fontId="7" type="noConversion"/>
  </si>
  <si>
    <t>成新度</t>
  </si>
  <si>
    <t>利息：取LPR加浮动点数</t>
  </si>
  <si>
    <t>押一</t>
  </si>
  <si>
    <t>按租金收入计税</t>
  </si>
  <si>
    <t>钢混</t>
  </si>
  <si>
    <t>非生产用房</t>
  </si>
  <si>
    <t>收益法</t>
  </si>
  <si>
    <t>未包含在土地购买价格中</t>
  </si>
  <si>
    <t>全部缴纳</t>
  </si>
  <si>
    <t>已包含在土地取得成本中</t>
  </si>
  <si>
    <t>商务金融用地（办公类）</t>
  </si>
  <si>
    <t>通路</t>
  </si>
  <si>
    <t>通电</t>
  </si>
  <si>
    <t>通讯</t>
  </si>
  <si>
    <t>通上水</t>
  </si>
  <si>
    <t>通下水</t>
  </si>
  <si>
    <t>平整</t>
  </si>
  <si>
    <t>与级别开发程度不一致</t>
  </si>
  <si>
    <t>按公示增长率计算</t>
  </si>
  <si>
    <t>容积率修正</t>
  </si>
  <si>
    <t>较好</t>
  </si>
  <si>
    <t>一般</t>
  </si>
  <si>
    <t>好</t>
  </si>
  <si>
    <t>售价</t>
  </si>
  <si>
    <t>正常</t>
    <phoneticPr fontId="32" type="noConversion"/>
  </si>
  <si>
    <t>较好</t>
    <phoneticPr fontId="32" type="noConversion"/>
  </si>
  <si>
    <t>七通</t>
    <phoneticPr fontId="32" type="noConversion"/>
  </si>
  <si>
    <t>七通</t>
    <phoneticPr fontId="32" type="noConversion"/>
  </si>
  <si>
    <t>七通</t>
    <phoneticPr fontId="32" type="noConversion"/>
  </si>
  <si>
    <t>中区</t>
    <phoneticPr fontId="32" type="noConversion"/>
  </si>
  <si>
    <t>高区</t>
    <phoneticPr fontId="32" type="noConversion"/>
  </si>
  <si>
    <t>低区</t>
    <phoneticPr fontId="32" type="noConversion"/>
  </si>
  <si>
    <t>荣华国际</t>
    <phoneticPr fontId="3" type="noConversion"/>
  </si>
  <si>
    <t>大族广场</t>
    <phoneticPr fontId="3" type="noConversion"/>
  </si>
  <si>
    <t>荣华国际</t>
    <phoneticPr fontId="3" type="noConversion"/>
  </si>
  <si>
    <t>有</t>
    <phoneticPr fontId="32" type="noConversion"/>
  </si>
  <si>
    <t>无</t>
    <phoneticPr fontId="32" type="noConversion"/>
  </si>
  <si>
    <t>结果表</t>
    <phoneticPr fontId="140" type="noConversion"/>
  </si>
  <si>
    <t>总价</t>
  </si>
  <si>
    <t>收益比率</t>
  </si>
  <si>
    <t>比较法</t>
    <phoneticPr fontId="3" type="noConversion"/>
  </si>
  <si>
    <t>面积</t>
    <phoneticPr fontId="3" type="noConversion"/>
  </si>
  <si>
    <t>租金</t>
    <phoneticPr fontId="3" type="noConversion"/>
  </si>
  <si>
    <t>地上</t>
    <phoneticPr fontId="3" type="noConversion"/>
  </si>
  <si>
    <t>地下</t>
    <phoneticPr fontId="3" type="noConversion"/>
  </si>
  <si>
    <t>建安</t>
    <phoneticPr fontId="3" type="noConversion"/>
  </si>
  <si>
    <t>地上单层</t>
    <phoneticPr fontId="25" type="noConversion"/>
  </si>
  <si>
    <t>地下单层</t>
    <phoneticPr fontId="25" type="noConversion"/>
  </si>
  <si>
    <t>地上</t>
    <phoneticPr fontId="25" type="noConversion"/>
  </si>
  <si>
    <t>地下</t>
    <phoneticPr fontId="25" type="noConversion"/>
  </si>
  <si>
    <t>地上</t>
    <phoneticPr fontId="25" type="noConversion"/>
  </si>
  <si>
    <t>地下</t>
    <phoneticPr fontId="25" type="noConversion"/>
  </si>
  <si>
    <t>典型户型修正</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</si>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</sst>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4" fontId="0" fillId="0" borderId="0" xfId="0" applyNumberFormat="1">
      <alignment vertical="center"/>
    </xf>
    <xf numFmtId="0" fontId="98" fillId="0" borderId="0" xfId="0" applyFont="1">
      <alignment vertical="center"/>
    </xf>
    <xf numFmtId="49" fontId="134" fillId="2" borderId="26"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186" fillId="0" borderId="1" xfId="0" applyFont="1" applyFill="1" applyBorder="1" applyAlignment="1" applyProtection="1">
      <alignment horizontal="center" vertical="center"/>
      <protection locked="0"/>
    </xf>
    <xf numFmtId="0" fontId="79" fillId="0" borderId="1" xfId="0" applyFont="1" applyBorder="1" applyProtection="1">
      <alignment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6</xdr:col>
      <xdr:colOff>466165</xdr:colOff>
      <xdr:row>30</xdr:row>
      <xdr:rowOff>104483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914650"/>
          <a:ext cx="4485715" cy="2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1616;&#349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23574</v>
          </cell>
        </row>
        <row r="41">
          <cell r="C41">
            <v>1543</v>
          </cell>
          <cell r="G41">
            <v>386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 ca="1">'预评函-封皮'!B46</f>
        <v>崔锴（注册号：1120100036)、郑燚（注册号：1120070131)</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估价对象为北京市房地产，为所有。根据《国有土地使用证》[]，估价对象（分摊）出让国有建设用地使用权面积为6706.16平方米，建筑面积为26834.3平方米。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估价对象为北京市房地产,属开发建设的，该项目尚在开发建设中。根据《国有土地使用证》[]，估价对象（分摊）出让国有建设用地使用权面积为6706.16平方米，规划建筑面积为26834.3平方米。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2022年3月25日</v>
      </c>
    </row>
    <row r="13" spans="1:2" s="1335" customFormat="1">
      <c r="A13" s="1333" t="s">
        <v>1135</v>
      </c>
      <c r="B13" s="1334" t="str">
        <f>'预评函-1'!A18</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本次评估采用的主估价方法为基准地价系数修正法和收益法。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66521</v>
      </c>
    </row>
    <row r="21" spans="1:2" s="1335" customFormat="1">
      <c r="A21" s="1333" t="s">
        <v>1143</v>
      </c>
      <c r="B21" s="1334">
        <f ca="1">'预评函-2'!D7</f>
        <v>24790</v>
      </c>
    </row>
    <row r="22" spans="1:2" s="1335" customFormat="1">
      <c r="A22" s="1333" t="s">
        <v>1144</v>
      </c>
      <c r="B22" s="1334" t="str">
        <f ca="1">'预评函-2'!D6</f>
        <v>陆亿陆仟伍佰贰拾壹万元整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66521</v>
      </c>
    </row>
    <row r="31" spans="1:2" s="1335" customFormat="1">
      <c r="A31" s="1333" t="s">
        <v>1182</v>
      </c>
      <c r="B31" s="1334">
        <f ca="1">'预评函-2'!D15</f>
        <v>24790</v>
      </c>
    </row>
    <row r="32" spans="1:2" s="1335" customFormat="1">
      <c r="A32" s="1333" t="s">
        <v>1149</v>
      </c>
      <c r="B32" s="1334" t="str">
        <f ca="1">'预评函-2'!D14</f>
        <v>陆亿陆仟伍佰贰拾壹万元整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26834.3</v>
      </c>
    </row>
    <row r="44" spans="1:2" s="1335" customFormat="1">
      <c r="A44" s="1333" t="s">
        <v>1181</v>
      </c>
      <c r="B44" s="1334" t="str">
        <f>'预评函-3'!C2</f>
        <v>(分摊)土地面积</v>
      </c>
    </row>
    <row r="45" spans="1:2" s="1335" customFormat="1">
      <c r="A45" s="1333" t="s">
        <v>1153</v>
      </c>
      <c r="B45" s="1334">
        <f>'预评函-3'!C4</f>
        <v>6706.16</v>
      </c>
    </row>
    <row r="46" spans="1:2" s="1335" customFormat="1">
      <c r="A46" s="1333" t="s">
        <v>1179</v>
      </c>
      <c r="B46" s="1334" t="str">
        <f>'预评函-3'!D2</f>
        <v>出让国有建设用地使用权价值</v>
      </c>
    </row>
    <row r="47" spans="1:2" s="1335" customFormat="1">
      <c r="A47" s="1333" t="s">
        <v>1154</v>
      </c>
      <c r="B47" s="1334">
        <f ca="1">'预评函-3'!D4</f>
        <v>47895</v>
      </c>
    </row>
    <row r="48" spans="1:2" s="1335" customFormat="1">
      <c r="A48" s="1333" t="s">
        <v>1155</v>
      </c>
      <c r="B48" s="1334">
        <f ca="1">'预评函-3'!E4</f>
        <v>17849</v>
      </c>
    </row>
    <row r="49" spans="1:2" s="1335" customFormat="1">
      <c r="A49" s="1333" t="s">
        <v>1156</v>
      </c>
      <c r="B49" s="1334" t="str">
        <f ca="1">'预评函-3'!D5</f>
        <v>肆亿柒仟捌佰玖拾伍万元整</v>
      </c>
    </row>
    <row r="50" spans="1:2" s="1335" customFormat="1">
      <c r="A50" s="1333" t="s">
        <v>1180</v>
      </c>
      <c r="B50" s="1334" t="str">
        <f>'预评函-3'!F2</f>
        <v>在建建筑物价值</v>
      </c>
    </row>
    <row r="51" spans="1:2" s="1335" customFormat="1">
      <c r="A51" s="1333" t="s">
        <v>1157</v>
      </c>
      <c r="B51" s="1334">
        <f ca="1">'预评函-3'!F4</f>
        <v>18626</v>
      </c>
    </row>
    <row r="52" spans="1:2" s="1335" customFormat="1">
      <c r="A52" s="1333" t="s">
        <v>1158</v>
      </c>
      <c r="B52" s="1334">
        <f ca="1">'预评函-3'!G4</f>
        <v>6941</v>
      </c>
    </row>
    <row r="53" spans="1:2" s="1335" customFormat="1">
      <c r="A53" s="1333" t="s">
        <v>1186</v>
      </c>
      <c r="B53" s="1334" t="str">
        <f ca="1">'预评函-3'!F5</f>
        <v>壹亿捌仟陆佰贰拾陆万元整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t="str">
        <f>'预评函-4'!A4</f>
        <v>崔锴</v>
      </c>
    </row>
    <row r="71" spans="1:2">
      <c r="A71" s="1333" t="s">
        <v>1169</v>
      </c>
      <c r="B71" s="1334">
        <f ca="1">'预评函-4'!B4</f>
        <v>1120100036</v>
      </c>
    </row>
    <row r="72" spans="1:2">
      <c r="A72" s="1333" t="s">
        <v>1170</v>
      </c>
      <c r="B72" s="1342" t="str">
        <f>'预评函-4'!A5</f>
        <v>郑燚</v>
      </c>
    </row>
    <row r="73" spans="1:2" s="1329" customFormat="1" ht="15" thickBot="1">
      <c r="A73" s="1336" t="s">
        <v>1171</v>
      </c>
      <c r="B73" s="1337">
        <f ca="1">'预评函-4'!B5</f>
        <v>1120070131</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2978</v>
      </c>
      <c r="C17" s="1700"/>
    </row>
    <row r="18" spans="1:3">
      <c r="A18" s="1699" t="s">
        <v>1672</v>
      </c>
      <c r="B18" s="1699" t="s">
        <v>3122</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70"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707" t="s">
        <v>832</v>
      </c>
      <c r="C54" s="1704" t="s">
        <v>1189</v>
      </c>
    </row>
    <row r="55" spans="1:4">
      <c r="A55" s="3270"/>
      <c r="B55" s="1707" t="s">
        <v>833</v>
      </c>
      <c r="C55" s="1704" t="s">
        <v>1190</v>
      </c>
    </row>
    <row r="56" spans="1:4">
      <c r="A56" s="3270"/>
      <c r="B56" s="1707" t="s">
        <v>834</v>
      </c>
      <c r="C56" s="1704" t="s">
        <v>1194</v>
      </c>
    </row>
    <row r="57" spans="1:4">
      <c r="A57" s="3270"/>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3" sqref="H23"/>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2" customWidth="1"/>
    <col min="12" max="13" width="10" style="2823"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7" t="s">
        <v>2853</v>
      </c>
      <c r="B1" s="3271" t="str">
        <f>IF(B10="北京市","北京市",C10)&amp;F10&amp;IF(结果表!G1="在建","出让国有建设用地使用权及在建建筑物",IF(结果表!G1="土地","出让国有建设用地使用权",))&amp;B9&amp;"预评估"</f>
        <v>北京市房地产抵押价值预评估</v>
      </c>
      <c r="C1" s="3272"/>
      <c r="D1" s="3272"/>
      <c r="E1" s="3272"/>
      <c r="F1" s="3272"/>
      <c r="G1" s="3272"/>
      <c r="H1" s="3272"/>
      <c r="I1" s="3273"/>
      <c r="J1" s="2664"/>
      <c r="K1" s="2559"/>
      <c r="L1" s="2560"/>
      <c r="M1" s="2560"/>
      <c r="N1" s="2561"/>
      <c r="O1" s="1729"/>
      <c r="P1" s="2561"/>
      <c r="Q1" s="2561"/>
      <c r="R1" s="2561"/>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8" t="s">
        <v>2854</v>
      </c>
      <c r="B2" s="2562"/>
      <c r="C2" s="2563"/>
      <c r="D2" s="2866"/>
      <c r="E2" s="2856"/>
      <c r="F2" s="2856"/>
      <c r="G2" s="2857"/>
      <c r="H2" s="2857"/>
      <c r="I2" s="2857"/>
      <c r="J2" s="2664"/>
      <c r="K2" s="2559"/>
      <c r="L2" s="2560"/>
      <c r="M2" s="2560"/>
      <c r="N2" s="2561"/>
      <c r="O2" s="1729"/>
      <c r="P2" s="2561"/>
      <c r="Q2" s="2561"/>
      <c r="R2" s="2561"/>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8" t="s">
        <v>2855</v>
      </c>
      <c r="B3" s="2564"/>
      <c r="C3" s="2565" t="s">
        <v>2856</v>
      </c>
      <c r="D3" s="2564">
        <v>44645</v>
      </c>
      <c r="E3" s="2857"/>
      <c r="F3" s="2857"/>
      <c r="G3" s="2857"/>
      <c r="H3" s="2857"/>
      <c r="I3" s="2857"/>
      <c r="J3" s="2664"/>
      <c r="K3" s="2559"/>
      <c r="L3" s="2560"/>
      <c r="M3" s="2560"/>
      <c r="N3" s="2561"/>
      <c r="O3" s="1729"/>
      <c r="P3" s="2561"/>
      <c r="Q3" s="2561"/>
      <c r="R3" s="2561"/>
      <c r="S3" s="1836"/>
      <c r="T3" s="1899"/>
      <c r="U3" s="1899"/>
      <c r="V3" s="1899"/>
      <c r="W3" s="1899"/>
      <c r="X3" s="1899"/>
      <c r="Y3" s="1899"/>
      <c r="Z3" s="1899"/>
      <c r="AA3" s="1899"/>
      <c r="AB3" s="1899"/>
    </row>
    <row r="4" spans="1:28" ht="13.5" thickBot="1">
      <c r="A4" s="1220" t="s">
        <v>2857</v>
      </c>
      <c r="B4" s="2566" t="s">
        <v>3192</v>
      </c>
      <c r="C4" s="2567">
        <f ca="1">SUMIF(注册房地产估价师,B4,估价师及机构信息!B3:B24)</f>
        <v>1120100036</v>
      </c>
      <c r="D4" s="2566" t="s">
        <v>3193</v>
      </c>
      <c r="E4" s="2568">
        <f ca="1">SUMIF(注册房地产估价师,D4,估价师及机构信息!B3:B24)</f>
        <v>1120070131</v>
      </c>
      <c r="F4" s="2566"/>
      <c r="G4" s="2568">
        <f>SUMIF(注册房地产估价师,F4,估价师及机构信息!B3:B24)</f>
        <v>0</v>
      </c>
      <c r="H4" s="2566"/>
      <c r="I4" s="2568">
        <f>SUMIF(注册房地产估价师,H4,估价师及机构信息!B3:B24)</f>
        <v>0</v>
      </c>
      <c r="J4" s="2632"/>
      <c r="K4" s="2569" t="str">
        <f ca="1">CONCATENATE(B4,"（注册号：",C4,")、",D4,"（注册号：",E4,")")</f>
        <v>崔锴（注册号：1120100036)、郑燚（注册号：1120070131)</v>
      </c>
      <c r="L4" s="2560"/>
      <c r="M4" s="2560"/>
      <c r="N4" s="2561"/>
      <c r="O4" s="1729"/>
      <c r="P4" s="2561"/>
      <c r="Q4" s="2561"/>
      <c r="R4" s="2561"/>
      <c r="S4" s="1836"/>
      <c r="T4" s="1899"/>
      <c r="U4" s="1899"/>
      <c r="V4" s="1899"/>
      <c r="W4" s="1899"/>
      <c r="X4" s="1899"/>
      <c r="Y4" s="1899"/>
      <c r="Z4" s="1899"/>
      <c r="AA4" s="1899"/>
      <c r="AB4" s="1899"/>
    </row>
    <row r="5" spans="1:28" ht="13.5" thickTop="1">
      <c r="A5" s="2570" t="s">
        <v>2858</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9"/>
      <c r="T5" s="1899"/>
      <c r="U5" s="1899"/>
      <c r="V5" s="1899"/>
      <c r="W5" s="1899"/>
      <c r="X5" s="1899"/>
      <c r="Y5" s="1899"/>
      <c r="Z5" s="1899"/>
      <c r="AA5" s="1899"/>
      <c r="AB5" s="1899"/>
    </row>
    <row r="6" spans="1:28">
      <c r="A6" s="2574" t="s">
        <v>2859</v>
      </c>
      <c r="B6" s="2575"/>
      <c r="C6" s="2576"/>
      <c r="D6" s="2577"/>
      <c r="E6" s="2856"/>
      <c r="F6" s="2858"/>
      <c r="G6" s="2858"/>
      <c r="H6" s="2858"/>
      <c r="I6" s="2858"/>
      <c r="J6" s="2632"/>
      <c r="K6" s="2808" t="str">
        <f>IF(COUNTIF(B6,"*上海银行*"),"上海银行","")</f>
        <v/>
      </c>
      <c r="L6" s="2806"/>
      <c r="M6" s="2806"/>
      <c r="N6" s="2632"/>
      <c r="O6" s="2643"/>
      <c r="P6" s="2632"/>
      <c r="Q6" s="2632"/>
      <c r="R6" s="2632"/>
    </row>
    <row r="7" spans="1:28">
      <c r="A7" s="2574" t="s">
        <v>2860</v>
      </c>
      <c r="B7" s="2578"/>
      <c r="C7" s="2576"/>
      <c r="D7" s="2577"/>
      <c r="E7" s="2856"/>
      <c r="F7" s="2858"/>
      <c r="G7" s="2858"/>
      <c r="H7" s="2858"/>
      <c r="I7" s="2858"/>
      <c r="J7" s="2632"/>
      <c r="K7" s="2809"/>
      <c r="L7" s="2806"/>
      <c r="M7" s="2806"/>
      <c r="N7" s="2632"/>
      <c r="O7" s="2643"/>
      <c r="P7" s="2632"/>
      <c r="Q7" s="2632"/>
      <c r="R7" s="2632"/>
    </row>
    <row r="8" spans="1:28">
      <c r="A8" s="2579" t="s">
        <v>2861</v>
      </c>
      <c r="B8" s="2580" t="s">
        <v>3127</v>
      </c>
      <c r="C8" s="2581"/>
      <c r="D8" s="3274" t="s">
        <v>2862</v>
      </c>
      <c r="E8" s="2582" t="s">
        <v>3128</v>
      </c>
      <c r="F8" s="2583"/>
      <c r="G8" s="2857"/>
      <c r="H8" s="2857"/>
      <c r="I8" s="2857"/>
      <c r="J8" s="2632"/>
      <c r="K8" s="2807"/>
      <c r="L8" s="2806"/>
      <c r="M8" s="2806"/>
      <c r="N8" s="2632"/>
      <c r="O8" s="2643"/>
      <c r="P8" s="2632"/>
      <c r="Q8" s="2632"/>
      <c r="R8" s="2632"/>
    </row>
    <row r="9" spans="1:28" ht="13.5" thickBot="1">
      <c r="A9" s="2584" t="s">
        <v>2863</v>
      </c>
      <c r="B9" s="2585" t="s">
        <v>3128</v>
      </c>
      <c r="C9" s="2586"/>
      <c r="D9" s="3275"/>
      <c r="E9" s="2585"/>
      <c r="F9" s="2587"/>
      <c r="G9" s="2859"/>
      <c r="H9" s="2859"/>
      <c r="I9" s="2859"/>
      <c r="J9" s="2632"/>
      <c r="K9" s="2809"/>
      <c r="L9" s="2806"/>
      <c r="M9" s="2806"/>
      <c r="N9" s="2632"/>
      <c r="O9" s="2643"/>
      <c r="P9" s="2632"/>
      <c r="Q9" s="2632"/>
      <c r="R9" s="2632"/>
    </row>
    <row r="10" spans="1:28" ht="13.5" thickTop="1">
      <c r="A10" s="2588" t="s">
        <v>2864</v>
      </c>
      <c r="B10" s="2589" t="s">
        <v>3129</v>
      </c>
      <c r="C10" s="2590"/>
      <c r="D10" s="2573"/>
      <c r="E10" s="2591" t="s">
        <v>2865</v>
      </c>
      <c r="F10" s="2860"/>
      <c r="G10" s="2861"/>
      <c r="H10" s="2862"/>
      <c r="I10" s="2863"/>
      <c r="J10" s="2632"/>
      <c r="K10" s="2809"/>
      <c r="L10" s="2806"/>
      <c r="M10" s="2806"/>
      <c r="N10" s="2632"/>
      <c r="O10" s="2643"/>
      <c r="P10" s="2632"/>
      <c r="Q10" s="2632"/>
      <c r="R10" s="2632"/>
    </row>
    <row r="11" spans="1:28">
      <c r="A11" s="2592" t="s">
        <v>2866</v>
      </c>
      <c r="B11" s="2593" t="s">
        <v>3130</v>
      </c>
      <c r="C11" s="2594"/>
      <c r="D11" s="2595"/>
      <c r="E11" s="2561"/>
      <c r="F11" s="2561"/>
      <c r="G11" s="2561"/>
      <c r="H11" s="2561"/>
      <c r="I11" s="2561"/>
      <c r="J11" s="2632"/>
      <c r="K11" s="2809"/>
      <c r="L11" s="2806"/>
      <c r="M11" s="2806"/>
      <c r="N11" s="2632"/>
      <c r="O11" s="2643"/>
      <c r="P11" s="2632"/>
      <c r="Q11" s="2632"/>
      <c r="R11" s="2632"/>
    </row>
    <row r="12" spans="1:28">
      <c r="A12" s="2596" t="s">
        <v>2867</v>
      </c>
      <c r="B12" s="2593" t="s">
        <v>3131</v>
      </c>
      <c r="C12" s="329" t="s">
        <v>2868</v>
      </c>
      <c r="D12" s="2597" t="s">
        <v>2869</v>
      </c>
      <c r="E12" s="2597" t="s">
        <v>2870</v>
      </c>
      <c r="F12" s="2597" t="s">
        <v>2871</v>
      </c>
      <c r="G12" s="2597" t="s">
        <v>2872</v>
      </c>
      <c r="H12" s="2597" t="s">
        <v>2873</v>
      </c>
      <c r="I12" s="2597" t="s">
        <v>2874</v>
      </c>
      <c r="J12" s="2632"/>
      <c r="K12" s="2809"/>
      <c r="L12" s="2806"/>
      <c r="M12" s="2806"/>
      <c r="N12" s="2632"/>
      <c r="O12" s="2643"/>
      <c r="P12" s="2632"/>
      <c r="Q12" s="2632"/>
      <c r="R12" s="2632"/>
    </row>
    <row r="13" spans="1:28">
      <c r="A13" s="1211"/>
      <c r="B13" s="2598"/>
      <c r="C13" s="2599" t="s">
        <v>2875</v>
      </c>
      <c r="D13" s="964"/>
      <c r="E13" s="964"/>
      <c r="F13" s="964">
        <v>55858</v>
      </c>
      <c r="G13" s="964">
        <f>F13</f>
        <v>55858</v>
      </c>
      <c r="H13" s="964"/>
      <c r="I13" s="964"/>
      <c r="J13" s="2632"/>
      <c r="K13" s="2809"/>
      <c r="L13" s="2806"/>
      <c r="M13" s="2806"/>
      <c r="N13" s="2632"/>
      <c r="O13" s="2643"/>
      <c r="P13" s="2632"/>
      <c r="Q13" s="2632"/>
      <c r="R13" s="2632"/>
    </row>
    <row r="14" spans="1:28">
      <c r="A14" s="1211"/>
      <c r="B14" s="2598"/>
      <c r="C14" s="2599" t="s">
        <v>2876</v>
      </c>
      <c r="D14" s="2600"/>
      <c r="E14" s="2600"/>
      <c r="F14" s="2600">
        <v>50</v>
      </c>
      <c r="G14" s="2600">
        <v>50</v>
      </c>
      <c r="H14" s="2600"/>
      <c r="I14" s="2600"/>
      <c r="J14" s="2632"/>
      <c r="K14" s="2810"/>
      <c r="L14" s="2806"/>
      <c r="M14" s="2806"/>
      <c r="N14" s="2632"/>
      <c r="O14" s="2643"/>
      <c r="P14" s="2632"/>
      <c r="Q14" s="2632"/>
      <c r="R14" s="2632"/>
    </row>
    <row r="15" spans="1:28">
      <c r="A15" s="326"/>
      <c r="B15" s="2601"/>
      <c r="C15" s="2602" t="s">
        <v>2877</v>
      </c>
      <c r="D15" s="2603" t="str">
        <f>IF(B12="出让",IF(D13="","",ROUNDDOWN(MIN((D13-$D$3)/365,D14),2)),D14)</f>
        <v/>
      </c>
      <c r="E15" s="2603" t="str">
        <f>IF(B12="出让",IF(E13="","",ROUNDDOWN(MIN((E13-$D$3)/365,E14),2)),E14)</f>
        <v/>
      </c>
      <c r="F15" s="2603">
        <f>IF(B12="出让",IF(F13="","",ROUNDDOWN(MIN((F13-$D$3)/365,F14),2)),F14)</f>
        <v>30.72</v>
      </c>
      <c r="G15" s="2603">
        <f>IF(B12="出让",IF(G13="","",ROUNDDOWN(MIN((G13-$D$3)/365,G14),2)),G14)</f>
        <v>30.72</v>
      </c>
      <c r="H15" s="2603" t="str">
        <f>IF(B12="出让",IF(H13="","",ROUNDDOWN(MIN((H13-$D$3)/365,H14),2)),H14)</f>
        <v/>
      </c>
      <c r="I15" s="2603" t="str">
        <f>IF(B12="出让",IF(I13="","",ROUNDDOWN(MIN((I13-$D$3)/365,I14),2)),I14)</f>
        <v/>
      </c>
      <c r="J15" s="2632"/>
      <c r="K15" s="2811"/>
      <c r="L15" s="2644"/>
      <c r="M15" s="2644"/>
      <c r="N15" s="2702"/>
      <c r="O15" s="2644"/>
      <c r="P15" s="2702"/>
      <c r="Q15" s="2632"/>
      <c r="R15" s="2632"/>
    </row>
    <row r="16" spans="1:28">
      <c r="A16" s="2591" t="s">
        <v>2878</v>
      </c>
      <c r="B16" s="3281"/>
      <c r="C16" s="3282"/>
      <c r="D16" s="3283"/>
      <c r="E16" s="2606" t="s">
        <v>2879</v>
      </c>
      <c r="F16" s="3284"/>
      <c r="G16" s="3285"/>
      <c r="H16" s="3285"/>
      <c r="I16" s="3286"/>
      <c r="J16" s="2632"/>
      <c r="K16" s="2811"/>
      <c r="L16" s="2644"/>
      <c r="M16" s="2644"/>
      <c r="N16" s="2702"/>
      <c r="O16" s="2644"/>
      <c r="P16" s="2702"/>
      <c r="Q16" s="2632"/>
      <c r="R16" s="2632"/>
    </row>
    <row r="17" spans="1:28">
      <c r="A17" s="319" t="s">
        <v>2880</v>
      </c>
      <c r="B17" s="308" t="s">
        <v>2881</v>
      </c>
      <c r="C17" s="11">
        <f>'数据-汇总表'!E3</f>
        <v>26834.3</v>
      </c>
      <c r="D17" s="2512" t="s">
        <v>2882</v>
      </c>
      <c r="E17" s="3287" t="s">
        <v>2883</v>
      </c>
      <c r="F17" s="3288"/>
      <c r="G17" s="3288"/>
      <c r="H17" s="3288"/>
      <c r="I17" s="3289"/>
      <c r="J17" s="2632"/>
      <c r="K17" s="2812"/>
      <c r="L17" s="2644"/>
      <c r="M17" s="2644"/>
      <c r="N17" s="2702"/>
      <c r="O17" s="2644"/>
      <c r="P17" s="2702"/>
      <c r="Q17" s="2632"/>
      <c r="R17" s="2632"/>
      <c r="S17" s="2632"/>
      <c r="T17" s="2632"/>
      <c r="U17" s="2632"/>
      <c r="V17" s="2632"/>
    </row>
    <row r="18" spans="1:28" ht="24.75" thickBot="1">
      <c r="A18" s="2607" t="s">
        <v>2884</v>
      </c>
      <c r="B18" s="1220" t="s">
        <v>2885</v>
      </c>
      <c r="C18" s="2608">
        <f>'数据-汇总表'!D3</f>
        <v>6706.16</v>
      </c>
      <c r="D18" s="1222" t="s">
        <v>2886</v>
      </c>
      <c r="E18" s="3290" t="s">
        <v>2887</v>
      </c>
      <c r="F18" s="3291"/>
      <c r="G18" s="3291"/>
      <c r="H18" s="3291"/>
      <c r="I18" s="3292"/>
      <c r="J18" s="2632"/>
      <c r="K18" s="2812"/>
      <c r="L18" s="2644"/>
      <c r="M18" s="2644"/>
      <c r="N18" s="2702"/>
      <c r="O18" s="2644"/>
      <c r="P18" s="2702"/>
      <c r="Q18" s="2632"/>
      <c r="R18" s="2632"/>
      <c r="S18" s="2632"/>
      <c r="T18" s="2632"/>
      <c r="U18" s="2632"/>
      <c r="V18" s="2632"/>
    </row>
    <row r="19" spans="1:28" ht="37.5" thickTop="1" thickBot="1">
      <c r="A19" s="333" t="s">
        <v>1681</v>
      </c>
      <c r="B19" s="313" t="s">
        <v>2888</v>
      </c>
      <c r="C19" s="1716"/>
      <c r="D19" s="1717" t="s">
        <v>2889</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c r="A20" s="2826" t="s">
        <v>2890</v>
      </c>
      <c r="B20" s="3277" t="s">
        <v>2891</v>
      </c>
      <c r="C20" s="3278"/>
      <c r="D20" s="3279" t="s">
        <v>2892</v>
      </c>
      <c r="E20" s="3280"/>
      <c r="F20" s="2841" t="s">
        <v>1682</v>
      </c>
      <c r="G20" s="2858"/>
      <c r="H20" s="2858"/>
      <c r="I20" s="2858"/>
      <c r="J20" s="2632"/>
      <c r="K20" s="3276" t="s">
        <v>2893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9"/>
      <c r="X20" s="1899"/>
      <c r="Y20" s="1899"/>
      <c r="Z20" s="1899"/>
      <c r="AA20" s="1899"/>
      <c r="AB20" s="1899"/>
    </row>
    <row r="21" spans="1:28" ht="24.75" thickBot="1">
      <c r="A21" s="2826"/>
      <c r="B21" s="2827" t="s">
        <v>2894</v>
      </c>
      <c r="C21" s="2828" t="s">
        <v>1683</v>
      </c>
      <c r="D21" s="1721" t="s">
        <v>2895</v>
      </c>
      <c r="E21" s="2829" t="s">
        <v>1683</v>
      </c>
      <c r="F21" s="2842"/>
      <c r="G21" s="2858"/>
      <c r="H21" s="2858"/>
      <c r="I21" s="2858"/>
      <c r="J21" s="2632"/>
      <c r="K21" s="327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9"/>
      <c r="X21" s="1899"/>
      <c r="Y21" s="1899"/>
      <c r="Z21" s="1899"/>
      <c r="AA21" s="1899"/>
      <c r="AB21" s="1899"/>
    </row>
    <row r="22" spans="1:28" ht="24.75" thickBot="1">
      <c r="A22" s="2826"/>
      <c r="B22" s="2830" t="s">
        <v>2896</v>
      </c>
      <c r="C22" s="2828" t="s">
        <v>1684</v>
      </c>
      <c r="D22" s="2857"/>
      <c r="E22" s="2857"/>
      <c r="F22" s="2857"/>
      <c r="G22" s="2858"/>
      <c r="H22" s="2858"/>
      <c r="I22" s="2858"/>
      <c r="J22" s="2632"/>
      <c r="K22" s="327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9"/>
      <c r="X22" s="1899"/>
      <c r="Y22" s="1899"/>
      <c r="Z22" s="1899"/>
      <c r="AA22" s="1899"/>
      <c r="AB22" s="1899"/>
    </row>
    <row r="23" spans="1:28">
      <c r="A23" s="2831" t="s">
        <v>2897</v>
      </c>
      <c r="B23" s="2695" t="s">
        <v>2898</v>
      </c>
      <c r="C23" s="2832"/>
      <c r="D23" s="2833" t="s">
        <v>2898</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294" t="s">
        <v>2899</v>
      </c>
      <c r="B27" s="326" t="s">
        <v>2900</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294"/>
      <c r="B28" s="308" t="s">
        <v>2901</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294"/>
      <c r="B29" s="308" t="s">
        <v>2902</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295"/>
      <c r="B30" s="308" t="s">
        <v>2903</v>
      </c>
      <c r="C30" s="3296"/>
      <c r="D30" s="3297"/>
      <c r="E30" s="2858"/>
      <c r="F30" s="2858"/>
      <c r="G30" s="2858"/>
      <c r="H30" s="2858"/>
      <c r="I30" s="2858"/>
      <c r="J30" s="2632"/>
      <c r="K30" s="2809"/>
      <c r="L30" s="2806"/>
      <c r="M30" s="2806"/>
      <c r="N30" s="2632"/>
      <c r="O30" s="2643"/>
      <c r="P30" s="2632"/>
      <c r="Q30" s="2632"/>
      <c r="R30" s="2632"/>
      <c r="S30" s="2632"/>
      <c r="T30" s="2632"/>
      <c r="U30" s="2632"/>
      <c r="V30" s="2632"/>
    </row>
    <row r="31" spans="1:28">
      <c r="A31" s="3298" t="s">
        <v>2904</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c r="A32" s="3299"/>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c r="A33" s="3299"/>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c r="A34" s="308" t="s">
        <v>2905</v>
      </c>
      <c r="B34" s="2181"/>
      <c r="C34" s="2181"/>
      <c r="D34" s="2181"/>
      <c r="E34" s="2181"/>
      <c r="F34" s="2181"/>
      <c r="G34" s="2181"/>
      <c r="H34" s="2181"/>
      <c r="I34" s="2858"/>
      <c r="J34" s="2632"/>
      <c r="K34" s="2620">
        <f>COUNTIF(B34:H34,"——")</f>
        <v>0</v>
      </c>
      <c r="L34" s="329" t="s">
        <v>2906</v>
      </c>
      <c r="M34" s="329" t="s">
        <v>2907</v>
      </c>
      <c r="N34" s="329" t="s">
        <v>2908</v>
      </c>
      <c r="O34" s="329" t="s">
        <v>2909</v>
      </c>
      <c r="P34" s="329" t="s">
        <v>2910</v>
      </c>
      <c r="Q34" s="329" t="s">
        <v>2911</v>
      </c>
      <c r="R34" s="329" t="s">
        <v>2912</v>
      </c>
      <c r="S34" s="3293" t="s">
        <v>2913</v>
      </c>
      <c r="T34" s="2621" t="str">
        <f>NUMBERSTRING(7-K34,1)&amp;"通"</f>
        <v>七通</v>
      </c>
      <c r="U34" s="2632"/>
      <c r="V34" s="2632"/>
    </row>
    <row r="35" spans="1:30">
      <c r="A35" s="2622"/>
      <c r="B35" s="3300" t="s">
        <v>2914</v>
      </c>
      <c r="C35" s="3300"/>
      <c r="D35" s="3300"/>
      <c r="E35" s="3300"/>
      <c r="F35" s="672">
        <f>C10</f>
        <v>0</v>
      </c>
      <c r="G35" s="2858"/>
      <c r="H35" s="2858"/>
      <c r="I35" s="2858"/>
      <c r="J35" s="263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3"/>
      <c r="T35" s="335" t="str">
        <f>IF(T34="一通",L35,IF(T34="二通",M35,IF(T34="三通",N35,IF(T34="四通",O35,IF(T34="五通",P35,IF(T34="六通",Q35,R35))))))</f>
        <v>、、、、、、</v>
      </c>
      <c r="U35" s="2632"/>
      <c r="V35" s="2632"/>
    </row>
    <row r="36" spans="1:30">
      <c r="A36" s="2623"/>
      <c r="B36" s="672" t="s">
        <v>2870</v>
      </c>
      <c r="C36" s="672" t="s">
        <v>2871</v>
      </c>
      <c r="D36" s="672" t="s">
        <v>2869</v>
      </c>
      <c r="E36" s="672" t="s">
        <v>2874</v>
      </c>
      <c r="F36" s="2864"/>
      <c r="G36" s="2858"/>
      <c r="H36" s="2858"/>
      <c r="I36" s="2858"/>
      <c r="J36" s="2632"/>
      <c r="K36" s="2809"/>
      <c r="L36" s="2806"/>
      <c r="M36" s="2806"/>
      <c r="N36" s="2632"/>
      <c r="O36" s="2643"/>
      <c r="P36" s="2632"/>
      <c r="Q36" s="2632"/>
      <c r="R36" s="2632"/>
      <c r="S36" s="2632"/>
      <c r="T36" s="2632"/>
      <c r="U36" s="2632"/>
      <c r="V36" s="2632"/>
    </row>
    <row r="37" spans="1:30">
      <c r="A37" s="2824" t="s">
        <v>2915</v>
      </c>
      <c r="B37" s="2624"/>
      <c r="C37" s="2624" t="s">
        <v>56</v>
      </c>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2916</v>
      </c>
      <c r="B38" s="2625"/>
      <c r="C38" s="2625" t="s">
        <v>3132</v>
      </c>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2917</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c r="A41" s="2629" t="s">
        <v>2918</v>
      </c>
      <c r="B41" s="1911"/>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5.5">
      <c r="A42" s="329" t="s">
        <v>2919</v>
      </c>
      <c r="B42" s="11" t="s">
        <v>2920</v>
      </c>
      <c r="C42" s="11" t="s">
        <v>2921</v>
      </c>
      <c r="D42" s="11" t="s">
        <v>2922</v>
      </c>
      <c r="E42" s="11" t="s">
        <v>2923</v>
      </c>
      <c r="F42" s="11" t="s">
        <v>2924</v>
      </c>
      <c r="G42" s="11" t="s">
        <v>2925</v>
      </c>
      <c r="H42" s="11" t="s">
        <v>2926</v>
      </c>
      <c r="I42" s="11" t="s">
        <v>2927</v>
      </c>
      <c r="J42" s="2820" t="s">
        <v>2928</v>
      </c>
      <c r="K42" s="2821" t="s">
        <v>2929</v>
      </c>
      <c r="L42" s="2821" t="s">
        <v>2930</v>
      </c>
      <c r="M42" s="2821" t="s">
        <v>2931</v>
      </c>
      <c r="N42" s="2814" t="s">
        <v>2932</v>
      </c>
      <c r="O42" s="2814" t="s">
        <v>2933</v>
      </c>
      <c r="P42" s="2814" t="s">
        <v>2934</v>
      </c>
      <c r="Q42" s="2815" t="s">
        <v>2935</v>
      </c>
      <c r="R42" s="2815" t="s">
        <v>2936</v>
      </c>
      <c r="S42" s="2632"/>
      <c r="T42" s="2632"/>
      <c r="U42" s="2632"/>
      <c r="V42" s="2632"/>
    </row>
    <row r="43" spans="1:30" s="1897" customFormat="1">
      <c r="A43" s="1723"/>
      <c r="B43" s="1180"/>
      <c r="C43" s="1180"/>
      <c r="D43" s="1180"/>
      <c r="E43" s="1180"/>
      <c r="F43" s="1180"/>
      <c r="G43" s="1180"/>
      <c r="H43" s="1180"/>
      <c r="I43" s="1180"/>
      <c r="J43" s="2630"/>
      <c r="K43" s="2631"/>
      <c r="L43" s="2631"/>
      <c r="M43" s="1180"/>
      <c r="N43" s="1180"/>
      <c r="O43" s="1180"/>
      <c r="P43" s="1180"/>
      <c r="Q43" s="1180"/>
      <c r="R43" s="1180"/>
      <c r="S43" s="2632"/>
      <c r="T43" s="2632"/>
      <c r="U43" s="2632"/>
      <c r="V43" s="2632"/>
    </row>
    <row r="44" spans="1:30" s="1897" customFormat="1">
      <c r="A44" s="1723"/>
      <c r="B44" s="1723"/>
      <c r="C44" s="1180"/>
      <c r="D44" s="1180"/>
      <c r="E44" s="1180"/>
      <c r="F44" s="1180"/>
      <c r="G44" s="1180"/>
      <c r="H44" s="1180"/>
      <c r="I44" s="1180"/>
      <c r="J44" s="2630"/>
      <c r="K44" s="2631"/>
      <c r="L44" s="2631"/>
      <c r="M44" s="1180"/>
      <c r="N44" s="1180"/>
      <c r="O44" s="1180"/>
      <c r="P44" s="1180"/>
      <c r="Q44" s="1180"/>
      <c r="R44" s="1180"/>
      <c r="S44" s="2632"/>
      <c r="T44" s="2632"/>
      <c r="U44" s="2632"/>
      <c r="V44" s="2632"/>
    </row>
    <row r="45" spans="1:30" s="1897" customFormat="1">
      <c r="A45" s="1723"/>
      <c r="B45" s="1723"/>
      <c r="C45" s="1180"/>
      <c r="D45" s="1180"/>
      <c r="E45" s="1180"/>
      <c r="F45" s="1180"/>
      <c r="G45" s="1180"/>
      <c r="H45" s="1180"/>
      <c r="I45" s="1180"/>
      <c r="J45" s="2630"/>
      <c r="K45" s="2631"/>
      <c r="L45" s="2631"/>
      <c r="M45" s="1180"/>
      <c r="N45" s="1180"/>
      <c r="O45" s="1180"/>
      <c r="P45" s="1180"/>
      <c r="Q45" s="1180"/>
      <c r="R45" s="1180"/>
      <c r="S45" s="2632"/>
      <c r="T45" s="2632"/>
      <c r="U45" s="2632"/>
      <c r="V45" s="2632"/>
    </row>
    <row r="46" spans="1:30" s="1897" customFormat="1">
      <c r="A46" s="1723"/>
      <c r="B46" s="1723"/>
      <c r="C46" s="1180"/>
      <c r="D46" s="1180"/>
      <c r="E46" s="1180"/>
      <c r="F46" s="1180"/>
      <c r="G46" s="1180"/>
      <c r="H46" s="1180"/>
      <c r="I46" s="1180"/>
      <c r="J46" s="2630"/>
      <c r="K46" s="2631"/>
      <c r="L46" s="2631"/>
      <c r="M46" s="1180"/>
      <c r="N46" s="1180"/>
      <c r="O46" s="1180"/>
      <c r="P46" s="1180"/>
      <c r="Q46" s="1180"/>
      <c r="R46" s="1180"/>
      <c r="S46" s="2632"/>
      <c r="T46" s="2632"/>
      <c r="U46" s="2632"/>
      <c r="V46" s="2632"/>
    </row>
    <row r="47" spans="1:30" s="1897" customFormat="1">
      <c r="A47" s="1723"/>
      <c r="B47" s="1723"/>
      <c r="C47" s="1180"/>
      <c r="D47" s="1180"/>
      <c r="E47" s="1180"/>
      <c r="F47" s="1180"/>
      <c r="G47" s="1180"/>
      <c r="H47" s="1180"/>
      <c r="I47" s="1180"/>
      <c r="J47" s="2630"/>
      <c r="K47" s="2631"/>
      <c r="L47" s="2631"/>
      <c r="M47" s="1180"/>
      <c r="N47" s="1180"/>
      <c r="O47" s="1180"/>
      <c r="P47" s="1180"/>
      <c r="Q47" s="1180"/>
      <c r="R47" s="1180"/>
      <c r="S47" s="2632"/>
      <c r="T47" s="2632"/>
      <c r="U47" s="2632"/>
      <c r="V47" s="2632"/>
    </row>
    <row r="48" spans="1:30" s="1897" customFormat="1">
      <c r="A48" s="1723"/>
      <c r="B48" s="1723"/>
      <c r="C48" s="1180"/>
      <c r="D48" s="1180"/>
      <c r="E48" s="1180"/>
      <c r="F48" s="1180"/>
      <c r="G48" s="1180"/>
      <c r="H48" s="1180"/>
      <c r="I48" s="1180"/>
      <c r="J48" s="2630"/>
      <c r="K48" s="2631"/>
      <c r="L48" s="2631"/>
      <c r="M48" s="1180"/>
      <c r="N48" s="1180"/>
      <c r="O48" s="1180"/>
      <c r="P48" s="1180"/>
      <c r="Q48" s="1180"/>
      <c r="R48" s="1180"/>
      <c r="S48" s="2632"/>
      <c r="T48" s="2632"/>
      <c r="U48" s="2632"/>
      <c r="V48" s="2632"/>
    </row>
    <row r="49" spans="1:22" s="1897" customFormat="1">
      <c r="A49" s="1723"/>
      <c r="B49" s="1723"/>
      <c r="C49" s="1180"/>
      <c r="D49" s="1180"/>
      <c r="E49" s="1180"/>
      <c r="F49" s="1180"/>
      <c r="G49" s="1180"/>
      <c r="H49" s="1180"/>
      <c r="I49" s="1180"/>
      <c r="J49" s="2630"/>
      <c r="K49" s="2631"/>
      <c r="L49" s="2631"/>
      <c r="M49" s="1180"/>
      <c r="N49" s="1180"/>
      <c r="O49" s="1180"/>
      <c r="P49" s="1180"/>
      <c r="Q49" s="1180"/>
      <c r="R49" s="1180"/>
      <c r="S49" s="2632"/>
      <c r="T49" s="2632"/>
      <c r="U49" s="2632"/>
      <c r="V49" s="2632"/>
    </row>
    <row r="50" spans="1:22" s="1897" customFormat="1">
      <c r="A50" s="1723"/>
      <c r="B50" s="1723"/>
      <c r="C50" s="1180"/>
      <c r="D50" s="1180"/>
      <c r="E50" s="1180"/>
      <c r="F50" s="1180"/>
      <c r="G50" s="1180"/>
      <c r="H50" s="1180"/>
      <c r="I50" s="1180"/>
      <c r="J50" s="2630"/>
      <c r="K50" s="2631"/>
      <c r="L50" s="2631"/>
      <c r="M50" s="1180"/>
      <c r="N50" s="1180"/>
      <c r="O50" s="1180"/>
      <c r="P50" s="1180"/>
      <c r="Q50" s="1180"/>
      <c r="R50" s="1180"/>
      <c r="S50" s="2632"/>
      <c r="T50" s="2632"/>
      <c r="U50" s="2632"/>
      <c r="V50" s="2632"/>
    </row>
    <row r="51" spans="1:22" s="1897" customFormat="1">
      <c r="A51" s="1723"/>
      <c r="B51" s="1723"/>
      <c r="C51" s="1180"/>
      <c r="D51" s="1180"/>
      <c r="E51" s="1180"/>
      <c r="F51" s="1180"/>
      <c r="G51" s="1180"/>
      <c r="H51" s="1180"/>
      <c r="I51" s="1180"/>
      <c r="J51" s="2630"/>
      <c r="K51" s="2631"/>
      <c r="L51" s="2631"/>
      <c r="M51" s="1180"/>
      <c r="N51" s="1180"/>
      <c r="O51" s="1180"/>
      <c r="P51" s="1180"/>
      <c r="Q51" s="1180"/>
      <c r="R51" s="1180"/>
    </row>
    <row r="52" spans="1:22" s="1897" customFormat="1">
      <c r="A52" s="1723"/>
      <c r="B52" s="1723"/>
      <c r="C52" s="1723"/>
      <c r="D52" s="1723"/>
      <c r="E52" s="1723"/>
      <c r="F52" s="1180"/>
      <c r="G52" s="1723"/>
      <c r="H52" s="1723"/>
      <c r="I52" s="1723"/>
      <c r="J52" s="2633"/>
      <c r="K52" s="2631"/>
      <c r="L52" s="2631"/>
      <c r="M52" s="2631"/>
      <c r="N52" s="1723"/>
      <c r="O52" s="1723"/>
      <c r="P52" s="1723"/>
      <c r="Q52" s="1723"/>
      <c r="R52" s="1723"/>
    </row>
    <row r="53" spans="1:22" s="1897" customFormat="1">
      <c r="A53" s="1723"/>
      <c r="B53" s="1723"/>
      <c r="C53" s="1723"/>
      <c r="D53" s="1723"/>
      <c r="E53" s="1723"/>
      <c r="F53" s="1180"/>
      <c r="G53" s="1723"/>
      <c r="H53" s="1723"/>
      <c r="I53" s="1723"/>
      <c r="J53" s="2633"/>
      <c r="K53" s="2631"/>
      <c r="L53" s="2631"/>
      <c r="M53" s="2631"/>
      <c r="N53" s="1723"/>
      <c r="O53" s="1723"/>
      <c r="P53" s="1723"/>
      <c r="Q53" s="1723"/>
      <c r="R53" s="1723"/>
    </row>
    <row r="54" spans="1:22" s="1897" customFormat="1">
      <c r="A54" s="1723"/>
      <c r="B54" s="1723"/>
      <c r="C54" s="1723"/>
      <c r="D54" s="1723"/>
      <c r="E54" s="1723"/>
      <c r="F54" s="1180"/>
      <c r="G54" s="1723"/>
      <c r="H54" s="1723"/>
      <c r="I54" s="1723"/>
      <c r="J54" s="2633"/>
      <c r="K54" s="2631"/>
      <c r="L54" s="2631"/>
      <c r="M54" s="2631"/>
      <c r="N54" s="1723"/>
      <c r="O54" s="1723"/>
      <c r="P54" s="1723"/>
      <c r="Q54" s="1723"/>
      <c r="R54" s="1723"/>
    </row>
    <row r="55" spans="1:22" s="1897" customFormat="1">
      <c r="A55" s="1723"/>
      <c r="B55" s="1723"/>
      <c r="C55" s="1723"/>
      <c r="D55" s="1723"/>
      <c r="E55" s="1723"/>
      <c r="F55" s="1180"/>
      <c r="G55" s="1723"/>
      <c r="H55" s="1723"/>
      <c r="I55" s="1723"/>
      <c r="J55" s="2633"/>
      <c r="K55" s="2631"/>
      <c r="L55" s="2631"/>
      <c r="M55" s="2631"/>
      <c r="N55" s="1723"/>
      <c r="O55" s="1723"/>
      <c r="P55" s="1723"/>
      <c r="Q55" s="1723"/>
      <c r="R55" s="1723"/>
    </row>
    <row r="56" spans="1:22" s="1897" customFormat="1">
      <c r="A56" s="1723"/>
      <c r="B56" s="1723"/>
      <c r="C56" s="1723"/>
      <c r="D56" s="1723"/>
      <c r="E56" s="1723"/>
      <c r="F56" s="1180"/>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v>6706.16</v>
      </c>
      <c r="B3" s="14">
        <f>IF(C3="否",G5-AT5,G5)</f>
        <v>26834.3</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26834.3</v>
      </c>
      <c r="H5" s="16">
        <f t="shared" ref="H5:AT5" si="0">SUM(H13:H656)</f>
        <v>26834.3</v>
      </c>
      <c r="I5" s="16">
        <f t="shared" si="0"/>
        <v>24137.57</v>
      </c>
      <c r="J5" s="16">
        <f t="shared" si="0"/>
        <v>0</v>
      </c>
      <c r="K5" s="16">
        <f t="shared" si="0"/>
        <v>2696.73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26834.3</v>
      </c>
      <c r="BA5" s="18">
        <f t="shared" si="1"/>
        <v>26834.3</v>
      </c>
      <c r="BB5" s="18">
        <f t="shared" si="1"/>
        <v>24137.57</v>
      </c>
      <c r="BC5" s="18">
        <f t="shared" si="1"/>
        <v>2696.73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6706.16</v>
      </c>
      <c r="F6" s="16" t="s">
        <v>1</v>
      </c>
      <c r="G6" s="16" t="s">
        <v>2</v>
      </c>
      <c r="H6" s="20">
        <f>SUMIF(I$12:AB$12,"总值",I6:AB6)</f>
        <v>6706.16</v>
      </c>
      <c r="I6" s="16">
        <f t="shared" ref="I6:AB6" si="2">ROUND($A$3*I5/$B$3,2)</f>
        <v>6032.22</v>
      </c>
      <c r="J6" s="16">
        <f t="shared" si="2"/>
        <v>0</v>
      </c>
      <c r="K6" s="16">
        <f t="shared" si="2"/>
        <v>673.94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6706.16</v>
      </c>
      <c r="AZ6" s="16" t="s">
        <v>3</v>
      </c>
      <c r="BA6" s="16">
        <f>ROUND($AY$6*BA5/$AZ$5,2)</f>
        <v>6706.16</v>
      </c>
      <c r="BB6" s="16">
        <f>ROUND($AY$6*BB5/$AZ$5,2)</f>
        <v>6032.22</v>
      </c>
      <c r="BC6" s="16">
        <f t="shared" ref="BC6:BH6" si="4">ROUND($AY$6*BC5/$AZ$5,2)</f>
        <v>673.94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1717</v>
      </c>
      <c r="I9" s="1756" t="s">
        <v>3134</v>
      </c>
      <c r="J9" s="917"/>
      <c r="K9" s="1756" t="s">
        <v>3135</v>
      </c>
      <c r="L9" s="917"/>
      <c r="M9" s="1756"/>
      <c r="N9" s="917"/>
      <c r="O9" s="1756"/>
      <c r="P9" s="917"/>
      <c r="Q9" s="1756"/>
      <c r="R9" s="917"/>
      <c r="S9" s="1756"/>
      <c r="T9" s="917"/>
      <c r="U9" s="1756"/>
      <c r="V9" s="917"/>
      <c r="W9" s="1756"/>
      <c r="X9" s="1757"/>
      <c r="Y9" s="1756"/>
      <c r="Z9" s="917"/>
      <c r="AA9" s="1756"/>
      <c r="AB9" s="917"/>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2.75">
      <c r="A10" s="1747"/>
      <c r="B10" s="1747"/>
      <c r="C10" s="1747"/>
      <c r="D10" s="1747"/>
      <c r="E10" s="1747"/>
      <c r="F10" s="1747"/>
      <c r="G10" s="1200"/>
      <c r="H10" s="28"/>
      <c r="I10" s="1756" t="s">
        <v>27</v>
      </c>
      <c r="J10" s="917"/>
      <c r="K10" s="1762" t="s">
        <v>3136</v>
      </c>
      <c r="L10" s="917"/>
      <c r="M10" s="1762"/>
      <c r="N10" s="917"/>
      <c r="O10" s="1762"/>
      <c r="P10" s="917"/>
      <c r="Q10" s="1762"/>
      <c r="R10" s="917"/>
      <c r="S10" s="1762"/>
      <c r="T10" s="917"/>
      <c r="U10" s="1762"/>
      <c r="V10" s="917"/>
      <c r="W10" s="1762"/>
      <c r="X10" s="917"/>
      <c r="Y10" s="1762"/>
      <c r="Z10" s="917"/>
      <c r="AA10" s="1762"/>
      <c r="AB10" s="917"/>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t="str">
        <f>K9</f>
        <v>地下</v>
      </c>
      <c r="BD10" s="29">
        <f>M9</f>
        <v>0</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办公</v>
      </c>
      <c r="BC11" s="1752" t="str">
        <f>K10</f>
        <v>车库—办公</v>
      </c>
      <c r="BD11" s="1752">
        <f>M10</f>
        <v>0</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c r="D13" s="1778" t="s">
        <v>3133</v>
      </c>
      <c r="E13" s="16">
        <f>IF($C$3="是",ROUND($A$3*G13/$B$3,2),ROUND($A$3*(G13-AT13)/$B$3,2))</f>
        <v>6706.16</v>
      </c>
      <c r="F13" s="32"/>
      <c r="G13" s="33">
        <f>H13+AC13+AT13</f>
        <v>26834.3</v>
      </c>
      <c r="H13" s="20">
        <f>SUMIF(I$12:AB$12,"总值",I13:AB13)</f>
        <v>26834.3</v>
      </c>
      <c r="I13" s="1779">
        <v>24137.57</v>
      </c>
      <c r="J13" s="1779"/>
      <c r="K13" s="1779">
        <v>2696.73</v>
      </c>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6706.16</v>
      </c>
      <c r="AZ13" s="16">
        <f>BA13+BL13</f>
        <v>26834.3</v>
      </c>
      <c r="BA13" s="16">
        <f>SUM(BB13:BK13)</f>
        <v>26834.3</v>
      </c>
      <c r="BB13" s="16">
        <f>IF($D13="是",I13-J13,0)</f>
        <v>24137.57</v>
      </c>
      <c r="BC13" s="16">
        <f>IF($D13="是",K13-L13,0)</f>
        <v>2696.73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0"/>
      <c r="B14" s="1180"/>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B1" zoomScale="70" zoomScaleNormal="100" zoomScaleSheetLayoutView="70" workbookViewId="0">
      <selection activeCell="E43" sqref="E43"/>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3"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1"/>
      <c r="C1" s="1271"/>
      <c r="D1" s="1271"/>
      <c r="E1" s="1271"/>
      <c r="F1" s="1271"/>
      <c r="G1" s="1271"/>
      <c r="H1" s="1271"/>
      <c r="I1" s="1271"/>
      <c r="J1" s="1271"/>
      <c r="K1" s="1271"/>
      <c r="L1" s="1271"/>
      <c r="M1" s="1271"/>
      <c r="N1" s="1271"/>
      <c r="O1" s="1271"/>
      <c r="P1" s="1271"/>
    </row>
    <row r="2" spans="1:16" ht="15">
      <c r="A2" s="3312" t="s">
        <v>1757</v>
      </c>
      <c r="B2" s="3312"/>
      <c r="C2" s="3312"/>
      <c r="D2" s="903" t="s">
        <v>1733</v>
      </c>
      <c r="E2" s="1792" t="s">
        <v>1734</v>
      </c>
      <c r="F2" s="2853"/>
      <c r="G2" s="2844"/>
      <c r="H2" s="2845"/>
      <c r="I2" s="2515" t="s">
        <v>1758</v>
      </c>
      <c r="J2" s="2853"/>
      <c r="K2" s="2853"/>
      <c r="L2" s="2853"/>
      <c r="M2" s="2853"/>
      <c r="N2" s="2855"/>
      <c r="O2" s="2853"/>
      <c r="P2" s="2853"/>
    </row>
    <row r="3" spans="1:16" ht="15.75" thickBot="1">
      <c r="A3" s="3313" t="s">
        <v>1731</v>
      </c>
      <c r="B3" s="3313"/>
      <c r="C3" s="3313"/>
      <c r="D3" s="46">
        <f>'数据-基础表'!AY6</f>
        <v>6706.16</v>
      </c>
      <c r="E3" s="46">
        <f>'数据-基础表'!AZ5</f>
        <v>26834.3</v>
      </c>
      <c r="F3" s="2853"/>
      <c r="G3" s="1277"/>
      <c r="H3" s="1155" t="s">
        <v>1732</v>
      </c>
      <c r="I3" s="963">
        <f>ROUND('数据-基础表'!B3/'数据-基础表'!A3,2)</f>
        <v>4</v>
      </c>
      <c r="J3" s="2853"/>
      <c r="K3" s="2853"/>
      <c r="L3" s="2853"/>
      <c r="M3" s="2853"/>
      <c r="N3" s="2855"/>
      <c r="O3" s="2853"/>
      <c r="P3" s="2853"/>
    </row>
    <row r="4" spans="1:16" ht="15">
      <c r="A4" s="3314"/>
      <c r="B4" s="3315"/>
      <c r="C4" s="3316"/>
      <c r="D4" s="1794" t="s">
        <v>1733</v>
      </c>
      <c r="E4" s="1795" t="s">
        <v>1734</v>
      </c>
      <c r="F4" s="2853"/>
      <c r="G4" s="2846" t="s">
        <v>1759</v>
      </c>
      <c r="H4" s="1155" t="s">
        <v>1739</v>
      </c>
      <c r="I4" s="963">
        <f>ROUND(SUMIF('数据-基础表'!I9:AS9,"地上",'数据-基础表'!I5:AS5)/'数据-基础表'!A3,2)</f>
        <v>3.6</v>
      </c>
      <c r="J4" s="2853"/>
      <c r="K4" s="2853"/>
      <c r="L4" s="2853"/>
      <c r="M4" s="2853"/>
      <c r="N4" s="2855"/>
      <c r="O4" s="2853"/>
      <c r="P4" s="2853"/>
    </row>
    <row r="5" spans="1:16">
      <c r="A5" s="47" t="s">
        <v>1735</v>
      </c>
      <c r="B5" s="3317" t="s">
        <v>1736</v>
      </c>
      <c r="C5" s="3317"/>
      <c r="D5" s="48">
        <f>ROUND($D$3*E5/$E$3,2)</f>
        <v>0</v>
      </c>
      <c r="E5" s="49">
        <f>SUMIF('数据-基础表'!$11:$11,"住宅",'数据-基础表'!$5:$5)</f>
        <v>0</v>
      </c>
      <c r="F5" s="2853"/>
      <c r="G5" s="1277"/>
      <c r="H5" s="1155" t="s">
        <v>1732</v>
      </c>
      <c r="I5" s="963">
        <f>ROUND(E31/D31,2)</f>
        <v>4</v>
      </c>
      <c r="J5" s="2853"/>
      <c r="K5" s="2853"/>
      <c r="L5" s="2853"/>
      <c r="M5" s="2853"/>
      <c r="N5" s="2853"/>
      <c r="O5" s="2853"/>
      <c r="P5" s="2853"/>
    </row>
    <row r="6" spans="1:16" ht="15" thickBot="1">
      <c r="A6" s="1797"/>
      <c r="B6" s="3317" t="s">
        <v>1737</v>
      </c>
      <c r="C6" s="3317"/>
      <c r="D6" s="48">
        <f>ROUND($D$3*E6/$E$3,2)</f>
        <v>6706.16</v>
      </c>
      <c r="E6" s="49">
        <f>E3-E5</f>
        <v>26834.3</v>
      </c>
      <c r="F6" s="2853"/>
      <c r="G6" s="2847" t="s">
        <v>1738</v>
      </c>
      <c r="H6" s="1278" t="s">
        <v>1739</v>
      </c>
      <c r="I6" s="2848">
        <f>ROUND(F31/D31,2)</f>
        <v>3.6</v>
      </c>
      <c r="J6" s="2853"/>
      <c r="K6" s="2853"/>
      <c r="L6" s="2853"/>
      <c r="M6" s="2853"/>
      <c r="N6" s="2853"/>
      <c r="O6" s="2853"/>
      <c r="P6" s="2853"/>
    </row>
    <row r="7" spans="1:16" ht="15.75" thickBot="1">
      <c r="A7" s="3309"/>
      <c r="B7" s="3310"/>
      <c r="C7" s="3311"/>
      <c r="D7" s="1794" t="s">
        <v>1733</v>
      </c>
      <c r="E7" s="1798" t="s">
        <v>1740</v>
      </c>
      <c r="F7" s="2853"/>
      <c r="G7" s="2849" t="s">
        <v>1741</v>
      </c>
      <c r="H7" s="2850"/>
      <c r="I7" s="2851"/>
      <c r="J7" s="2853"/>
      <c r="K7" s="2853"/>
      <c r="L7" s="2853"/>
      <c r="M7" s="2853"/>
      <c r="N7" s="2853"/>
      <c r="O7" s="2853"/>
      <c r="P7" s="2853"/>
    </row>
    <row r="8" spans="1:16">
      <c r="A8" s="47" t="s">
        <v>1742</v>
      </c>
      <c r="B8" s="50" t="s">
        <v>1743</v>
      </c>
      <c r="C8" s="48" t="s">
        <v>1744</v>
      </c>
      <c r="D8" s="48">
        <f t="shared" ref="D8:D15" si="0">ROUND($D$3*E8/$E$3,2)</f>
        <v>6032.22</v>
      </c>
      <c r="E8" s="51">
        <f>SUMIF('数据-基础表'!BB10:BK10,"地上",'数据-基础表'!BB5:BK5)</f>
        <v>24137.57</v>
      </c>
      <c r="F8" s="2853"/>
      <c r="G8" s="2854"/>
      <c r="H8" s="2854"/>
      <c r="I8" s="2853"/>
      <c r="J8" s="2853"/>
      <c r="K8" s="2853"/>
      <c r="L8" s="2853"/>
      <c r="M8" s="2853"/>
      <c r="N8" s="2853"/>
      <c r="O8" s="2853"/>
      <c r="P8" s="2853"/>
    </row>
    <row r="9" spans="1:16">
      <c r="A9" s="1799"/>
      <c r="B9" s="1800"/>
      <c r="C9" s="48" t="s">
        <v>1745</v>
      </c>
      <c r="D9" s="48">
        <f t="shared" si="0"/>
        <v>0</v>
      </c>
      <c r="E9" s="52">
        <v>0</v>
      </c>
      <c r="F9" s="2853"/>
      <c r="G9" s="2854"/>
      <c r="H9" s="2854"/>
      <c r="I9" s="2853"/>
      <c r="J9" s="2853"/>
      <c r="K9" s="2853"/>
      <c r="L9" s="2853"/>
      <c r="M9" s="2853"/>
      <c r="N9" s="2853"/>
      <c r="O9" s="2853"/>
      <c r="P9" s="2853"/>
    </row>
    <row r="10" spans="1:16">
      <c r="A10" s="1799"/>
      <c r="B10" s="1800"/>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799"/>
      <c r="B12" s="1800"/>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c r="A13" s="1799"/>
      <c r="B13" s="1800"/>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799"/>
      <c r="B15" s="1800"/>
      <c r="C15" s="48" t="s">
        <v>1755</v>
      </c>
      <c r="D15" s="48">
        <f t="shared" si="0"/>
        <v>673.94</v>
      </c>
      <c r="E15" s="51">
        <f>SUMPRODUCT(('数据-基础表'!BB10:BK10="地下")*('数据-基础表'!BB11:BK11="车库—办公")*('数据-基础表'!BB5:BK5))</f>
        <v>2696.73</v>
      </c>
      <c r="F15" s="2853"/>
      <c r="G15" s="2854"/>
      <c r="H15" s="2854"/>
      <c r="I15" s="2853"/>
      <c r="J15" s="2853"/>
      <c r="K15" s="2853"/>
      <c r="L15" s="2853"/>
      <c r="M15" s="2853"/>
      <c r="N15" s="2853"/>
      <c r="O15" s="2853"/>
      <c r="P15" s="2853"/>
    </row>
    <row r="16" spans="1:16" ht="15.75" thickBot="1">
      <c r="A16" s="1797"/>
      <c r="B16" s="1800"/>
      <c r="C16" s="50" t="s">
        <v>1749</v>
      </c>
      <c r="D16" s="50">
        <f>SUM(D8:D15)</f>
        <v>6706.16</v>
      </c>
      <c r="E16" s="53">
        <f>SUM(E8:E15)</f>
        <v>26834.3</v>
      </c>
      <c r="F16" s="2853"/>
      <c r="G16" s="2854"/>
      <c r="H16" s="1801" t="s">
        <v>1761</v>
      </c>
      <c r="I16" s="1802"/>
      <c r="J16" s="1271"/>
      <c r="K16" s="3306" t="s">
        <v>1761</v>
      </c>
      <c r="L16" s="3307"/>
      <c r="M16" s="3307"/>
      <c r="N16" s="3307"/>
      <c r="O16" s="3307"/>
      <c r="P16" s="3308"/>
    </row>
    <row r="17" spans="1:19" ht="15">
      <c r="A17" s="1803" t="s">
        <v>1762</v>
      </c>
      <c r="B17" s="1804" t="s">
        <v>1763</v>
      </c>
      <c r="C17" s="1805" t="s">
        <v>1764</v>
      </c>
      <c r="D17" s="1806" t="s">
        <v>1752</v>
      </c>
      <c r="E17" s="1807" t="s">
        <v>1753</v>
      </c>
      <c r="F17" s="1808"/>
      <c r="G17" s="1809"/>
      <c r="H17" s="1810" t="s">
        <v>1765</v>
      </c>
      <c r="I17" s="1811" t="s">
        <v>1750</v>
      </c>
      <c r="J17" s="1271"/>
      <c r="K17" s="3303" t="s">
        <v>1766</v>
      </c>
      <c r="L17" s="3304"/>
      <c r="M17" s="3305"/>
      <c r="N17" s="3303" t="s">
        <v>1767</v>
      </c>
      <c r="O17" s="3304"/>
      <c r="P17" s="3305"/>
      <c r="R17" s="1793" t="s">
        <v>1768</v>
      </c>
      <c r="S17" s="60"/>
    </row>
    <row r="18" spans="1:19" ht="15">
      <c r="A18" s="1799"/>
      <c r="B18" s="1812"/>
      <c r="C18" s="1813"/>
      <c r="D18" s="1814"/>
      <c r="E18" s="1815" t="s">
        <v>1769</v>
      </c>
      <c r="F18" s="1816" t="s">
        <v>1770</v>
      </c>
      <c r="G18" s="1817" t="s">
        <v>1771</v>
      </c>
      <c r="H18" s="1170" t="s">
        <v>1772</v>
      </c>
      <c r="I18" s="1818" t="s">
        <v>1773</v>
      </c>
      <c r="J18" s="1271"/>
      <c r="K18" s="1170" t="s">
        <v>1774</v>
      </c>
      <c r="L18" s="1819" t="s">
        <v>1775</v>
      </c>
      <c r="M18" s="963" t="s">
        <v>1776</v>
      </c>
      <c r="N18" s="1170" t="s">
        <v>1774</v>
      </c>
      <c r="O18" s="1819" t="s">
        <v>1775</v>
      </c>
      <c r="P18" s="963" t="s">
        <v>1776</v>
      </c>
      <c r="R18" s="1155" t="s">
        <v>1777</v>
      </c>
      <c r="S18" s="1155" t="s">
        <v>1778</v>
      </c>
    </row>
    <row r="19" spans="1:19">
      <c r="A19" s="1820"/>
      <c r="B19" s="50" t="s">
        <v>1751</v>
      </c>
      <c r="C19" s="3204" t="s">
        <v>3138</v>
      </c>
      <c r="D19" s="48">
        <f>ROUND($D$3*E19/$E$3,2)</f>
        <v>6706.16</v>
      </c>
      <c r="E19" s="56">
        <f t="shared" ref="E19:E26" si="1">SUM(F19:G19)</f>
        <v>26834.3</v>
      </c>
      <c r="F19" s="2993">
        <f>'数据-基础表'!I13</f>
        <v>24137.57</v>
      </c>
      <c r="G19" s="2994">
        <f>'数据-基础表'!K13</f>
        <v>2696.73</v>
      </c>
      <c r="H19" s="678">
        <f>ROUND($D$3*I19/$E$3,2)</f>
        <v>0</v>
      </c>
      <c r="I19" s="51">
        <f t="shared" ref="I19:I26" si="2">IF($I$17="自定义",P19,M19)</f>
        <v>0</v>
      </c>
      <c r="J19" s="1271"/>
      <c r="K19" s="1270">
        <f t="shared" ref="K19:K26" si="3">ROUND(E$28*E19/E$27,2)</f>
        <v>0</v>
      </c>
      <c r="L19" s="1155">
        <f t="shared" ref="L19:L26" si="4">ROUND(IF(COUNTIF(C19,"*住宅*")&gt;0,E$29*E19/E$32,0),2)</f>
        <v>0</v>
      </c>
      <c r="M19" s="1282">
        <f>K19+L19</f>
        <v>0</v>
      </c>
      <c r="N19" s="1822"/>
      <c r="O19" s="1823"/>
      <c r="P19" s="1282">
        <f>N19+O19</f>
        <v>0</v>
      </c>
      <c r="R19" s="1155">
        <f t="shared" ref="R19:S26" si="5">D19+H19</f>
        <v>6706.16</v>
      </c>
      <c r="S19" s="1156">
        <f t="shared" si="5"/>
        <v>26834.3</v>
      </c>
    </row>
    <row r="20" spans="1:19">
      <c r="A20" s="1824"/>
      <c r="B20" s="50" t="s">
        <v>1779</v>
      </c>
      <c r="C20" s="1821"/>
      <c r="D20" s="48">
        <f t="shared" ref="D20:D26" si="6">ROUND($D$3*E20/$E$3,2)</f>
        <v>0</v>
      </c>
      <c r="E20" s="56">
        <f t="shared" si="1"/>
        <v>0</v>
      </c>
      <c r="F20" s="2993"/>
      <c r="G20" s="2994"/>
      <c r="H20" s="678">
        <f t="shared" ref="H20:H26" si="7">ROUND($D$3*I20/$E$3,2)</f>
        <v>0</v>
      </c>
      <c r="I20" s="51">
        <f t="shared" si="2"/>
        <v>0</v>
      </c>
      <c r="J20" s="1271"/>
      <c r="K20" s="1270">
        <f t="shared" si="3"/>
        <v>0</v>
      </c>
      <c r="L20" s="1155">
        <f t="shared" si="4"/>
        <v>0</v>
      </c>
      <c r="M20" s="1282">
        <f t="shared" ref="M20:M26" si="8">K20+L20</f>
        <v>0</v>
      </c>
      <c r="N20" s="1822"/>
      <c r="O20" s="1823"/>
      <c r="P20" s="1282">
        <f t="shared" ref="P20:P26" si="9">N20+O20</f>
        <v>0</v>
      </c>
      <c r="R20" s="1155">
        <f t="shared" si="5"/>
        <v>0</v>
      </c>
      <c r="S20" s="1156">
        <f t="shared" si="5"/>
        <v>0</v>
      </c>
    </row>
    <row r="21" spans="1:19">
      <c r="A21" s="1824"/>
      <c r="B21" s="50" t="s">
        <v>1779</v>
      </c>
      <c r="C21" s="1821"/>
      <c r="D21" s="48">
        <f t="shared" si="6"/>
        <v>0</v>
      </c>
      <c r="E21" s="56">
        <f t="shared" si="1"/>
        <v>0</v>
      </c>
      <c r="F21" s="2993"/>
      <c r="G21" s="2994"/>
      <c r="H21" s="678">
        <f t="shared" si="7"/>
        <v>0</v>
      </c>
      <c r="I21" s="51">
        <f t="shared" si="2"/>
        <v>0</v>
      </c>
      <c r="J21" s="1271"/>
      <c r="K21" s="1270">
        <f t="shared" si="3"/>
        <v>0</v>
      </c>
      <c r="L21" s="1155">
        <f t="shared" si="4"/>
        <v>0</v>
      </c>
      <c r="M21" s="1282">
        <f t="shared" si="8"/>
        <v>0</v>
      </c>
      <c r="N21" s="1822"/>
      <c r="O21" s="1823"/>
      <c r="P21" s="1282">
        <f t="shared" si="9"/>
        <v>0</v>
      </c>
      <c r="R21" s="1155">
        <f t="shared" si="5"/>
        <v>0</v>
      </c>
      <c r="S21" s="1156">
        <f t="shared" si="5"/>
        <v>0</v>
      </c>
    </row>
    <row r="22" spans="1:19">
      <c r="A22" s="1824"/>
      <c r="B22" s="50" t="s">
        <v>1779</v>
      </c>
      <c r="C22" s="58"/>
      <c r="D22" s="48">
        <f t="shared" si="6"/>
        <v>0</v>
      </c>
      <c r="E22" s="56">
        <f t="shared" si="1"/>
        <v>0</v>
      </c>
      <c r="F22" s="2995"/>
      <c r="G22" s="2996"/>
      <c r="H22" s="678">
        <f t="shared" si="7"/>
        <v>0</v>
      </c>
      <c r="I22" s="51">
        <f t="shared" si="2"/>
        <v>0</v>
      </c>
      <c r="J22" s="1271"/>
      <c r="K22" s="1270">
        <f t="shared" si="3"/>
        <v>0</v>
      </c>
      <c r="L22" s="1155">
        <f t="shared" si="4"/>
        <v>0</v>
      </c>
      <c r="M22" s="1282">
        <f t="shared" si="8"/>
        <v>0</v>
      </c>
      <c r="N22" s="1822"/>
      <c r="O22" s="1823"/>
      <c r="P22" s="1282">
        <f t="shared" si="9"/>
        <v>0</v>
      </c>
      <c r="R22" s="1155">
        <f t="shared" si="5"/>
        <v>0</v>
      </c>
      <c r="S22" s="1156">
        <f t="shared" si="5"/>
        <v>0</v>
      </c>
    </row>
    <row r="23" spans="1:19">
      <c r="A23" s="1824"/>
      <c r="B23" s="50" t="s">
        <v>1779</v>
      </c>
      <c r="C23" s="58"/>
      <c r="D23" s="48">
        <f>ROUND($D$3*E23/$E$3,2)</f>
        <v>0</v>
      </c>
      <c r="E23" s="56">
        <f>SUM(F23:G23)</f>
        <v>0</v>
      </c>
      <c r="F23" s="2995"/>
      <c r="G23" s="2996"/>
      <c r="H23" s="678">
        <f>ROUND($D$3*I23/$E$3,2)</f>
        <v>0</v>
      </c>
      <c r="I23" s="51">
        <f t="shared" si="2"/>
        <v>0</v>
      </c>
      <c r="J23" s="1271"/>
      <c r="K23" s="1270">
        <f t="shared" si="3"/>
        <v>0</v>
      </c>
      <c r="L23" s="1155">
        <f t="shared" si="4"/>
        <v>0</v>
      </c>
      <c r="M23" s="1282">
        <f t="shared" si="8"/>
        <v>0</v>
      </c>
      <c r="N23" s="1822"/>
      <c r="O23" s="1823"/>
      <c r="P23" s="1282">
        <f t="shared" si="9"/>
        <v>0</v>
      </c>
      <c r="R23" s="1155">
        <f t="shared" si="5"/>
        <v>0</v>
      </c>
      <c r="S23" s="1156">
        <f t="shared" si="5"/>
        <v>0</v>
      </c>
    </row>
    <row r="24" spans="1:19">
      <c r="A24" s="1824"/>
      <c r="B24" s="50" t="s">
        <v>1779</v>
      </c>
      <c r="C24" s="58"/>
      <c r="D24" s="48">
        <f>ROUND($D$3*E24/$E$3,2)</f>
        <v>0</v>
      </c>
      <c r="E24" s="56">
        <f>SUM(F24:G24)</f>
        <v>0</v>
      </c>
      <c r="F24" s="2995"/>
      <c r="G24" s="2996"/>
      <c r="H24" s="678">
        <f>ROUND($D$3*I24/$E$3,2)</f>
        <v>0</v>
      </c>
      <c r="I24" s="51">
        <f t="shared" si="2"/>
        <v>0</v>
      </c>
      <c r="J24" s="1271"/>
      <c r="K24" s="1270">
        <f t="shared" si="3"/>
        <v>0</v>
      </c>
      <c r="L24" s="1155">
        <f t="shared" si="4"/>
        <v>0</v>
      </c>
      <c r="M24" s="1282">
        <f t="shared" si="8"/>
        <v>0</v>
      </c>
      <c r="N24" s="1822"/>
      <c r="O24" s="1823"/>
      <c r="P24" s="1282">
        <f t="shared" si="9"/>
        <v>0</v>
      </c>
      <c r="R24" s="1155">
        <f t="shared" si="5"/>
        <v>0</v>
      </c>
      <c r="S24" s="1156">
        <f t="shared" si="5"/>
        <v>0</v>
      </c>
    </row>
    <row r="25" spans="1:19">
      <c r="A25" s="1824"/>
      <c r="B25" s="50" t="s">
        <v>1779</v>
      </c>
      <c r="C25" s="58"/>
      <c r="D25" s="48">
        <f t="shared" si="6"/>
        <v>0</v>
      </c>
      <c r="E25" s="56">
        <f t="shared" si="1"/>
        <v>0</v>
      </c>
      <c r="F25" s="2995"/>
      <c r="G25" s="2996"/>
      <c r="H25" s="47">
        <f t="shared" si="7"/>
        <v>0</v>
      </c>
      <c r="I25" s="51">
        <f t="shared" si="2"/>
        <v>0</v>
      </c>
      <c r="J25" s="1271"/>
      <c r="K25" s="1270">
        <f t="shared" si="3"/>
        <v>0</v>
      </c>
      <c r="L25" s="1155">
        <f t="shared" si="4"/>
        <v>0</v>
      </c>
      <c r="M25" s="1282">
        <f t="shared" si="8"/>
        <v>0</v>
      </c>
      <c r="N25" s="1822"/>
      <c r="O25" s="1823"/>
      <c r="P25" s="1282">
        <f t="shared" si="9"/>
        <v>0</v>
      </c>
      <c r="R25" s="1155">
        <f t="shared" si="5"/>
        <v>0</v>
      </c>
      <c r="S25" s="1156">
        <f t="shared" si="5"/>
        <v>0</v>
      </c>
    </row>
    <row r="26" spans="1:19">
      <c r="A26" s="1824"/>
      <c r="B26" s="50" t="s">
        <v>1779</v>
      </c>
      <c r="C26" s="59"/>
      <c r="D26" s="48">
        <f t="shared" si="6"/>
        <v>0</v>
      </c>
      <c r="E26" s="56">
        <f t="shared" si="1"/>
        <v>0</v>
      </c>
      <c r="F26" s="2995"/>
      <c r="G26" s="2996"/>
      <c r="H26" s="47">
        <f t="shared" si="7"/>
        <v>0</v>
      </c>
      <c r="I26" s="51">
        <f t="shared" si="2"/>
        <v>0</v>
      </c>
      <c r="J26" s="1271"/>
      <c r="K26" s="1277">
        <f t="shared" si="3"/>
        <v>0</v>
      </c>
      <c r="L26" s="1278">
        <f t="shared" si="4"/>
        <v>0</v>
      </c>
      <c r="M26" s="63">
        <f t="shared" si="8"/>
        <v>0</v>
      </c>
      <c r="N26" s="1825"/>
      <c r="O26" s="1826"/>
      <c r="P26" s="63">
        <f t="shared" si="9"/>
        <v>0</v>
      </c>
      <c r="R26" s="1155">
        <f t="shared" si="5"/>
        <v>0</v>
      </c>
      <c r="S26" s="1156">
        <f t="shared" si="5"/>
        <v>0</v>
      </c>
    </row>
    <row r="27" spans="1:19" ht="15.75" thickBot="1">
      <c r="A27" s="1824"/>
      <c r="B27" s="48"/>
      <c r="C27" s="1827" t="s">
        <v>1780</v>
      </c>
      <c r="D27" s="1272">
        <f>SUM(D19:D26)</f>
        <v>6706.16</v>
      </c>
      <c r="E27" s="1273">
        <f>IF(SUM(E19:E26)='数据-基础表'!BA5,SUM(E19:E26),IF(F27="地上面积有误","面积有误","地下面积有误"))</f>
        <v>26834.3</v>
      </c>
      <c r="F27" s="1272">
        <f>IF(SUM(F19:F26)=E8,SUM(F19:F26),"地上面积有误")</f>
        <v>24137.57</v>
      </c>
      <c r="G27" s="1274">
        <f>SUM(G19:G26)</f>
        <v>2696.73</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6706.16</v>
      </c>
      <c r="S27" s="1155">
        <f>IF(SUM(S19:S26)=$E$3,SUM(S19:S26),SUM(S19:S26)&amp;"误差"&amp;ROUND(SUM(S19:S26)-E3,2))</f>
        <v>26834.3</v>
      </c>
    </row>
    <row r="28" spans="1:19">
      <c r="A28" s="1824"/>
      <c r="B28" s="50" t="s">
        <v>1781</v>
      </c>
      <c r="C28" s="1167"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4"/>
      <c r="B29" s="50" t="s">
        <v>1781</v>
      </c>
      <c r="C29" s="1828"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4"/>
      <c r="B30" s="50"/>
      <c r="C30" s="1829" t="s">
        <v>1780</v>
      </c>
      <c r="D30" s="1272">
        <f>SUM(D28:D29)</f>
        <v>0</v>
      </c>
      <c r="E30" s="1272">
        <f>SUM(E28:E29)</f>
        <v>0</v>
      </c>
      <c r="F30" s="1272">
        <f>SUM(F28:F29)</f>
        <v>0</v>
      </c>
      <c r="G30" s="1274">
        <f>SUM(G28:G29)</f>
        <v>0</v>
      </c>
      <c r="H30" s="2853"/>
      <c r="I30" s="2853"/>
      <c r="J30" s="2853"/>
      <c r="K30" s="2853"/>
      <c r="L30" s="2853"/>
      <c r="M30" s="2853"/>
      <c r="N30" s="2853"/>
      <c r="O30" s="2853"/>
      <c r="P30" s="2853"/>
    </row>
    <row r="31" spans="1:19" ht="15.75" thickBot="1">
      <c r="A31" s="1830"/>
      <c r="B31" s="1831"/>
      <c r="C31" s="943" t="s">
        <v>1784</v>
      </c>
      <c r="D31" s="684">
        <f>D27+D30</f>
        <v>6706.16</v>
      </c>
      <c r="E31" s="684">
        <f>E27+E30</f>
        <v>26834.3</v>
      </c>
      <c r="F31" s="685">
        <f>F27+F30</f>
        <v>24137.57</v>
      </c>
      <c r="G31" s="686">
        <f>G27+G30</f>
        <v>2696.73</v>
      </c>
      <c r="H31" s="2853"/>
      <c r="I31" s="2853"/>
      <c r="J31" s="2853"/>
      <c r="K31" s="2853"/>
      <c r="L31" s="2853"/>
      <c r="M31" s="2853"/>
      <c r="N31" s="2853"/>
      <c r="O31" s="2853"/>
      <c r="P31" s="2853"/>
    </row>
    <row r="32" spans="1:19">
      <c r="A32" s="1796"/>
      <c r="B32" s="1796" t="s">
        <v>1785</v>
      </c>
      <c r="C32" s="1796"/>
      <c r="D32" s="1796"/>
      <c r="E32" s="1182">
        <f>SUMIF(C19:C26,"*住宅*",E19:E26)</f>
        <v>0</v>
      </c>
      <c r="F32" s="1796"/>
      <c r="G32" s="1796"/>
      <c r="H32" s="2853"/>
      <c r="I32" s="2853"/>
      <c r="J32" s="2853"/>
      <c r="K32" s="2853"/>
      <c r="L32" s="2853"/>
      <c r="M32" s="2853"/>
      <c r="N32" s="2853"/>
      <c r="O32" s="2853"/>
      <c r="P32" s="2853"/>
    </row>
    <row r="33" spans="4:8">
      <c r="D33" s="1832"/>
    </row>
    <row r="35" spans="4:8">
      <c r="F35" s="1791">
        <v>27000</v>
      </c>
      <c r="G35" s="1791">
        <f ca="1">ROUND(G36/G31*10000,0)</f>
        <v>5004</v>
      </c>
      <c r="H35" s="1791">
        <f ca="1">G35/F35</f>
        <v>0.18533333333333332</v>
      </c>
    </row>
    <row r="36" spans="4:8">
      <c r="F36" s="1791">
        <f>F31*F35/10000</f>
        <v>65171.438999999998</v>
      </c>
      <c r="G36" s="1791">
        <f ca="1">系统读取表!D14-'数据-汇总表'!F36</f>
        <v>1349.5610000000015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V6" activePane="bottomRight" state="frozen"/>
      <selection activeCell="C50" sqref="C50"/>
      <selection pane="topRight" activeCell="C50" sqref="C50"/>
      <selection pane="bottomLeft" activeCell="C50" sqref="C50"/>
      <selection pane="bottomRight" activeCell="AA32" sqref="AA32"/>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7"/>
      <c r="C1" s="1323"/>
      <c r="D1" s="1834"/>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75" thickBot="1">
      <c r="A2" s="1837" t="s">
        <v>1787</v>
      </c>
      <c r="B2" s="1174">
        <f>项目基本情况!D3</f>
        <v>44645</v>
      </c>
      <c r="C2" s="1838"/>
      <c r="D2" s="1839"/>
      <c r="E2" s="1838"/>
      <c r="F2" s="1838"/>
      <c r="G2" s="1838"/>
      <c r="H2" s="1838"/>
      <c r="I2" s="1838"/>
      <c r="J2" s="1838"/>
      <c r="K2" s="1300"/>
      <c r="L2" s="1300"/>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69"/>
      <c r="AO2" s="2869"/>
      <c r="AP2" s="2869"/>
      <c r="AQ2" s="2869"/>
      <c r="AR2" s="2869"/>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0"/>
      <c r="L3" s="1300"/>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69"/>
      <c r="AO3" s="2869"/>
      <c r="AP3" s="2869"/>
      <c r="AQ3" s="2869"/>
      <c r="AR3" s="2869"/>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2"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69"/>
      <c r="AO4" s="2869"/>
      <c r="AP4" s="2869"/>
      <c r="AQ4" s="2869"/>
      <c r="AR4" s="2869"/>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6" t="s">
        <v>1798</v>
      </c>
      <c r="F5" s="1853" t="s">
        <v>1799</v>
      </c>
      <c r="G5" s="1176" t="s">
        <v>1800</v>
      </c>
      <c r="H5" s="1176" t="s">
        <v>1801</v>
      </c>
      <c r="I5" s="1176" t="s">
        <v>1802</v>
      </c>
      <c r="J5" s="1854" t="s">
        <v>1803</v>
      </c>
      <c r="K5" s="1855" t="s">
        <v>1804</v>
      </c>
      <c r="L5" s="1856" t="s">
        <v>1805</v>
      </c>
      <c r="M5" s="1857" t="s">
        <v>1806</v>
      </c>
      <c r="N5" s="1858" t="s">
        <v>3139</v>
      </c>
      <c r="O5" s="1856" t="s">
        <v>1807</v>
      </c>
      <c r="P5" s="1859" t="s">
        <v>1808</v>
      </c>
      <c r="Q5" s="65" t="s">
        <v>1809</v>
      </c>
      <c r="R5" s="1860" t="s">
        <v>1810</v>
      </c>
      <c r="S5" s="1861" t="s">
        <v>1811</v>
      </c>
      <c r="T5" s="1862" t="s">
        <v>1812</v>
      </c>
      <c r="U5" s="1175" t="s">
        <v>1813</v>
      </c>
      <c r="V5" s="1176" t="s">
        <v>1814</v>
      </c>
      <c r="W5" s="1176" t="s">
        <v>1815</v>
      </c>
      <c r="X5" s="67"/>
      <c r="Y5" s="66" t="s">
        <v>1816</v>
      </c>
      <c r="Z5" s="1863" t="s">
        <v>1813</v>
      </c>
      <c r="AA5" s="1176" t="s">
        <v>1814</v>
      </c>
      <c r="AB5" s="1176" t="s">
        <v>1815</v>
      </c>
      <c r="AC5" s="67"/>
      <c r="AD5" s="67" t="s">
        <v>1816</v>
      </c>
      <c r="AE5" s="1175" t="s">
        <v>1817</v>
      </c>
      <c r="AF5" s="1176" t="s">
        <v>1818</v>
      </c>
      <c r="AG5" s="66" t="s">
        <v>1819</v>
      </c>
      <c r="AH5" s="1175" t="s">
        <v>1820</v>
      </c>
      <c r="AI5" s="1863" t="s">
        <v>1821</v>
      </c>
      <c r="AJ5" s="1863" t="s">
        <v>1822</v>
      </c>
      <c r="AK5" s="1176" t="s">
        <v>1823</v>
      </c>
      <c r="AL5" s="1176" t="s">
        <v>1824</v>
      </c>
      <c r="AM5" s="66" t="s">
        <v>1825</v>
      </c>
      <c r="AN5" s="1864" t="s">
        <v>1826</v>
      </c>
      <c r="AO5" s="1715" t="s">
        <v>1827</v>
      </c>
      <c r="AP5" s="1157"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朝林大厦</v>
      </c>
      <c r="B6" s="1867" t="str">
        <f>IF(A6=0,"","经营性")</f>
        <v>经营性</v>
      </c>
      <c r="C6" s="1868" t="s">
        <v>27</v>
      </c>
      <c r="D6" s="966">
        <f>SUMIF(项目基本情况!D$12:I$12,C6,项目基本情况!D$14:I$14)</f>
        <v>50</v>
      </c>
      <c r="E6" s="965">
        <f>IF(B6="","",SUMIF(项目基本情况!D$12:I$12,C6,项目基本情况!D$13:I$13))</f>
        <v>55858</v>
      </c>
      <c r="F6" s="68">
        <f>SUMIF(项目基本情况!D$12:I$12,C6,项目基本情况!D$15:I$15)</f>
        <v>30.72</v>
      </c>
      <c r="G6" s="69">
        <f>IF(ISERROR(ROUND(POWER(1+H6,D6-F6)*(POWER(1+H6,F6)-1)/(POWER(1+H6,D6)-1),3)),0,ROUND(POWER(1+H6,D6-F6)*(POWER(1+H6,F6)-1)/(POWER(1+H6,D6)-1),3))</f>
        <v>0.85099999999999998</v>
      </c>
      <c r="H6" s="740">
        <v>0.05</v>
      </c>
      <c r="I6" s="740">
        <v>5.5E-2</v>
      </c>
      <c r="J6" s="70">
        <v>7.0000000000000007E-2</v>
      </c>
      <c r="K6" s="1159">
        <f>SUMIF('数据-汇总表'!C$19:C$33,A6,'数据-汇总表'!E$19:E$33)</f>
        <v>26834.3</v>
      </c>
      <c r="L6" s="741">
        <v>3900</v>
      </c>
      <c r="M6" s="71">
        <f t="shared" ref="M6:M14" si="0">ROUND(K6*L6/10000,0)</f>
        <v>10465</v>
      </c>
      <c r="N6" s="739">
        <f>ROUND((N22+N23)/2,2)</f>
        <v>0.8</v>
      </c>
      <c r="O6" s="71" t="str">
        <f>IF($N$5="成新度","——",ROUND(M6*N6,0))</f>
        <v>——</v>
      </c>
      <c r="P6" s="72" t="str">
        <f>IF($N$5="成新度","——",M6-O6)</f>
        <v>——</v>
      </c>
      <c r="Q6" s="742">
        <v>0.15</v>
      </c>
      <c r="R6" s="73">
        <f ca="1">SUMIF('数据-汇总表'!C$19:C$33,A6,'数据-汇总表'!R$19:R$27)</f>
        <v>6706.16</v>
      </c>
      <c r="S6" s="54">
        <f>IF('数据-汇总表'!$I$17="按面积比例",SUMIF('数据-汇总表'!C$19:C$33,A6,'数据-汇总表'!K$19:K$33),SUMIF('数据-汇总表'!C$19:C$33,A6,'数据-汇总表'!N$19:N$33))</f>
        <v>0</v>
      </c>
      <c r="T6" s="1304">
        <f>ROUND($L$14*S6/10000,0)</f>
        <v>0</v>
      </c>
      <c r="U6" s="74">
        <v>4.5</v>
      </c>
      <c r="V6" s="75">
        <v>0.03</v>
      </c>
      <c r="W6" s="75">
        <v>0.1</v>
      </c>
      <c r="X6" s="1169"/>
      <c r="Y6" s="76">
        <f>N6</f>
        <v>0.8</v>
      </c>
      <c r="Z6" s="77"/>
      <c r="AA6" s="70"/>
      <c r="AB6" s="70"/>
      <c r="AC6" s="1169"/>
      <c r="AD6" s="78"/>
      <c r="AE6" s="1170">
        <f ca="1">IF(AN6="",0,SUMIF(INDIRECT("'"&amp;AN6&amp;"'"&amp;"!E:E"),$AE$5,INDIRECT("'"&amp;AN6&amp;"'"&amp;"!F:F")))</f>
        <v>30.72</v>
      </c>
      <c r="AF6" s="1500"/>
      <c r="AG6" s="143">
        <f>IF(AF6="",0,AE6-AF6)</f>
        <v>0</v>
      </c>
      <c r="AH6" s="79"/>
      <c r="AI6" s="81">
        <v>365</v>
      </c>
      <c r="AJ6" s="82"/>
      <c r="AK6" s="83">
        <v>1.4999999999999999E-2</v>
      </c>
      <c r="AL6" s="84">
        <v>1.5E-3</v>
      </c>
      <c r="AM6" s="85">
        <v>0.01</v>
      </c>
      <c r="AN6" s="1869" t="s">
        <v>3145</v>
      </c>
      <c r="AO6" s="55">
        <f ca="1">SUMIF(INDIRECT("'"&amp;AN6&amp;"'"&amp;"!A:A"),"总价",INDIRECT("'"&amp;AN6&amp;"'"&amp;"!B:B"))</f>
        <v>63101</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f>'数据-汇总表'!C20</f>
        <v>0</v>
      </c>
      <c r="B7" s="1867" t="str">
        <f t="shared" ref="B7:B13" si="1">IF(A7=0,"","经营性")</f>
        <v/>
      </c>
      <c r="C7" s="186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59">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04">
        <f t="shared" ref="T7:T13" si="5">ROUND($L$14*S7/10000,0)</f>
        <v>0</v>
      </c>
      <c r="U7" s="74"/>
      <c r="V7" s="75"/>
      <c r="W7" s="75"/>
      <c r="X7" s="1169"/>
      <c r="Y7" s="76"/>
      <c r="Z7" s="77"/>
      <c r="AA7" s="70"/>
      <c r="AB7" s="70"/>
      <c r="AC7" s="1169"/>
      <c r="AD7" s="78"/>
      <c r="AE7" s="1170">
        <f t="shared" ref="AE7:AE13" ca="1" si="6">IF(AN7="",0,SUMIF(INDIRECT("'"&amp;AN7&amp;"'"&amp;"!E:E"),$AE$5,INDIRECT("'"&amp;AN7&amp;"'"&amp;"!F:F")))</f>
        <v>0</v>
      </c>
      <c r="AF7" s="1500"/>
      <c r="AG7" s="143">
        <f t="shared" ref="AG7:AG13" si="7">IF(AF7="",0,AE7-AF7)</f>
        <v>0</v>
      </c>
      <c r="AH7" s="79"/>
      <c r="AI7" s="81"/>
      <c r="AJ7" s="82"/>
      <c r="AK7" s="83"/>
      <c r="AL7" s="84"/>
      <c r="AM7" s="85"/>
      <c r="AN7" s="1869"/>
      <c r="AO7" s="55" t="e">
        <f t="shared" ref="AO7:AO13" ca="1" si="8">SUMIF(INDIRECT("'"&amp;AN7&amp;"'"&amp;"!A:A"),"总价",INDIRECT("'"&amp;AN7&amp;"'"&amp;"!B:B"))</f>
        <v>#REF!</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4">
        <f t="shared" si="5"/>
        <v>0</v>
      </c>
      <c r="U8" s="743"/>
      <c r="V8" s="744"/>
      <c r="W8" s="744"/>
      <c r="X8" s="1169"/>
      <c r="Y8" s="745"/>
      <c r="Z8" s="77"/>
      <c r="AA8" s="70"/>
      <c r="AB8" s="70"/>
      <c r="AC8" s="1169"/>
      <c r="AD8" s="78"/>
      <c r="AE8" s="1170">
        <f t="shared" ca="1" si="6"/>
        <v>0</v>
      </c>
      <c r="AF8" s="1500"/>
      <c r="AG8" s="143">
        <f t="shared" si="7"/>
        <v>0</v>
      </c>
      <c r="AH8" s="746"/>
      <c r="AI8" s="81"/>
      <c r="AJ8" s="82"/>
      <c r="AK8" s="747"/>
      <c r="AL8" s="748"/>
      <c r="AM8" s="749"/>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500"/>
      <c r="AG9" s="143">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500"/>
      <c r="AG10" s="143">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500"/>
      <c r="AG11" s="143">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500"/>
      <c r="AG12" s="143">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500"/>
      <c r="AG13" s="143">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1831</v>
      </c>
      <c r="B14" s="1867" t="s">
        <v>1832</v>
      </c>
      <c r="C14" s="1872" t="s">
        <v>1831</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8"/>
      <c r="V14" s="1164"/>
      <c r="W14" s="1164"/>
      <c r="X14" s="1165"/>
      <c r="Y14" s="1166"/>
      <c r="Z14" s="1167"/>
      <c r="AA14" s="1168"/>
      <c r="AB14" s="1168"/>
      <c r="AC14" s="1169"/>
      <c r="AD14" s="1165"/>
      <c r="AE14" s="1170"/>
      <c r="AF14" s="55"/>
      <c r="AG14" s="143"/>
      <c r="AH14" s="1170"/>
      <c r="AI14" s="1509"/>
      <c r="AJ14" s="712"/>
      <c r="AK14" s="1171"/>
      <c r="AL14" s="1172"/>
      <c r="AM14" s="1173"/>
      <c r="AN14" s="2867"/>
      <c r="AO14" s="2869"/>
      <c r="AP14" s="2869"/>
      <c r="AQ14" s="2869"/>
      <c r="AR14" s="2869"/>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27">
      <c r="A15" s="1871" t="s">
        <v>1833</v>
      </c>
      <c r="B15" s="1867" t="s">
        <v>1832</v>
      </c>
      <c r="C15" s="1872" t="s">
        <v>1834</v>
      </c>
      <c r="D15" s="966"/>
      <c r="E15" s="965"/>
      <c r="F15" s="68"/>
      <c r="G15" s="69"/>
      <c r="H15" s="1158"/>
      <c r="I15" s="1158"/>
      <c r="J15" s="1158"/>
      <c r="K15" s="1159">
        <f>SUMIF('数据-汇总表'!C$19:C$33,A15,'数据-汇总表'!E$19:E$33)</f>
        <v>0</v>
      </c>
      <c r="L15" s="1160"/>
      <c r="M15" s="71"/>
      <c r="N15" s="1161"/>
      <c r="O15" s="71"/>
      <c r="P15" s="72"/>
      <c r="Q15" s="1162"/>
      <c r="R15" s="73"/>
      <c r="S15" s="54"/>
      <c r="T15" s="1304"/>
      <c r="U15" s="678"/>
      <c r="V15" s="1164"/>
      <c r="W15" s="1164"/>
      <c r="X15" s="1165"/>
      <c r="Y15" s="1166"/>
      <c r="Z15" s="1167"/>
      <c r="AA15" s="1168"/>
      <c r="AB15" s="1168"/>
      <c r="AC15" s="1169"/>
      <c r="AD15" s="1165"/>
      <c r="AE15" s="1170"/>
      <c r="AF15" s="55"/>
      <c r="AG15" s="143"/>
      <c r="AH15" s="1170"/>
      <c r="AI15" s="1509"/>
      <c r="AJ15" s="712"/>
      <c r="AK15" s="1171"/>
      <c r="AL15" s="1172"/>
      <c r="AM15" s="1173"/>
      <c r="AN15" s="2867"/>
      <c r="AO15" s="2869"/>
      <c r="AP15" s="2869"/>
      <c r="AQ15" s="2869"/>
      <c r="AR15" s="2869"/>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1835</v>
      </c>
      <c r="B16" s="93"/>
      <c r="C16" s="941"/>
      <c r="D16" s="1874"/>
      <c r="E16" s="93"/>
      <c r="F16" s="93"/>
      <c r="G16" s="94">
        <f>ROUND(SUMPRODUCT(G6:G13,K6:K13)/SUMPRODUCT((G6:G13&gt;0)*(K6:K13)),3)</f>
        <v>0.85099999999999998</v>
      </c>
      <c r="H16" s="95">
        <f>ROUND(SUMPRODUCT(H6:H13,K6:K13)/SUMPRODUCT((H6:H13&gt;0)*(K6:K13)),3)</f>
        <v>0.05</v>
      </c>
      <c r="I16" s="96"/>
      <c r="J16" s="96"/>
      <c r="K16" s="97">
        <f>SUM(K6:K15)</f>
        <v>26834.3</v>
      </c>
      <c r="L16" s="98">
        <f>ROUND(M16*10000/SUM(K6:K14),0)</f>
        <v>3900</v>
      </c>
      <c r="M16" s="98">
        <f>SUM(M6:M14)</f>
        <v>10465</v>
      </c>
      <c r="N16" s="99">
        <f>ROUND(SUMPRODUCT(M6:M14,N6:N14)/M16,3)</f>
        <v>0.8</v>
      </c>
      <c r="O16" s="98">
        <f>SUM(O6:O14)</f>
        <v>0</v>
      </c>
      <c r="P16" s="98">
        <f>SUM(P6:P14)</f>
        <v>0</v>
      </c>
      <c r="Q16" s="100">
        <f>ROUND(SUMPRODUCT(Q6:Q13,K6:K13)/SUMPRODUCT((Q6:Q13&gt;0)*(K6:K13)),2)</f>
        <v>0.15</v>
      </c>
      <c r="R16" s="1163">
        <f ca="1">SUM(R6:R13)</f>
        <v>6706.16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6" t="s">
        <v>1837</v>
      </c>
      <c r="B19" s="108">
        <v>0</v>
      </c>
      <c r="C19" s="2997" t="s">
        <v>2990</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7" t="s">
        <v>1838</v>
      </c>
      <c r="B20" s="109">
        <v>2</v>
      </c>
      <c r="C20" s="2998" t="s">
        <v>2988</v>
      </c>
      <c r="D20" s="2872"/>
      <c r="E20" s="2869"/>
      <c r="F20" s="2869"/>
      <c r="G20" s="2869"/>
      <c r="H20" s="2869"/>
      <c r="I20" s="2869"/>
      <c r="J20" s="2869"/>
      <c r="K20" s="2868"/>
      <c r="L20" s="2868"/>
      <c r="M20" s="2867"/>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8" t="s">
        <v>1839</v>
      </c>
      <c r="B21" s="109">
        <v>2</v>
      </c>
      <c r="C21" s="2869"/>
      <c r="D21" s="2872"/>
      <c r="E21" s="2869"/>
      <c r="F21" s="2869"/>
      <c r="G21" s="2869"/>
      <c r="H21" s="2869"/>
      <c r="I21" s="2869"/>
      <c r="J21" s="2869"/>
      <c r="K21" s="2868"/>
      <c r="L21" s="2868"/>
      <c r="M21" s="2867"/>
      <c r="N21" s="2867">
        <v>2004</v>
      </c>
      <c r="O21" s="2867"/>
      <c r="P21" s="2867"/>
      <c r="Q21" s="2867"/>
      <c r="R21" s="2867"/>
      <c r="S21" s="2867"/>
      <c r="T21" s="2867"/>
      <c r="U21" s="3221" t="s">
        <v>3180</v>
      </c>
      <c r="V21" s="3221" t="s">
        <v>3181</v>
      </c>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7" t="s">
        <v>1840</v>
      </c>
      <c r="B22" s="110">
        <f>B19+B20</f>
        <v>2</v>
      </c>
      <c r="C22" s="2869"/>
      <c r="D22" s="2872"/>
      <c r="E22" s="2869"/>
      <c r="F22" s="2869"/>
      <c r="G22" s="2869"/>
      <c r="H22" s="2869"/>
      <c r="I22" s="2869"/>
      <c r="J22" s="2869"/>
      <c r="K22" s="2868"/>
      <c r="L22" s="2868"/>
      <c r="M22" s="2867"/>
      <c r="N22" s="2867">
        <f>ROUND(1-(2022-N21)/60,2)</f>
        <v>0.7</v>
      </c>
      <c r="O22" s="2867"/>
      <c r="P22" s="2867"/>
      <c r="Q22" s="2867"/>
      <c r="R22" s="2867"/>
      <c r="S22" s="2867"/>
      <c r="T22" s="3221" t="s">
        <v>3182</v>
      </c>
      <c r="U22" s="2867">
        <f>'数据-基础表'!I13</f>
        <v>24137.57</v>
      </c>
      <c r="V22" s="2867">
        <v>5</v>
      </c>
      <c r="W22" s="2867">
        <f>U22*V22</f>
        <v>120687.85</v>
      </c>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8" t="s">
        <v>1841</v>
      </c>
      <c r="B23" s="110">
        <f>B19+B21</f>
        <v>2</v>
      </c>
      <c r="C23" s="2869"/>
      <c r="D23" s="2872"/>
      <c r="E23" s="2869"/>
      <c r="F23" s="2869"/>
      <c r="G23" s="2869"/>
      <c r="H23" s="2869"/>
      <c r="I23" s="2869"/>
      <c r="J23" s="2869"/>
      <c r="K23" s="2868"/>
      <c r="L23" s="2868"/>
      <c r="M23" s="2867"/>
      <c r="N23" s="2867">
        <v>0.9</v>
      </c>
      <c r="O23" s="2867"/>
      <c r="P23" s="2867"/>
      <c r="Q23" s="2867"/>
      <c r="R23" s="2867"/>
      <c r="S23" s="2867"/>
      <c r="T23" s="3221" t="s">
        <v>3183</v>
      </c>
      <c r="U23" s="2867">
        <f>'数据-基础表'!K13</f>
        <v>2696.73</v>
      </c>
      <c r="V23" s="2867">
        <v>0.5</v>
      </c>
      <c r="W23" s="2867">
        <f>U23*V23</f>
        <v>1348.365</v>
      </c>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79" t="s">
        <v>1842</v>
      </c>
      <c r="B24" s="111">
        <f>B20-B21</f>
        <v>0</v>
      </c>
      <c r="C24" s="2869"/>
      <c r="D24" s="2872"/>
      <c r="E24" s="2869"/>
      <c r="F24" s="2869"/>
      <c r="G24" s="2869"/>
      <c r="H24" s="2869"/>
      <c r="I24" s="2869"/>
      <c r="J24" s="2869"/>
      <c r="K24" s="2868"/>
      <c r="L24" s="2868"/>
      <c r="M24" s="2867"/>
      <c r="N24" s="2867"/>
      <c r="O24" s="2867"/>
      <c r="P24" s="2867"/>
      <c r="Q24" s="2867"/>
      <c r="R24" s="2867"/>
      <c r="S24" s="2867"/>
      <c r="T24" s="2867"/>
      <c r="U24" s="2867">
        <f>U22+U23</f>
        <v>26834.3</v>
      </c>
      <c r="V24" s="2867">
        <f>W24/U24</f>
        <v>4.5477696455655643</v>
      </c>
      <c r="W24" s="2867">
        <f>W22+W23</f>
        <v>122036.21500000001</v>
      </c>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0"/>
      <c r="B25" s="1841"/>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7" t="s">
        <v>1843</v>
      </c>
      <c r="B26" s="1880"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2" customFormat="1" ht="27.75">
      <c r="A27" s="1881" t="s">
        <v>1846</v>
      </c>
      <c r="B27" s="112"/>
      <c r="C27" s="2999" t="s">
        <v>2992</v>
      </c>
      <c r="D27" s="2875"/>
      <c r="E27" s="2855"/>
      <c r="F27" s="2855"/>
      <c r="G27" s="2869"/>
      <c r="H27" s="2869"/>
      <c r="I27" s="2869"/>
      <c r="J27" s="2869"/>
      <c r="K27" s="2868"/>
      <c r="L27" s="2868"/>
      <c r="M27" s="2867"/>
      <c r="N27" s="2867"/>
      <c r="O27" s="2867"/>
      <c r="P27" s="3221" t="s">
        <v>3180</v>
      </c>
      <c r="Q27" s="3221" t="s">
        <v>3179</v>
      </c>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1847</v>
      </c>
      <c r="B28" s="115">
        <v>200</v>
      </c>
      <c r="C28" s="2876"/>
      <c r="D28" s="2875"/>
      <c r="E28" s="2855"/>
      <c r="F28" s="2855"/>
      <c r="G28" s="2869"/>
      <c r="H28" s="2869"/>
      <c r="I28" s="2869"/>
      <c r="J28" s="2869"/>
      <c r="K28" s="2868"/>
      <c r="L28" s="2868"/>
      <c r="M28" s="2867"/>
      <c r="N28" s="2867"/>
      <c r="O28" s="2867"/>
      <c r="P28" s="2867">
        <f>U22</f>
        <v>24137.57</v>
      </c>
      <c r="Q28" s="2867">
        <v>28682</v>
      </c>
      <c r="R28" s="2867">
        <f>P28*Q28</f>
        <v>692313782.74000001</v>
      </c>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1848</v>
      </c>
      <c r="B29" s="117">
        <f ca="1">成本法!C10</f>
        <v>537</v>
      </c>
      <c r="C29" s="3000" t="s">
        <v>2979</v>
      </c>
      <c r="D29" s="2875"/>
      <c r="E29" s="2855"/>
      <c r="F29" s="2855"/>
      <c r="G29" s="2869"/>
      <c r="H29" s="2869"/>
      <c r="I29" s="2869"/>
      <c r="J29" s="2869"/>
      <c r="K29" s="2868"/>
      <c r="L29" s="2868"/>
      <c r="M29" s="2867"/>
      <c r="N29" s="2867"/>
      <c r="O29" s="2867"/>
      <c r="P29" s="2867">
        <f>U23</f>
        <v>2696.73</v>
      </c>
      <c r="Q29" s="2867">
        <f>ROUND(Q28*0.03,2)</f>
        <v>860.46</v>
      </c>
      <c r="R29" s="2867">
        <f>P29*Q29</f>
        <v>2320428.2958</v>
      </c>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7">
      <c r="A30" s="1885" t="s">
        <v>1849</v>
      </c>
      <c r="B30" s="679">
        <v>200</v>
      </c>
      <c r="C30" s="2876"/>
      <c r="D30" s="2875"/>
      <c r="E30" s="2855"/>
      <c r="F30" s="2855"/>
      <c r="G30" s="2869"/>
      <c r="H30" s="2869"/>
      <c r="I30" s="2869"/>
      <c r="J30" s="2869"/>
      <c r="K30" s="2868"/>
      <c r="L30" s="2868"/>
      <c r="M30" s="2867"/>
      <c r="N30" s="2867"/>
      <c r="O30" s="2867"/>
      <c r="P30" s="2867">
        <f>P28+P29</f>
        <v>26834.3</v>
      </c>
      <c r="Q30" s="2867">
        <f>R30/P28</f>
        <v>28778.133467279433</v>
      </c>
      <c r="R30" s="2867">
        <f>R28+R29</f>
        <v>694634211.03579998</v>
      </c>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1850</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1851</v>
      </c>
      <c r="B32" s="680">
        <v>0</v>
      </c>
      <c r="C32" s="2876"/>
      <c r="D32" s="2872"/>
      <c r="E32" s="2869"/>
      <c r="F32" s="2869"/>
      <c r="G32" s="2869"/>
      <c r="H32" s="2869"/>
      <c r="I32" s="2869"/>
      <c r="J32" s="2869"/>
      <c r="K32" s="2868"/>
      <c r="L32" s="2868"/>
      <c r="M32" s="2867"/>
      <c r="N32" s="2867"/>
      <c r="O32" s="2867"/>
      <c r="P32" s="3221" t="s">
        <v>3180</v>
      </c>
      <c r="Q32" s="3221" t="s">
        <v>3184</v>
      </c>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1852</v>
      </c>
      <c r="B33" s="681">
        <v>0.03</v>
      </c>
      <c r="C33" s="3001" t="s">
        <v>2980</v>
      </c>
      <c r="D33" s="2872"/>
      <c r="E33" s="2869"/>
      <c r="F33" s="2869"/>
      <c r="G33" s="2869"/>
      <c r="H33" s="2869"/>
      <c r="I33" s="2869"/>
      <c r="J33" s="2869"/>
      <c r="K33" s="2868"/>
      <c r="L33" s="2868"/>
      <c r="M33" s="2867"/>
      <c r="N33" s="2867"/>
      <c r="O33" s="2867"/>
      <c r="P33" s="2867">
        <f>P28</f>
        <v>24137.57</v>
      </c>
      <c r="Q33" s="2867">
        <v>4000</v>
      </c>
      <c r="R33" s="2867">
        <f>P33*Q33</f>
        <v>96550280</v>
      </c>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1853</v>
      </c>
      <c r="B34" s="118">
        <v>0.05</v>
      </c>
      <c r="C34" s="3001" t="s">
        <v>2981</v>
      </c>
      <c r="D34" s="2880" t="s">
        <v>2989</v>
      </c>
      <c r="E34" s="2878"/>
      <c r="F34" s="2869"/>
      <c r="G34" s="2869"/>
      <c r="H34" s="2869"/>
      <c r="I34" s="2869"/>
      <c r="J34" s="2869"/>
      <c r="K34" s="2868"/>
      <c r="L34" s="2868"/>
      <c r="M34" s="2867"/>
      <c r="N34" s="2867"/>
      <c r="O34" s="2867"/>
      <c r="P34" s="2867">
        <f>P29</f>
        <v>2696.73</v>
      </c>
      <c r="Q34" s="2867">
        <v>3000</v>
      </c>
      <c r="R34" s="2867">
        <f>P34*Q34</f>
        <v>8090190</v>
      </c>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1854</v>
      </c>
      <c r="B35" s="115">
        <v>200</v>
      </c>
      <c r="C35" s="3001" t="s">
        <v>2982</v>
      </c>
      <c r="D35" s="2875"/>
      <c r="E35" s="2855"/>
      <c r="F35" s="2855"/>
      <c r="G35" s="2869"/>
      <c r="H35" s="2869"/>
      <c r="I35" s="2869"/>
      <c r="J35" s="2869"/>
      <c r="K35" s="2868"/>
      <c r="L35" s="2868"/>
      <c r="M35" s="2867"/>
      <c r="N35" s="2867"/>
      <c r="O35" s="2867"/>
      <c r="P35" s="2867">
        <f>P33+P34</f>
        <v>26834.3</v>
      </c>
      <c r="Q35" s="2867">
        <f>ROUND(R35/P35,0)</f>
        <v>3900</v>
      </c>
      <c r="R35" s="2867">
        <f>R33+R34</f>
        <v>104640470</v>
      </c>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9">
        <v>1.4999999999999999E-2</v>
      </c>
      <c r="C36" s="3001" t="s">
        <v>2983</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5" t="s">
        <v>1856</v>
      </c>
      <c r="B37" s="120">
        <v>0.02</v>
      </c>
      <c r="C37" s="3001" t="s">
        <v>2984</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3" t="s">
        <v>1857</v>
      </c>
      <c r="B38" s="118">
        <v>0.02</v>
      </c>
      <c r="C38" s="3001" t="s">
        <v>2984</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6"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3140</v>
      </c>
      <c r="B40" s="1208">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1"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7"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7"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8" t="s">
        <v>1862</v>
      </c>
      <c r="B44" s="124">
        <v>0.05</v>
      </c>
      <c r="C44" s="3001" t="s">
        <v>2993</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8" t="s">
        <v>1863</v>
      </c>
      <c r="B45" s="122">
        <v>0.03</v>
      </c>
      <c r="C45" s="3000" t="s">
        <v>2985</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8" t="s">
        <v>1864</v>
      </c>
      <c r="B46" s="122">
        <v>0.02</v>
      </c>
      <c r="C46" s="3000" t="s">
        <v>2986</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89" t="s">
        <v>1865</v>
      </c>
      <c r="B47" s="125"/>
      <c r="C47" s="3003" t="s">
        <v>2994</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0" t="s">
        <v>1866</v>
      </c>
      <c r="B48" s="126">
        <v>0.03</v>
      </c>
      <c r="C48" s="3000" t="s">
        <v>2985</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6" t="s">
        <v>1867</v>
      </c>
      <c r="B49" s="122">
        <v>5.0000000000000001E-4</v>
      </c>
      <c r="C49" s="3000" t="s">
        <v>2987</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1" t="s">
        <v>1868</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4" t="s">
        <v>1869</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1" t="s">
        <v>1870</v>
      </c>
      <c r="B52" s="129">
        <f>SUMIF(A54:A63,B53,B54:B63)</f>
        <v>1.5</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3" t="s">
        <v>1871</v>
      </c>
      <c r="B53" s="1892" t="s">
        <v>56</v>
      </c>
      <c r="C53" s="2855" t="s">
        <v>1872</v>
      </c>
      <c r="D53" s="3002" t="s">
        <v>2991</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3" t="s">
        <v>1873</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3" t="s">
        <v>1874</v>
      </c>
      <c r="B55" s="80"/>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3" t="s">
        <v>1875</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3" t="s">
        <v>1876</v>
      </c>
      <c r="B57" s="80"/>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3" t="s">
        <v>1877</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3" t="s">
        <v>1878</v>
      </c>
      <c r="B59" s="80">
        <v>1.5</v>
      </c>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3"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3"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3"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4"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3" customWidth="1"/>
    <col min="4" max="4" width="2.625" style="2703" customWidth="1"/>
    <col min="5" max="5" width="5.875" style="2703" customWidth="1"/>
    <col min="6" max="6" width="27" style="1725"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6"/>
    <col min="30" max="16384" width="9" style="1840"/>
  </cols>
  <sheetData>
    <row r="1" spans="1:29" s="2650" customFormat="1" ht="18.75" thickBot="1">
      <c r="A1" s="3318" t="s">
        <v>2971</v>
      </c>
      <c r="B1" s="3319"/>
      <c r="C1" s="3319"/>
      <c r="D1" s="3319"/>
      <c r="E1" s="3319"/>
      <c r="F1" s="3319"/>
      <c r="G1" s="3319"/>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2966</v>
      </c>
      <c r="D2" s="2654"/>
      <c r="E2" s="2651"/>
      <c r="F2" s="2655"/>
      <c r="G2" s="2653" t="s">
        <v>2967</v>
      </c>
      <c r="H2" s="906"/>
      <c r="I2" s="906"/>
      <c r="J2" s="906"/>
      <c r="K2" s="906"/>
      <c r="L2" s="906"/>
      <c r="M2" s="906"/>
      <c r="N2" s="906"/>
      <c r="O2" s="906"/>
      <c r="P2" s="906"/>
      <c r="Q2" s="906"/>
      <c r="R2" s="906"/>
    </row>
    <row r="3" spans="1:29" ht="48">
      <c r="A3" s="2634" t="s">
        <v>2968</v>
      </c>
      <c r="B3" s="2656" t="s">
        <v>2937</v>
      </c>
      <c r="C3" s="2657" t="s">
        <v>2969</v>
      </c>
      <c r="D3" s="2658"/>
      <c r="E3" s="2635" t="s">
        <v>2968</v>
      </c>
      <c r="F3" s="2659" t="s">
        <v>2938</v>
      </c>
      <c r="G3" s="2660" t="s">
        <v>2970</v>
      </c>
      <c r="H3" s="906"/>
      <c r="I3" s="906"/>
      <c r="J3" s="906"/>
      <c r="K3" s="906"/>
      <c r="L3" s="906"/>
      <c r="M3" s="906"/>
      <c r="N3" s="906"/>
      <c r="O3" s="906"/>
      <c r="P3" s="906"/>
      <c r="Q3" s="906"/>
      <c r="R3" s="906"/>
    </row>
    <row r="4" spans="1:29" ht="36.75">
      <c r="A4" s="2635"/>
      <c r="B4" s="329" t="s">
        <v>2939</v>
      </c>
      <c r="C4" s="2661" t="s">
        <v>2940</v>
      </c>
      <c r="D4" s="2658"/>
      <c r="E4" s="2662"/>
      <c r="F4" s="1525" t="s">
        <v>2941</v>
      </c>
      <c r="G4" s="2663" t="s">
        <v>2942</v>
      </c>
      <c r="H4" s="906"/>
      <c r="I4" s="906"/>
      <c r="J4" s="906"/>
      <c r="K4" s="906"/>
      <c r="L4" s="906"/>
      <c r="M4" s="906"/>
      <c r="N4" s="906"/>
      <c r="O4" s="906"/>
      <c r="P4" s="906"/>
      <c r="Q4" s="906"/>
      <c r="R4" s="906"/>
    </row>
    <row r="5" spans="1:29" ht="36.75">
      <c r="A5" s="2635"/>
      <c r="B5" s="329" t="s">
        <v>2943</v>
      </c>
      <c r="C5" s="2661" t="s">
        <v>2944</v>
      </c>
      <c r="D5" s="2658"/>
      <c r="E5" s="2662"/>
      <c r="F5" s="329" t="s">
        <v>2945</v>
      </c>
      <c r="G5" s="2663" t="s">
        <v>2946</v>
      </c>
      <c r="H5" s="906"/>
      <c r="I5" s="906"/>
      <c r="J5" s="906"/>
      <c r="K5" s="906"/>
      <c r="L5" s="906"/>
      <c r="M5" s="906"/>
      <c r="N5" s="906"/>
      <c r="O5" s="906"/>
      <c r="P5" s="906"/>
      <c r="Q5" s="906"/>
      <c r="R5" s="906"/>
    </row>
    <row r="6" spans="1:29" ht="36">
      <c r="A6" s="2635"/>
      <c r="B6" s="329" t="s">
        <v>2947</v>
      </c>
      <c r="C6" s="2663" t="s">
        <v>2942</v>
      </c>
      <c r="D6" s="2658"/>
      <c r="E6" s="2662"/>
      <c r="F6" s="329" t="s">
        <v>2948</v>
      </c>
      <c r="G6" s="2663" t="s">
        <v>2949</v>
      </c>
      <c r="H6" s="906"/>
      <c r="I6" s="906"/>
      <c r="J6" s="906"/>
      <c r="K6" s="906"/>
      <c r="L6" s="906"/>
      <c r="M6" s="906"/>
      <c r="N6" s="906"/>
      <c r="O6" s="906"/>
      <c r="P6" s="906"/>
      <c r="Q6" s="906"/>
      <c r="R6" s="906"/>
    </row>
    <row r="7" spans="1:29" ht="24.75" thickBot="1">
      <c r="A7" s="2635"/>
      <c r="B7" s="329" t="s">
        <v>2945</v>
      </c>
      <c r="C7" s="2663" t="s">
        <v>2946</v>
      </c>
      <c r="D7" s="2664"/>
      <c r="E7" s="2665"/>
      <c r="F7" s="2666" t="s">
        <v>2950</v>
      </c>
      <c r="G7" s="2667" t="s">
        <v>2951</v>
      </c>
      <c r="H7" s="906"/>
      <c r="I7" s="906"/>
      <c r="J7" s="906"/>
      <c r="K7" s="906"/>
      <c r="L7" s="906"/>
      <c r="M7" s="906"/>
      <c r="N7" s="906"/>
      <c r="O7" s="906"/>
      <c r="P7" s="906"/>
      <c r="Q7" s="906"/>
      <c r="R7" s="906"/>
    </row>
    <row r="8" spans="1:29">
      <c r="A8" s="2635"/>
      <c r="B8" s="329" t="s">
        <v>2948</v>
      </c>
      <c r="C8" s="2663" t="s">
        <v>2949</v>
      </c>
      <c r="D8" s="2664"/>
      <c r="E8" s="2664"/>
      <c r="F8" s="2668"/>
      <c r="G8" s="2668"/>
      <c r="H8" s="906"/>
      <c r="I8" s="906"/>
      <c r="J8" s="906"/>
      <c r="K8" s="906"/>
      <c r="L8" s="906"/>
      <c r="M8" s="906"/>
      <c r="N8" s="906"/>
      <c r="O8" s="906"/>
      <c r="P8" s="906"/>
      <c r="Q8" s="906"/>
      <c r="R8" s="906"/>
    </row>
    <row r="9" spans="1:29" ht="24">
      <c r="A9" s="2635"/>
      <c r="B9" s="329" t="s">
        <v>2952</v>
      </c>
      <c r="C9" s="2661" t="s">
        <v>2953</v>
      </c>
      <c r="D9" s="2658"/>
      <c r="E9" s="2664"/>
      <c r="F9" s="2668"/>
      <c r="G9" s="2668"/>
      <c r="H9" s="906"/>
      <c r="I9" s="906"/>
      <c r="J9" s="906"/>
      <c r="K9" s="906"/>
      <c r="L9" s="906"/>
      <c r="M9" s="906"/>
      <c r="N9" s="906"/>
      <c r="O9" s="906"/>
      <c r="P9" s="906"/>
      <c r="Q9" s="906"/>
      <c r="R9" s="906"/>
    </row>
    <row r="10" spans="1:29" s="2674" customFormat="1" ht="15" thickBot="1">
      <c r="A10" s="2636"/>
      <c r="B10" s="2669" t="s">
        <v>2954</v>
      </c>
      <c r="C10" s="2670"/>
      <c r="D10" s="2658"/>
      <c r="E10" s="2658"/>
      <c r="F10" s="2668"/>
      <c r="G10" s="2668"/>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2972</v>
      </c>
      <c r="B13" s="2677"/>
      <c r="C13" s="2677"/>
      <c r="D13" s="2675"/>
      <c r="E13" s="2677"/>
      <c r="F13" s="2677"/>
      <c r="G13" s="2677"/>
    </row>
    <row r="14" spans="1:29" ht="15" thickBot="1">
      <c r="A14" s="2687"/>
      <c r="B14" s="2687"/>
      <c r="C14" s="2688" t="s">
        <v>2955</v>
      </c>
      <c r="D14" s="2658"/>
      <c r="E14" s="2689"/>
      <c r="F14" s="2689"/>
      <c r="G14" s="2653" t="s">
        <v>2956</v>
      </c>
    </row>
    <row r="15" spans="1:29" ht="51">
      <c r="A15" s="2637" t="s">
        <v>2957</v>
      </c>
      <c r="B15" s="2690" t="s">
        <v>2937</v>
      </c>
      <c r="C15" s="2691" t="str">
        <f>C3</f>
        <v>估价对象周边居住用地比例、居住小区规模和社区发展完善程度，综合评价居住社区成熟度一般</v>
      </c>
      <c r="D15" s="2658"/>
      <c r="E15" s="2638" t="s">
        <v>2958</v>
      </c>
      <c r="F15" s="2690" t="s">
        <v>2959</v>
      </c>
      <c r="G15" s="2692" t="str">
        <f>G3</f>
        <v>估价对象位于XX开发区，园区建设成熟度XX，产业集聚程度XX</v>
      </c>
    </row>
    <row r="16" spans="1:29" ht="38.25">
      <c r="A16" s="2639"/>
      <c r="B16" s="2693" t="s">
        <v>2939</v>
      </c>
      <c r="C16" s="2694" t="str">
        <f>C4</f>
        <v>估价对象位于XX商圈，周边商业氛围成熟，人流量大，商业繁华度好</v>
      </c>
      <c r="D16" s="2658"/>
      <c r="E16" s="2640"/>
      <c r="F16" s="2695" t="s">
        <v>2941</v>
      </c>
      <c r="G16" s="2696" t="str">
        <f>G4</f>
        <v>估价对象周边道路状况、公共交通通达情况、停车便捷程度，综合评价交通便捷度较好</v>
      </c>
    </row>
    <row r="17" spans="1:18" ht="38.25">
      <c r="A17" s="2639"/>
      <c r="B17" s="2693" t="s">
        <v>2943</v>
      </c>
      <c r="C17" s="2694" t="str">
        <f>C5</f>
        <v>估价对象位于XX商圈，周边办公楼项目较多，入驻率高，办公集聚程度较好</v>
      </c>
      <c r="D17" s="2664"/>
      <c r="E17" s="2640"/>
      <c r="F17" s="2695" t="s">
        <v>2960</v>
      </c>
      <c r="G17" s="2697"/>
    </row>
    <row r="18" spans="1:18" ht="38.25">
      <c r="A18" s="2639"/>
      <c r="B18" s="2695" t="s">
        <v>2947</v>
      </c>
      <c r="C18" s="2696" t="str">
        <f>C6</f>
        <v>估价对象周边道路状况、公共交通通达情况、停车便捷程度，综合评价交通便捷度较好</v>
      </c>
      <c r="D18" s="2664"/>
      <c r="E18" s="2640"/>
      <c r="F18" s="2695" t="s">
        <v>2950</v>
      </c>
      <c r="G18" s="2696" t="str">
        <f>G7</f>
        <v>该园区内是否有污染型企业，绿化情况，卫生条件，整体环境状况判断</v>
      </c>
    </row>
    <row r="19" spans="1:18" ht="25.5">
      <c r="A19" s="2639"/>
      <c r="B19" s="2695" t="s">
        <v>2961</v>
      </c>
      <c r="C19" s="2697"/>
      <c r="D19" s="2658"/>
      <c r="E19" s="2640"/>
      <c r="F19" s="329" t="s">
        <v>2945</v>
      </c>
      <c r="G19" s="2696" t="str">
        <f>G5</f>
        <v>估价对象所在区域公共配套设施齐备情况</v>
      </c>
    </row>
    <row r="20" spans="1:18" ht="25.5">
      <c r="A20" s="2639"/>
      <c r="B20" s="2695" t="s">
        <v>2962</v>
      </c>
      <c r="C20" s="2694" t="str">
        <f>C9</f>
        <v>区域自然环境：；人文环境；综合评价环境状况一般</v>
      </c>
      <c r="D20" s="2664"/>
      <c r="E20" s="2640"/>
      <c r="F20" s="329" t="s">
        <v>2948</v>
      </c>
      <c r="G20" s="2696" t="str">
        <f>G6</f>
        <v>估价对象所在区域基础设施水平</v>
      </c>
    </row>
    <row r="21" spans="1:18" ht="25.5">
      <c r="A21" s="2639"/>
      <c r="B21" s="329" t="s">
        <v>2945</v>
      </c>
      <c r="C21" s="2696" t="str">
        <f>C7</f>
        <v>估价对象所在区域公共配套设施齐备情况</v>
      </c>
      <c r="D21" s="2658"/>
      <c r="E21" s="2640"/>
      <c r="F21" s="2695" t="s">
        <v>2963</v>
      </c>
      <c r="G21" s="2698"/>
    </row>
    <row r="22" spans="1:18" ht="13.5" customHeight="1">
      <c r="A22" s="2639"/>
      <c r="B22" s="329" t="s">
        <v>2948</v>
      </c>
      <c r="C22" s="2696" t="str">
        <f>C8</f>
        <v>估价对象所在区域基础设施水平</v>
      </c>
      <c r="D22" s="2658"/>
      <c r="E22" s="2640"/>
      <c r="F22" s="2695" t="s">
        <v>2954</v>
      </c>
      <c r="G22" s="2697"/>
    </row>
    <row r="23" spans="1:18" s="906" customFormat="1" ht="15" thickBot="1">
      <c r="A23" s="2639"/>
      <c r="B23" s="2695" t="s">
        <v>2963</v>
      </c>
      <c r="C23" s="2698"/>
      <c r="D23" s="1895"/>
      <c r="E23" s="2641"/>
      <c r="F23" s="2699" t="s">
        <v>2964</v>
      </c>
      <c r="G23" s="2700"/>
      <c r="H23" s="2684"/>
      <c r="I23" s="2685"/>
      <c r="J23" s="2684"/>
      <c r="K23" s="2684"/>
      <c r="L23" s="2685"/>
      <c r="M23" s="2684"/>
      <c r="N23" s="2684"/>
      <c r="O23" s="2685"/>
      <c r="P23" s="2684"/>
      <c r="Q23" s="2684"/>
      <c r="R23" s="2686"/>
    </row>
    <row r="24" spans="1:18" s="906" customFormat="1" ht="15" thickBot="1">
      <c r="A24" s="2642"/>
      <c r="B24" s="2699" t="s">
        <v>2965</v>
      </c>
      <c r="C24" s="2701">
        <f>C10</f>
        <v>0</v>
      </c>
      <c r="D24" s="1895"/>
      <c r="E24" s="2632"/>
      <c r="F24" s="2632"/>
      <c r="G24" s="2702"/>
      <c r="H24" s="2684"/>
      <c r="I24" s="2685"/>
      <c r="J24" s="2684"/>
      <c r="K24" s="2684"/>
      <c r="L24" s="2685"/>
      <c r="M24" s="2684"/>
      <c r="N24" s="2684"/>
      <c r="O24" s="2685"/>
      <c r="P24" s="2684"/>
      <c r="Q24" s="2684"/>
      <c r="R24" s="2686"/>
    </row>
    <row r="25" spans="1:18" s="906" customFormat="1">
      <c r="B25" s="2684"/>
      <c r="C25" s="2684"/>
      <c r="D25" s="2684"/>
      <c r="H25" s="2684"/>
      <c r="I25" s="2685"/>
      <c r="J25" s="2684"/>
      <c r="K25" s="2684"/>
      <c r="L25" s="2685"/>
      <c r="M25" s="2684"/>
      <c r="N25" s="2684"/>
      <c r="O25" s="2685"/>
      <c r="P25" s="2684"/>
      <c r="Q25" s="2684"/>
      <c r="R25" s="2686"/>
    </row>
    <row r="26" spans="1:18" s="906" customFormat="1">
      <c r="B26" s="2684"/>
      <c r="C26" s="2684"/>
      <c r="D26" s="2684"/>
      <c r="H26" s="2684"/>
      <c r="I26" s="2685"/>
      <c r="J26" s="2684"/>
      <c r="K26" s="2684"/>
      <c r="L26" s="2685"/>
      <c r="M26" s="2684"/>
      <c r="N26" s="2684"/>
      <c r="O26" s="2685"/>
      <c r="P26" s="2684"/>
      <c r="Q26" s="2684"/>
      <c r="R26" s="2686"/>
    </row>
    <row r="27" spans="1:18" s="906" customFormat="1">
      <c r="B27" s="2684"/>
      <c r="C27" s="2684"/>
      <c r="D27" s="2684"/>
      <c r="H27" s="2684"/>
      <c r="I27" s="2685"/>
      <c r="J27" s="2684"/>
      <c r="K27" s="2684"/>
      <c r="L27" s="2685"/>
      <c r="M27" s="2684"/>
      <c r="N27" s="2684"/>
      <c r="O27" s="2685"/>
      <c r="P27" s="2684"/>
      <c r="Q27" s="2684"/>
      <c r="R27" s="2686"/>
    </row>
    <row r="28" spans="1:18" s="906" customFormat="1">
      <c r="B28" s="2684"/>
      <c r="C28" s="2684"/>
      <c r="D28" s="2684"/>
      <c r="H28" s="2684"/>
      <c r="I28" s="2685"/>
      <c r="J28" s="2684"/>
      <c r="K28" s="2684"/>
      <c r="L28" s="2685"/>
      <c r="M28" s="2684"/>
      <c r="N28" s="2684"/>
      <c r="O28" s="2685"/>
      <c r="P28" s="2684"/>
      <c r="Q28" s="2684"/>
      <c r="R28" s="2686"/>
    </row>
    <row r="29" spans="1:18" s="906" customFormat="1">
      <c r="B29" s="2684"/>
      <c r="C29" s="2684"/>
      <c r="D29" s="2684"/>
      <c r="H29" s="2684"/>
      <c r="I29" s="2685"/>
      <c r="J29" s="2684"/>
      <c r="K29" s="2684"/>
      <c r="L29" s="2685"/>
      <c r="M29" s="2684"/>
      <c r="N29" s="2684"/>
      <c r="O29" s="2685"/>
      <c r="P29" s="2684"/>
      <c r="Q29" s="2684"/>
      <c r="R29" s="2686"/>
    </row>
    <row r="30" spans="1:18" s="906" customFormat="1">
      <c r="B30" s="2684"/>
      <c r="C30" s="2684"/>
      <c r="D30" s="2684"/>
      <c r="H30" s="2684"/>
      <c r="I30" s="2685"/>
      <c r="J30" s="2684"/>
      <c r="K30" s="2684"/>
      <c r="L30" s="2685"/>
      <c r="M30" s="2684"/>
      <c r="N30" s="2684"/>
      <c r="O30" s="2685"/>
      <c r="P30" s="2684"/>
      <c r="Q30" s="2684"/>
      <c r="R30" s="2686"/>
    </row>
    <row r="31" spans="1:18" s="906" customFormat="1">
      <c r="B31" s="2684"/>
      <c r="C31" s="2684"/>
      <c r="D31" s="2684"/>
      <c r="H31" s="2684"/>
      <c r="I31" s="2685"/>
      <c r="J31" s="2684"/>
      <c r="K31" s="2684"/>
      <c r="L31" s="2685"/>
      <c r="M31" s="2684"/>
      <c r="N31" s="2684"/>
      <c r="O31" s="2685"/>
      <c r="P31" s="2684"/>
      <c r="Q31" s="2684"/>
      <c r="R31" s="2686"/>
    </row>
    <row r="32" spans="1:18" s="906" customFormat="1">
      <c r="B32" s="2684"/>
      <c r="C32" s="2684"/>
      <c r="D32" s="2684"/>
      <c r="H32" s="2684"/>
      <c r="I32" s="2685"/>
      <c r="J32" s="2684"/>
      <c r="K32" s="2684"/>
      <c r="L32" s="2685"/>
      <c r="M32" s="2684"/>
      <c r="N32" s="2684"/>
      <c r="O32" s="2685"/>
      <c r="P32" s="2684"/>
      <c r="Q32" s="2684"/>
      <c r="R32" s="2686"/>
    </row>
    <row r="33" spans="2:18" s="906" customFormat="1">
      <c r="B33" s="2684"/>
      <c r="C33" s="2684"/>
      <c r="D33" s="2684"/>
      <c r="H33" s="2684"/>
      <c r="I33" s="2685"/>
      <c r="J33" s="2684"/>
      <c r="K33" s="2684"/>
      <c r="L33" s="2685"/>
      <c r="M33" s="2684"/>
      <c r="N33" s="2684"/>
      <c r="O33" s="2685"/>
      <c r="P33" s="2684"/>
      <c r="Q33" s="2684"/>
      <c r="R33" s="2686"/>
    </row>
    <row r="34" spans="2:18" s="906" customFormat="1">
      <c r="B34" s="2684"/>
      <c r="C34" s="2684"/>
      <c r="D34" s="2684"/>
      <c r="H34" s="2684"/>
      <c r="I34" s="2685"/>
      <c r="J34" s="2684"/>
      <c r="K34" s="2684"/>
      <c r="L34" s="2685"/>
      <c r="M34" s="2684"/>
      <c r="N34" s="2684"/>
      <c r="O34" s="2685"/>
      <c r="P34" s="2684"/>
      <c r="Q34" s="2684"/>
      <c r="R34" s="2686"/>
    </row>
    <row r="35" spans="2:18" s="906" customFormat="1">
      <c r="B35" s="2684"/>
      <c r="C35" s="2684"/>
      <c r="D35" s="2684"/>
      <c r="H35" s="2684"/>
      <c r="I35" s="2685"/>
      <c r="J35" s="2684"/>
      <c r="K35" s="2684"/>
      <c r="L35" s="2685"/>
      <c r="M35" s="2684"/>
      <c r="N35" s="2684"/>
      <c r="O35" s="2685"/>
      <c r="P35" s="2684"/>
      <c r="Q35" s="2684"/>
      <c r="R35" s="2686"/>
    </row>
    <row r="36" spans="2:18" s="906" customFormat="1">
      <c r="B36" s="2684"/>
      <c r="C36" s="2684"/>
      <c r="D36" s="2684"/>
      <c r="H36" s="2684"/>
      <c r="I36" s="2685"/>
      <c r="J36" s="2684"/>
      <c r="K36" s="2684"/>
      <c r="L36" s="2685"/>
      <c r="M36" s="2684"/>
      <c r="N36" s="2684"/>
      <c r="O36" s="2685"/>
      <c r="P36" s="2684"/>
      <c r="Q36" s="2684"/>
      <c r="R36" s="2686"/>
    </row>
    <row r="37" spans="2:18" s="906" customFormat="1">
      <c r="B37" s="2684"/>
      <c r="C37" s="2684"/>
      <c r="D37" s="2684"/>
      <c r="H37" s="2684"/>
      <c r="I37" s="2685"/>
      <c r="J37" s="2684"/>
      <c r="K37" s="2684"/>
      <c r="L37" s="2685"/>
      <c r="M37" s="2684"/>
      <c r="N37" s="2684"/>
      <c r="O37" s="2685"/>
      <c r="P37" s="2684"/>
      <c r="Q37" s="2684"/>
      <c r="R37" s="2686"/>
    </row>
    <row r="38" spans="2:18" s="906" customFormat="1">
      <c r="B38" s="2684"/>
      <c r="C38" s="2684"/>
      <c r="D38" s="2684"/>
      <c r="E38" s="2684"/>
      <c r="F38" s="2684"/>
      <c r="G38" s="2685"/>
      <c r="H38" s="2684"/>
      <c r="I38" s="2685"/>
      <c r="J38" s="2684"/>
      <c r="K38" s="2684"/>
      <c r="L38" s="2685"/>
      <c r="M38" s="2684"/>
      <c r="N38" s="2684"/>
      <c r="O38" s="2685"/>
      <c r="P38" s="2684"/>
      <c r="Q38" s="2684"/>
      <c r="R38" s="2686"/>
    </row>
    <row r="39" spans="2:18" s="906" customFormat="1">
      <c r="B39" s="2684"/>
      <c r="C39" s="2684"/>
      <c r="D39" s="2684"/>
      <c r="E39" s="2684"/>
      <c r="F39" s="2684"/>
      <c r="G39" s="2685"/>
      <c r="H39" s="2684"/>
      <c r="I39" s="2685"/>
      <c r="J39" s="2684"/>
      <c r="K39" s="2684"/>
      <c r="L39" s="2685"/>
      <c r="M39" s="2684"/>
      <c r="N39" s="2684"/>
      <c r="O39" s="2685"/>
      <c r="P39" s="2684"/>
      <c r="Q39" s="2684"/>
      <c r="R39" s="2686"/>
    </row>
    <row r="40" spans="2:18" s="906" customFormat="1">
      <c r="B40" s="2684"/>
      <c r="C40" s="2684"/>
      <c r="D40" s="2684"/>
      <c r="E40" s="2684"/>
      <c r="F40" s="2684"/>
      <c r="G40" s="2685"/>
      <c r="H40" s="2684"/>
      <c r="I40" s="2685"/>
      <c r="J40" s="2684"/>
      <c r="K40" s="2684"/>
      <c r="L40" s="2685"/>
      <c r="M40" s="2684"/>
      <c r="N40" s="2684"/>
      <c r="O40" s="2685"/>
      <c r="P40" s="2684"/>
      <c r="Q40" s="2684"/>
      <c r="R40" s="2686"/>
    </row>
    <row r="41" spans="2:18" s="906" customFormat="1">
      <c r="B41" s="2684"/>
      <c r="C41" s="2684"/>
      <c r="D41" s="2684"/>
      <c r="E41" s="2684"/>
      <c r="F41" s="2684"/>
      <c r="G41" s="2685"/>
      <c r="H41" s="2684"/>
      <c r="I41" s="2685"/>
      <c r="J41" s="2684"/>
      <c r="K41" s="2684"/>
      <c r="L41" s="2685"/>
      <c r="M41" s="2684"/>
      <c r="N41" s="2684"/>
      <c r="O41" s="2685"/>
      <c r="P41" s="2684"/>
      <c r="Q41" s="2684"/>
      <c r="R41" s="2686"/>
    </row>
    <row r="42" spans="2:18" s="906" customFormat="1">
      <c r="B42" s="2684"/>
      <c r="C42" s="2684"/>
      <c r="D42" s="2684"/>
      <c r="E42" s="2684"/>
      <c r="F42" s="2684"/>
      <c r="G42" s="2685"/>
      <c r="H42" s="2684"/>
      <c r="I42" s="2685"/>
      <c r="J42" s="2684"/>
      <c r="K42" s="2684"/>
      <c r="L42" s="2685"/>
      <c r="M42" s="2684"/>
      <c r="N42" s="2684"/>
      <c r="O42" s="2685"/>
      <c r="P42" s="2684"/>
      <c r="Q42" s="2684"/>
      <c r="R42" s="2686"/>
    </row>
    <row r="43" spans="2:18" s="906" customFormat="1">
      <c r="B43" s="2684"/>
      <c r="C43" s="2684"/>
      <c r="D43" s="2684"/>
      <c r="E43" s="2684"/>
      <c r="F43" s="2684"/>
      <c r="G43" s="2685"/>
      <c r="H43" s="2684"/>
      <c r="I43" s="2685"/>
      <c r="J43" s="2684"/>
      <c r="K43" s="2684"/>
      <c r="L43" s="2685"/>
      <c r="M43" s="2684"/>
      <c r="N43" s="2684"/>
      <c r="O43" s="2685"/>
      <c r="P43" s="2684"/>
      <c r="Q43" s="2684"/>
      <c r="R43" s="2686"/>
    </row>
    <row r="44" spans="2:18" s="906" customFormat="1">
      <c r="B44" s="2684"/>
      <c r="C44" s="2684"/>
      <c r="D44" s="2684"/>
      <c r="E44" s="2684"/>
      <c r="F44" s="2684"/>
      <c r="G44" s="2685"/>
      <c r="H44" s="2684"/>
      <c r="I44" s="2685"/>
      <c r="J44" s="2684"/>
      <c r="K44" s="2684"/>
      <c r="L44" s="2685"/>
      <c r="M44" s="2684"/>
      <c r="N44" s="2684"/>
      <c r="O44" s="2685"/>
      <c r="P44" s="2684"/>
      <c r="Q44" s="2684"/>
      <c r="R44" s="2686"/>
    </row>
    <row r="45" spans="2:18" s="906" customFormat="1">
      <c r="B45" s="2684"/>
      <c r="C45" s="2684"/>
      <c r="D45" s="2684"/>
      <c r="E45" s="2684"/>
      <c r="F45" s="2684"/>
      <c r="G45" s="2685"/>
      <c r="H45" s="2684"/>
      <c r="I45" s="2685"/>
      <c r="J45" s="2684"/>
      <c r="K45" s="2684"/>
      <c r="L45" s="2685"/>
      <c r="M45" s="2684"/>
      <c r="N45" s="2684"/>
      <c r="O45" s="2685"/>
      <c r="P45" s="2684"/>
      <c r="Q45" s="2684"/>
      <c r="R45" s="2686"/>
    </row>
    <row r="46" spans="2:18" s="906" customFormat="1">
      <c r="B46" s="2684"/>
      <c r="C46" s="2684"/>
      <c r="D46" s="2684"/>
      <c r="E46" s="2684"/>
      <c r="F46" s="2684"/>
      <c r="G46" s="2685"/>
      <c r="H46" s="2684"/>
      <c r="I46" s="2685"/>
      <c r="J46" s="2684"/>
      <c r="K46" s="2684"/>
      <c r="L46" s="2685"/>
      <c r="M46" s="2684"/>
      <c r="N46" s="2684"/>
      <c r="O46" s="2685"/>
      <c r="P46" s="2684"/>
      <c r="Q46" s="2684"/>
      <c r="R46" s="2686"/>
    </row>
    <row r="47" spans="2:18" s="906" customFormat="1">
      <c r="B47" s="2684"/>
      <c r="C47" s="2684"/>
      <c r="D47" s="2684"/>
      <c r="E47" s="2684"/>
      <c r="F47" s="2684"/>
      <c r="G47" s="2685"/>
      <c r="H47" s="2684"/>
      <c r="I47" s="2685"/>
      <c r="J47" s="2684"/>
      <c r="K47" s="2684"/>
      <c r="L47" s="2685"/>
      <c r="M47" s="2684"/>
      <c r="N47" s="2684"/>
      <c r="O47" s="2685"/>
      <c r="P47" s="2684"/>
      <c r="Q47" s="2684"/>
      <c r="R47" s="2686"/>
    </row>
    <row r="48" spans="2:18" s="906" customFormat="1">
      <c r="B48" s="2684"/>
      <c r="C48" s="2684"/>
      <c r="D48" s="2684"/>
      <c r="E48" s="2684"/>
      <c r="F48" s="2684"/>
      <c r="G48" s="2685"/>
      <c r="H48" s="2684"/>
      <c r="I48" s="2685"/>
      <c r="J48" s="2684"/>
      <c r="K48" s="2684"/>
      <c r="L48" s="2685"/>
      <c r="M48" s="2684"/>
      <c r="N48" s="2684"/>
      <c r="O48" s="2685"/>
      <c r="P48" s="2684"/>
      <c r="Q48" s="2684"/>
      <c r="R48" s="2686"/>
    </row>
    <row r="49" spans="2:18" s="906" customFormat="1">
      <c r="B49" s="2684"/>
      <c r="C49" s="2684"/>
      <c r="D49" s="2684"/>
      <c r="E49" s="2684"/>
      <c r="F49" s="2684"/>
      <c r="G49" s="2685"/>
      <c r="H49" s="2684"/>
      <c r="I49" s="2685"/>
      <c r="J49" s="2684"/>
      <c r="K49" s="2684"/>
      <c r="L49" s="2685"/>
      <c r="M49" s="2684"/>
      <c r="N49" s="2684"/>
      <c r="O49" s="2685"/>
      <c r="P49" s="2684"/>
      <c r="Q49" s="2684"/>
      <c r="R49" s="2686"/>
    </row>
    <row r="50" spans="2:18" s="906" customFormat="1">
      <c r="B50" s="2684"/>
      <c r="C50" s="2684"/>
      <c r="D50" s="2684"/>
      <c r="E50" s="2684"/>
      <c r="F50" s="2684"/>
      <c r="G50" s="2685"/>
      <c r="H50" s="2684"/>
      <c r="I50" s="2685"/>
      <c r="J50" s="2684"/>
      <c r="K50" s="2684"/>
      <c r="L50" s="2685"/>
      <c r="M50" s="2684"/>
      <c r="N50" s="2684"/>
      <c r="O50" s="2685"/>
      <c r="P50" s="2684"/>
      <c r="Q50" s="2684"/>
      <c r="R50" s="2686"/>
    </row>
    <row r="51" spans="2:18" s="906" customFormat="1">
      <c r="B51" s="2684"/>
      <c r="C51" s="2684"/>
      <c r="D51" s="2684"/>
      <c r="E51" s="2684"/>
      <c r="F51" s="2684"/>
      <c r="G51" s="2685"/>
      <c r="H51" s="2684"/>
      <c r="I51" s="2685"/>
      <c r="J51" s="2684"/>
      <c r="K51" s="2684"/>
      <c r="L51" s="2685"/>
      <c r="M51" s="2684"/>
      <c r="N51" s="2684"/>
      <c r="O51" s="2685"/>
      <c r="P51" s="2684"/>
      <c r="Q51" s="2684"/>
      <c r="R51" s="2686"/>
    </row>
    <row r="52" spans="2:18" s="906" customFormat="1">
      <c r="B52" s="2684"/>
      <c r="C52" s="2684"/>
      <c r="D52" s="2684"/>
      <c r="E52" s="2684"/>
      <c r="F52" s="2684"/>
      <c r="G52" s="2685"/>
      <c r="H52" s="2684"/>
      <c r="I52" s="2685"/>
      <c r="J52" s="2684"/>
      <c r="K52" s="2684"/>
      <c r="L52" s="2685"/>
      <c r="M52" s="2684"/>
      <c r="N52" s="2684"/>
      <c r="O52" s="2685"/>
      <c r="P52" s="2684"/>
      <c r="Q52" s="2684"/>
      <c r="R52" s="2686"/>
    </row>
    <row r="53" spans="2:18" s="906" customFormat="1">
      <c r="B53" s="2684"/>
      <c r="C53" s="2684"/>
      <c r="D53" s="2684"/>
      <c r="E53" s="2684"/>
      <c r="F53" s="2684"/>
      <c r="G53" s="2685"/>
      <c r="H53" s="2684"/>
      <c r="I53" s="2685"/>
      <c r="J53" s="2684"/>
      <c r="K53" s="2684"/>
      <c r="L53" s="2685"/>
      <c r="M53" s="2684"/>
      <c r="N53" s="2684"/>
      <c r="O53" s="2685"/>
      <c r="P53" s="2684"/>
      <c r="Q53" s="2684"/>
      <c r="R53" s="2686"/>
    </row>
    <row r="54" spans="2:18" s="906" customFormat="1">
      <c r="B54" s="2684"/>
      <c r="C54" s="2684"/>
      <c r="D54" s="2684"/>
      <c r="E54" s="2684"/>
      <c r="F54" s="2684"/>
      <c r="G54" s="2685"/>
      <c r="H54" s="2684"/>
      <c r="I54" s="2685"/>
      <c r="J54" s="2684"/>
      <c r="K54" s="2684"/>
      <c r="L54" s="2685"/>
      <c r="M54" s="2684"/>
      <c r="N54" s="2684"/>
      <c r="O54" s="2685"/>
      <c r="P54" s="2684"/>
      <c r="Q54" s="2684"/>
      <c r="R54" s="2686"/>
    </row>
    <row r="55" spans="2:18" s="906" customFormat="1">
      <c r="B55" s="2684"/>
      <c r="C55" s="2684"/>
      <c r="D55" s="2684"/>
      <c r="E55" s="2684"/>
      <c r="F55" s="2684"/>
      <c r="G55" s="2685"/>
      <c r="H55" s="2684"/>
      <c r="I55" s="2685"/>
      <c r="J55" s="2684"/>
      <c r="K55" s="2684"/>
      <c r="L55" s="2685"/>
      <c r="M55" s="2684"/>
      <c r="N55" s="2684"/>
      <c r="O55" s="2685"/>
      <c r="P55" s="2684"/>
      <c r="Q55" s="2684"/>
      <c r="R55" s="2686"/>
    </row>
    <row r="56" spans="2:18" s="906" customFormat="1">
      <c r="B56" s="2684"/>
      <c r="C56" s="2684"/>
      <c r="D56" s="2684"/>
      <c r="E56" s="2684"/>
      <c r="F56" s="2684"/>
      <c r="G56" s="2685"/>
      <c r="H56" s="2684"/>
      <c r="I56" s="2685"/>
      <c r="J56" s="2684"/>
      <c r="K56" s="2684"/>
      <c r="L56" s="2685"/>
      <c r="M56" s="2684"/>
      <c r="N56" s="2684"/>
      <c r="O56" s="2685"/>
      <c r="P56" s="2684"/>
      <c r="Q56" s="2684"/>
      <c r="R56" s="2686"/>
    </row>
    <row r="57" spans="2:18" s="906" customFormat="1">
      <c r="B57" s="2684"/>
      <c r="C57" s="2684"/>
      <c r="D57" s="2684"/>
      <c r="E57" s="2684"/>
      <c r="F57" s="2684"/>
      <c r="G57" s="2685"/>
      <c r="H57" s="2684"/>
      <c r="I57" s="2685"/>
      <c r="J57" s="2684"/>
      <c r="K57" s="2684"/>
      <c r="L57" s="2685"/>
      <c r="M57" s="2684"/>
      <c r="N57" s="2684"/>
      <c r="O57" s="2685"/>
      <c r="P57" s="2684"/>
      <c r="Q57" s="2684"/>
      <c r="R57" s="2686"/>
    </row>
    <row r="58" spans="2:18" s="906" customFormat="1">
      <c r="B58" s="2684"/>
      <c r="C58" s="2684"/>
      <c r="D58" s="2684"/>
      <c r="E58" s="2684"/>
      <c r="F58" s="2684"/>
      <c r="G58" s="2685"/>
      <c r="H58" s="2684"/>
      <c r="I58" s="2685"/>
      <c r="J58" s="2684"/>
      <c r="K58" s="2684"/>
      <c r="L58" s="2685"/>
      <c r="M58" s="2684"/>
      <c r="N58" s="2684"/>
      <c r="O58" s="2685"/>
      <c r="P58" s="2684"/>
      <c r="Q58" s="2684"/>
      <c r="R58" s="2686"/>
    </row>
    <row r="59" spans="2:18" s="906" customFormat="1">
      <c r="B59" s="2684"/>
      <c r="C59" s="2684"/>
      <c r="D59" s="2684"/>
      <c r="E59" s="2684"/>
      <c r="F59" s="2684"/>
      <c r="G59" s="2685"/>
      <c r="H59" s="2684"/>
      <c r="I59" s="2685"/>
      <c r="J59" s="2684"/>
      <c r="K59" s="2684"/>
      <c r="L59" s="2685"/>
      <c r="M59" s="2684"/>
      <c r="N59" s="2684"/>
      <c r="O59" s="2685"/>
      <c r="P59" s="2684"/>
      <c r="Q59" s="2684"/>
      <c r="R59" s="2686"/>
    </row>
    <row r="60" spans="2:18" s="906" customFormat="1">
      <c r="B60" s="2684"/>
      <c r="C60" s="2684"/>
      <c r="D60" s="2684"/>
      <c r="E60" s="2684"/>
      <c r="F60" s="2684"/>
      <c r="G60" s="2685"/>
      <c r="H60" s="2684"/>
      <c r="I60" s="2685"/>
      <c r="J60" s="2684"/>
      <c r="K60" s="2684"/>
      <c r="L60" s="2685"/>
      <c r="M60" s="2684"/>
      <c r="N60" s="2684"/>
      <c r="O60" s="2685"/>
      <c r="P60" s="2684"/>
      <c r="Q60" s="2684"/>
      <c r="R60" s="2686"/>
    </row>
    <row r="61" spans="2:18" s="906" customFormat="1">
      <c r="B61" s="2684"/>
      <c r="C61" s="2684"/>
      <c r="D61" s="2684"/>
      <c r="E61" s="2684"/>
      <c r="F61" s="2684"/>
      <c r="G61" s="2685"/>
      <c r="H61" s="2684"/>
      <c r="I61" s="2685"/>
      <c r="J61" s="2684"/>
      <c r="K61" s="2684"/>
      <c r="L61" s="2685"/>
      <c r="M61" s="2684"/>
      <c r="N61" s="2684"/>
      <c r="O61" s="2685"/>
      <c r="P61" s="2684"/>
      <c r="Q61" s="2684"/>
      <c r="R61" s="2686"/>
    </row>
    <row r="62" spans="2:18" s="906" customFormat="1">
      <c r="B62" s="2684"/>
      <c r="C62" s="2684"/>
      <c r="D62" s="2684"/>
      <c r="E62" s="2684"/>
      <c r="F62" s="2684"/>
      <c r="G62" s="2685"/>
      <c r="H62" s="2684"/>
      <c r="I62" s="2685"/>
      <c r="J62" s="2684"/>
      <c r="K62" s="2684"/>
      <c r="L62" s="2685"/>
      <c r="M62" s="2684"/>
      <c r="N62" s="2684"/>
      <c r="O62" s="2685"/>
      <c r="P62" s="2684"/>
      <c r="Q62" s="2684"/>
      <c r="R62" s="2686"/>
    </row>
    <row r="63" spans="2:18" s="906" customFormat="1">
      <c r="B63" s="2684"/>
      <c r="C63" s="2684"/>
      <c r="D63" s="2684"/>
      <c r="E63" s="2684"/>
      <c r="F63" s="2684"/>
      <c r="G63" s="2685"/>
      <c r="H63" s="2684"/>
      <c r="I63" s="2685"/>
      <c r="J63" s="2684"/>
      <c r="K63" s="2684"/>
      <c r="L63" s="2685"/>
      <c r="M63" s="2684"/>
      <c r="N63" s="2684"/>
      <c r="O63" s="2685"/>
      <c r="P63" s="2684"/>
      <c r="Q63" s="2684"/>
      <c r="R63" s="2686"/>
    </row>
    <row r="64" spans="2:18" s="906" customFormat="1">
      <c r="B64" s="2684"/>
      <c r="C64" s="2684"/>
      <c r="D64" s="2684"/>
      <c r="E64" s="2684"/>
      <c r="F64" s="2684"/>
      <c r="G64" s="2685"/>
      <c r="H64" s="2684"/>
      <c r="I64" s="2685"/>
      <c r="J64" s="2684"/>
      <c r="K64" s="2684"/>
      <c r="L64" s="2685"/>
      <c r="M64" s="2684"/>
      <c r="N64" s="2684"/>
      <c r="O64" s="2685"/>
      <c r="P64" s="2684"/>
      <c r="Q64" s="2684"/>
      <c r="R64" s="2686"/>
    </row>
    <row r="65" spans="2:18" s="906" customFormat="1">
      <c r="B65" s="2684"/>
      <c r="C65" s="2684"/>
      <c r="D65" s="2684"/>
      <c r="E65" s="2684"/>
      <c r="F65" s="2684"/>
      <c r="G65" s="2685"/>
      <c r="H65" s="2684"/>
      <c r="I65" s="2685"/>
      <c r="J65" s="2684"/>
      <c r="K65" s="2684"/>
      <c r="L65" s="2685"/>
      <c r="M65" s="2684"/>
      <c r="N65" s="2684"/>
      <c r="O65" s="2685"/>
      <c r="P65" s="2684"/>
      <c r="Q65" s="2684"/>
      <c r="R65" s="2686"/>
    </row>
    <row r="66" spans="2:18" s="906" customFormat="1">
      <c r="B66" s="2684"/>
      <c r="C66" s="2684"/>
      <c r="D66" s="2684"/>
      <c r="E66" s="2684"/>
      <c r="F66" s="2684"/>
      <c r="G66" s="2685"/>
      <c r="H66" s="2684"/>
      <c r="I66" s="2685"/>
      <c r="J66" s="2684"/>
      <c r="K66" s="2684"/>
      <c r="L66" s="2685"/>
      <c r="M66" s="2684"/>
      <c r="N66" s="2684"/>
      <c r="O66" s="2685"/>
      <c r="P66" s="2684"/>
      <c r="Q66" s="2684"/>
      <c r="R66" s="2686"/>
    </row>
    <row r="67" spans="2:18" s="906" customFormat="1">
      <c r="B67" s="2684"/>
      <c r="C67" s="2684"/>
      <c r="D67" s="2684"/>
      <c r="E67" s="2684"/>
      <c r="F67" s="2684"/>
      <c r="G67" s="2685"/>
      <c r="H67" s="2684"/>
      <c r="I67" s="2685"/>
      <c r="J67" s="2684"/>
      <c r="K67" s="2684"/>
      <c r="L67" s="2685"/>
      <c r="M67" s="2684"/>
      <c r="N67" s="2684"/>
      <c r="O67" s="2685"/>
      <c r="P67" s="2684"/>
      <c r="Q67" s="2684"/>
      <c r="R67" s="2686"/>
    </row>
    <row r="68" spans="2:18" s="906" customFormat="1">
      <c r="B68" s="2684"/>
      <c r="C68" s="2684"/>
      <c r="D68" s="2684"/>
      <c r="E68" s="2684"/>
      <c r="F68" s="2684"/>
      <c r="G68" s="2685"/>
      <c r="H68" s="2684"/>
      <c r="I68" s="2685"/>
      <c r="J68" s="2684"/>
      <c r="K68" s="2684"/>
      <c r="L68" s="2685"/>
      <c r="M68" s="2684"/>
      <c r="N68" s="2684"/>
      <c r="O68" s="2685"/>
      <c r="P68" s="2684"/>
      <c r="Q68" s="2684"/>
      <c r="R68" s="2686"/>
    </row>
    <row r="69" spans="2:18" s="906" customFormat="1">
      <c r="B69" s="2684"/>
      <c r="C69" s="2684"/>
      <c r="D69" s="2684"/>
      <c r="E69" s="2684"/>
      <c r="F69" s="2684"/>
      <c r="G69" s="2685"/>
      <c r="H69" s="2684"/>
      <c r="I69" s="2685"/>
      <c r="J69" s="2684"/>
      <c r="K69" s="2684"/>
      <c r="L69" s="2685"/>
      <c r="M69" s="2684"/>
      <c r="N69" s="2684"/>
      <c r="O69" s="2685"/>
      <c r="P69" s="2684"/>
      <c r="Q69" s="2684"/>
      <c r="R69" s="2686"/>
    </row>
    <row r="70" spans="2:18" s="906" customFormat="1">
      <c r="B70" s="2684"/>
      <c r="C70" s="2684"/>
      <c r="D70" s="2684"/>
      <c r="E70" s="2684"/>
      <c r="F70" s="2684"/>
      <c r="G70" s="2685"/>
      <c r="H70" s="2684"/>
      <c r="I70" s="2685"/>
      <c r="J70" s="2684"/>
      <c r="K70" s="2684"/>
      <c r="L70" s="2685"/>
      <c r="M70" s="2684"/>
      <c r="N70" s="2684"/>
      <c r="O70" s="2685"/>
      <c r="P70" s="2684"/>
      <c r="Q70" s="2684"/>
      <c r="R70" s="2686"/>
    </row>
    <row r="71" spans="2:18" s="906" customFormat="1">
      <c r="B71" s="2684"/>
      <c r="C71" s="2684"/>
      <c r="D71" s="2684"/>
      <c r="E71" s="2684"/>
      <c r="F71" s="2684"/>
      <c r="G71" s="2685"/>
      <c r="H71" s="2684"/>
      <c r="I71" s="2685"/>
      <c r="J71" s="2684"/>
      <c r="K71" s="2684"/>
      <c r="L71" s="2685"/>
      <c r="M71" s="2684"/>
      <c r="N71" s="2684"/>
      <c r="O71" s="2685"/>
      <c r="P71" s="2684"/>
      <c r="Q71" s="2684"/>
      <c r="R71" s="2686"/>
    </row>
    <row r="72" spans="2:18" s="906" customFormat="1">
      <c r="B72" s="2684"/>
      <c r="C72" s="2684"/>
      <c r="D72" s="2684"/>
      <c r="E72" s="2684"/>
      <c r="F72" s="2684"/>
      <c r="G72" s="2685"/>
      <c r="H72" s="2684"/>
      <c r="I72" s="2685"/>
      <c r="J72" s="2684"/>
      <c r="K72" s="2684"/>
      <c r="L72" s="2685"/>
      <c r="M72" s="2684"/>
      <c r="N72" s="2684"/>
      <c r="O72" s="2685"/>
      <c r="P72" s="2684"/>
      <c r="Q72" s="2684"/>
      <c r="R72" s="2686"/>
    </row>
    <row r="73" spans="2:18" s="906" customFormat="1">
      <c r="B73" s="2684"/>
      <c r="C73" s="2684"/>
      <c r="D73" s="2684"/>
      <c r="E73" s="2684"/>
      <c r="F73" s="2684"/>
      <c r="G73" s="2685"/>
      <c r="H73" s="2684"/>
      <c r="I73" s="2685"/>
      <c r="J73" s="2684"/>
      <c r="K73" s="2684"/>
      <c r="L73" s="2685"/>
      <c r="M73" s="2684"/>
      <c r="N73" s="2684"/>
      <c r="O73" s="2685"/>
      <c r="P73" s="2684"/>
      <c r="Q73" s="2684"/>
      <c r="R73" s="2686"/>
    </row>
    <row r="74" spans="2:18" s="906" customFormat="1">
      <c r="B74" s="2684"/>
      <c r="C74" s="2684"/>
      <c r="D74" s="2684"/>
      <c r="E74" s="2684"/>
      <c r="F74" s="2684"/>
      <c r="G74" s="2685"/>
      <c r="H74" s="2684"/>
      <c r="I74" s="2685"/>
      <c r="J74" s="2684"/>
      <c r="K74" s="2684"/>
      <c r="L74" s="2685"/>
      <c r="M74" s="2684"/>
      <c r="N74" s="2684"/>
      <c r="O74" s="2685"/>
      <c r="P74" s="2684"/>
      <c r="Q74" s="2684"/>
      <c r="R74" s="2686"/>
    </row>
    <row r="75" spans="2:18" s="906" customFormat="1">
      <c r="B75" s="2684"/>
      <c r="C75" s="2684"/>
      <c r="D75" s="2684"/>
      <c r="E75" s="2684"/>
      <c r="F75" s="2684"/>
      <c r="G75" s="2685"/>
      <c r="H75" s="2684"/>
      <c r="I75" s="2685"/>
      <c r="J75" s="2684"/>
      <c r="K75" s="2684"/>
      <c r="L75" s="2685"/>
      <c r="M75" s="2684"/>
      <c r="N75" s="2684"/>
      <c r="O75" s="2685"/>
      <c r="P75" s="2684"/>
      <c r="Q75" s="2684"/>
      <c r="R75" s="2686"/>
    </row>
    <row r="76" spans="2:18" s="906" customFormat="1">
      <c r="B76" s="2684"/>
      <c r="C76" s="2684"/>
      <c r="D76" s="2684"/>
      <c r="E76" s="2684"/>
      <c r="F76" s="2684"/>
      <c r="G76" s="2685"/>
      <c r="H76" s="2684"/>
      <c r="I76" s="2685"/>
      <c r="J76" s="2684"/>
      <c r="K76" s="2684"/>
      <c r="L76" s="2685"/>
      <c r="M76" s="2684"/>
      <c r="N76" s="2684"/>
      <c r="O76" s="2685"/>
      <c r="P76" s="2684"/>
      <c r="Q76" s="2684"/>
      <c r="R76" s="2686"/>
    </row>
    <row r="77" spans="2:18" s="906" customFormat="1">
      <c r="B77" s="2684"/>
      <c r="C77" s="2684"/>
      <c r="D77" s="2684"/>
      <c r="E77" s="2684"/>
      <c r="F77" s="2684"/>
      <c r="G77" s="2685"/>
      <c r="H77" s="2684"/>
      <c r="I77" s="2685"/>
      <c r="J77" s="2684"/>
      <c r="K77" s="2684"/>
      <c r="L77" s="2685"/>
      <c r="M77" s="2684"/>
      <c r="N77" s="2684"/>
      <c r="O77" s="2685"/>
      <c r="P77" s="2684"/>
      <c r="Q77" s="2684"/>
      <c r="R77" s="2686"/>
    </row>
    <row r="78" spans="2:18" s="906" customFormat="1">
      <c r="B78" s="2684"/>
      <c r="C78" s="2684"/>
      <c r="D78" s="2684"/>
      <c r="E78" s="2684"/>
      <c r="F78" s="2684"/>
      <c r="G78" s="2685"/>
      <c r="H78" s="2684"/>
      <c r="I78" s="2685"/>
      <c r="J78" s="2684"/>
      <c r="K78" s="2684"/>
      <c r="L78" s="2685"/>
      <c r="M78" s="2684"/>
      <c r="N78" s="2684"/>
      <c r="O78" s="2685"/>
      <c r="P78" s="2684"/>
      <c r="Q78" s="2684"/>
      <c r="R78" s="2686"/>
    </row>
    <row r="79" spans="2:18" s="906" customFormat="1">
      <c r="B79" s="2684"/>
      <c r="C79" s="2684"/>
      <c r="D79" s="2684"/>
      <c r="E79" s="2684"/>
      <c r="F79" s="2684"/>
      <c r="G79" s="2685"/>
      <c r="H79" s="2684"/>
      <c r="I79" s="2685"/>
      <c r="J79" s="2684"/>
      <c r="K79" s="2684"/>
      <c r="L79" s="2685"/>
      <c r="M79" s="2684"/>
      <c r="N79" s="2684"/>
      <c r="O79" s="2685"/>
      <c r="P79" s="2684"/>
      <c r="Q79" s="2684"/>
      <c r="R79" s="2686"/>
    </row>
    <row r="80" spans="2:18" s="906" customFormat="1">
      <c r="B80" s="2684"/>
      <c r="C80" s="2684"/>
      <c r="D80" s="2684"/>
      <c r="E80" s="2684"/>
      <c r="F80" s="2684"/>
      <c r="G80" s="2685"/>
      <c r="H80" s="2684"/>
      <c r="I80" s="2685"/>
      <c r="J80" s="2684"/>
      <c r="K80" s="2684"/>
      <c r="L80" s="2685"/>
      <c r="M80" s="2684"/>
      <c r="N80" s="2684"/>
      <c r="O80" s="2685"/>
      <c r="P80" s="2684"/>
      <c r="Q80" s="2684"/>
      <c r="R80" s="2686"/>
    </row>
    <row r="81" spans="2:18" s="906" customFormat="1">
      <c r="B81" s="2684"/>
      <c r="C81" s="2684"/>
      <c r="D81" s="2684"/>
      <c r="E81" s="2684"/>
      <c r="F81" s="2684"/>
      <c r="G81" s="2685"/>
      <c r="H81" s="2684"/>
      <c r="I81" s="2685"/>
      <c r="J81" s="2684"/>
      <c r="K81" s="2684"/>
      <c r="L81" s="2685"/>
      <c r="M81" s="2684"/>
      <c r="N81" s="2684"/>
      <c r="O81" s="2685"/>
      <c r="P81" s="2684"/>
      <c r="Q81" s="2684"/>
      <c r="R81" s="2686"/>
    </row>
    <row r="82" spans="2:18" s="906" customFormat="1">
      <c r="B82" s="2684"/>
      <c r="C82" s="2684"/>
      <c r="D82" s="2684"/>
      <c r="E82" s="2684"/>
      <c r="F82" s="2684"/>
      <c r="G82" s="2685"/>
      <c r="H82" s="2684"/>
      <c r="I82" s="2685"/>
      <c r="J82" s="2684"/>
      <c r="K82" s="2684"/>
      <c r="L82" s="2685"/>
      <c r="M82" s="2684"/>
      <c r="N82" s="2684"/>
      <c r="O82" s="2685"/>
      <c r="P82" s="2684"/>
      <c r="Q82" s="2684"/>
      <c r="R82" s="2686"/>
    </row>
    <row r="83" spans="2:18" s="906" customFormat="1">
      <c r="B83" s="2684"/>
      <c r="C83" s="2684"/>
      <c r="D83" s="2684"/>
      <c r="E83" s="2684"/>
      <c r="F83" s="2684"/>
      <c r="G83" s="2685"/>
      <c r="H83" s="2684"/>
      <c r="I83" s="2685"/>
      <c r="J83" s="2684"/>
      <c r="K83" s="2684"/>
      <c r="L83" s="2685"/>
      <c r="M83" s="2684"/>
      <c r="N83" s="2684"/>
      <c r="O83" s="2685"/>
      <c r="P83" s="2684"/>
      <c r="Q83" s="2684"/>
      <c r="R83" s="2686"/>
    </row>
    <row r="84" spans="2:18" s="906" customFormat="1">
      <c r="B84" s="2684"/>
      <c r="C84" s="2684"/>
      <c r="D84" s="2684"/>
      <c r="E84" s="2684"/>
      <c r="F84" s="2684"/>
      <c r="G84" s="2685"/>
      <c r="H84" s="2684"/>
      <c r="I84" s="2685"/>
      <c r="J84" s="2684"/>
      <c r="K84" s="2684"/>
      <c r="L84" s="2685"/>
      <c r="M84" s="2684"/>
      <c r="N84" s="2684"/>
      <c r="O84" s="2685"/>
      <c r="P84" s="2684"/>
      <c r="Q84" s="2684"/>
      <c r="R84" s="2686"/>
    </row>
    <row r="85" spans="2:18" s="906" customFormat="1">
      <c r="B85" s="2684"/>
      <c r="C85" s="2684"/>
      <c r="D85" s="2684"/>
      <c r="E85" s="2684"/>
      <c r="F85" s="2684"/>
      <c r="G85" s="2685"/>
      <c r="H85" s="2684"/>
      <c r="I85" s="2685"/>
      <c r="J85" s="2684"/>
      <c r="K85" s="2684"/>
      <c r="L85" s="2685"/>
      <c r="M85" s="2684"/>
      <c r="N85" s="2684"/>
      <c r="O85" s="2685"/>
      <c r="P85" s="2684"/>
      <c r="Q85" s="2684"/>
      <c r="R85" s="2686"/>
    </row>
    <row r="86" spans="2:18" s="906" customFormat="1">
      <c r="B86" s="2684"/>
      <c r="C86" s="2684"/>
      <c r="D86" s="2684"/>
      <c r="E86" s="2684"/>
      <c r="F86" s="2684"/>
      <c r="G86" s="2685"/>
      <c r="H86" s="2684"/>
      <c r="I86" s="2685"/>
      <c r="J86" s="2684"/>
      <c r="K86" s="2684"/>
      <c r="L86" s="2685"/>
      <c r="M86" s="2684"/>
      <c r="N86" s="2684"/>
      <c r="O86" s="2685"/>
      <c r="P86" s="2684"/>
      <c r="Q86" s="2684"/>
      <c r="R86" s="2686"/>
    </row>
    <row r="87" spans="2:18" s="906" customFormat="1">
      <c r="B87" s="2684"/>
      <c r="C87" s="2684"/>
      <c r="D87" s="2684"/>
      <c r="E87" s="2684"/>
      <c r="F87" s="2684"/>
      <c r="G87" s="2685"/>
      <c r="H87" s="2684"/>
      <c r="I87" s="2685"/>
      <c r="J87" s="2684"/>
      <c r="K87" s="2684"/>
      <c r="L87" s="2685"/>
      <c r="M87" s="2684"/>
      <c r="N87" s="2684"/>
      <c r="O87" s="2685"/>
      <c r="P87" s="2684"/>
      <c r="Q87" s="2684"/>
      <c r="R87" s="2686"/>
    </row>
    <row r="88" spans="2:18" s="906" customFormat="1">
      <c r="B88" s="2684"/>
      <c r="C88" s="2684"/>
      <c r="D88" s="2684"/>
      <c r="E88" s="2684"/>
      <c r="F88" s="2684"/>
      <c r="G88" s="2685"/>
      <c r="H88" s="2684"/>
      <c r="I88" s="2685"/>
      <c r="J88" s="2684"/>
      <c r="K88" s="2684"/>
      <c r="L88" s="2685"/>
      <c r="M88" s="2684"/>
      <c r="N88" s="2684"/>
      <c r="O88" s="2685"/>
      <c r="P88" s="2684"/>
      <c r="Q88" s="2684"/>
      <c r="R88" s="2686"/>
    </row>
    <row r="89" spans="2:18" s="906" customFormat="1">
      <c r="B89" s="2684"/>
      <c r="C89" s="2684"/>
      <c r="D89" s="2684"/>
      <c r="E89" s="2684"/>
      <c r="F89" s="2684"/>
      <c r="G89" s="2685"/>
      <c r="H89" s="2684"/>
      <c r="I89" s="2685"/>
      <c r="J89" s="2684"/>
      <c r="K89" s="2684"/>
      <c r="L89" s="2685"/>
      <c r="M89" s="2684"/>
      <c r="N89" s="2684"/>
      <c r="O89" s="2685"/>
      <c r="P89" s="2684"/>
      <c r="Q89" s="2684"/>
      <c r="R89" s="2686"/>
    </row>
    <row r="90" spans="2:18" s="906" customFormat="1">
      <c r="B90" s="2684"/>
      <c r="C90" s="2684"/>
      <c r="D90" s="2684"/>
      <c r="E90" s="2684"/>
      <c r="F90" s="2684"/>
      <c r="G90" s="2685"/>
      <c r="H90" s="2684"/>
      <c r="I90" s="2685"/>
      <c r="J90" s="2684"/>
      <c r="K90" s="2684"/>
      <c r="L90" s="2685"/>
      <c r="M90" s="2684"/>
      <c r="N90" s="2684"/>
      <c r="O90" s="2685"/>
      <c r="P90" s="2684"/>
      <c r="Q90" s="2684"/>
      <c r="R90" s="2686"/>
    </row>
    <row r="91" spans="2:18" s="906" customFormat="1">
      <c r="B91" s="2684"/>
      <c r="C91" s="2684"/>
      <c r="D91" s="2684"/>
      <c r="E91" s="2684"/>
      <c r="F91" s="2684"/>
      <c r="G91" s="2685"/>
      <c r="H91" s="2684"/>
      <c r="I91" s="2685"/>
      <c r="J91" s="2684"/>
      <c r="K91" s="2684"/>
      <c r="L91" s="2685"/>
      <c r="M91" s="2684"/>
      <c r="N91" s="2684"/>
      <c r="O91" s="2685"/>
      <c r="P91" s="2684"/>
      <c r="Q91" s="2684"/>
      <c r="R91" s="2686"/>
    </row>
    <row r="92" spans="2:18" s="906" customFormat="1">
      <c r="B92" s="2684"/>
      <c r="C92" s="2684"/>
      <c r="D92" s="2684"/>
      <c r="E92" s="2684"/>
      <c r="F92" s="2684"/>
      <c r="G92" s="2685"/>
      <c r="H92" s="2684"/>
      <c r="I92" s="2685"/>
      <c r="J92" s="2684"/>
      <c r="K92" s="2684"/>
      <c r="L92" s="2685"/>
      <c r="M92" s="2684"/>
      <c r="N92" s="2684"/>
      <c r="O92" s="2685"/>
      <c r="P92" s="2684"/>
      <c r="Q92" s="2684"/>
      <c r="R92" s="2686"/>
    </row>
    <row r="93" spans="2:18" s="906" customFormat="1">
      <c r="B93" s="2684"/>
      <c r="C93" s="2684"/>
      <c r="D93" s="2684"/>
      <c r="E93" s="2684"/>
      <c r="F93" s="2684"/>
      <c r="G93" s="2685"/>
      <c r="H93" s="2684"/>
      <c r="I93" s="2685"/>
      <c r="J93" s="2684"/>
      <c r="K93" s="2684"/>
      <c r="L93" s="2685"/>
      <c r="M93" s="2684"/>
      <c r="N93" s="2684"/>
      <c r="O93" s="2685"/>
      <c r="P93" s="2684"/>
      <c r="Q93" s="2684"/>
      <c r="R93" s="2686"/>
    </row>
    <row r="94" spans="2:18" s="906" customFormat="1">
      <c r="B94" s="2684"/>
      <c r="C94" s="2684"/>
      <c r="D94" s="2684"/>
      <c r="E94" s="2684"/>
      <c r="F94" s="2684"/>
      <c r="G94" s="2685"/>
      <c r="H94" s="2684"/>
      <c r="I94" s="2685"/>
      <c r="J94" s="2684"/>
      <c r="K94" s="2684"/>
      <c r="L94" s="2685"/>
      <c r="M94" s="2684"/>
      <c r="N94" s="2684"/>
      <c r="O94" s="2685"/>
      <c r="P94" s="2684"/>
      <c r="Q94" s="2684"/>
      <c r="R94" s="2686"/>
    </row>
    <row r="95" spans="2:18" s="906" customFormat="1">
      <c r="B95" s="2684"/>
      <c r="C95" s="2684"/>
      <c r="D95" s="2684"/>
      <c r="E95" s="2684"/>
      <c r="F95" s="2684"/>
      <c r="G95" s="2685"/>
      <c r="H95" s="2684"/>
      <c r="I95" s="2685"/>
      <c r="J95" s="2684"/>
      <c r="K95" s="2684"/>
      <c r="L95" s="2685"/>
      <c r="M95" s="2684"/>
      <c r="N95" s="2684"/>
      <c r="O95" s="2685"/>
      <c r="P95" s="2684"/>
      <c r="Q95" s="2684"/>
      <c r="R95" s="2686"/>
    </row>
    <row r="96" spans="2:18" s="906" customFormat="1">
      <c r="B96" s="2684"/>
      <c r="C96" s="2684"/>
      <c r="D96" s="2684"/>
      <c r="E96" s="2684"/>
      <c r="F96" s="2684"/>
      <c r="G96" s="2685"/>
      <c r="H96" s="2684"/>
      <c r="I96" s="2685"/>
      <c r="J96" s="2684"/>
      <c r="K96" s="2684"/>
      <c r="L96" s="2685"/>
      <c r="M96" s="2684"/>
      <c r="N96" s="2684"/>
      <c r="O96" s="2685"/>
      <c r="P96" s="2684"/>
      <c r="Q96" s="2684"/>
      <c r="R96" s="2686"/>
    </row>
    <row r="97" spans="2:18" s="906" customFormat="1">
      <c r="B97" s="2684"/>
      <c r="C97" s="2684"/>
      <c r="D97" s="2684"/>
      <c r="E97" s="2684"/>
      <c r="F97" s="2684"/>
      <c r="G97" s="2685"/>
      <c r="H97" s="2684"/>
      <c r="I97" s="2685"/>
      <c r="J97" s="2684"/>
      <c r="K97" s="2684"/>
      <c r="L97" s="2685"/>
      <c r="M97" s="2684"/>
      <c r="N97" s="2684"/>
      <c r="O97" s="2685"/>
      <c r="P97" s="2684"/>
      <c r="Q97" s="2684"/>
      <c r="R97" s="2686"/>
    </row>
    <row r="98" spans="2:18" s="906" customFormat="1">
      <c r="B98" s="2684"/>
      <c r="C98" s="2684"/>
      <c r="D98" s="2684"/>
      <c r="E98" s="2684"/>
      <c r="F98" s="2684"/>
      <c r="G98" s="2685"/>
      <c r="H98" s="2684"/>
      <c r="I98" s="2685"/>
      <c r="J98" s="2684"/>
      <c r="K98" s="2684"/>
      <c r="L98" s="2685"/>
      <c r="M98" s="2684"/>
      <c r="N98" s="2684"/>
      <c r="O98" s="2685"/>
      <c r="P98" s="2684"/>
      <c r="Q98" s="2684"/>
      <c r="R98" s="2686"/>
    </row>
    <row r="99" spans="2:18" s="906" customFormat="1">
      <c r="B99" s="2684"/>
      <c r="C99" s="2684"/>
      <c r="D99" s="2684"/>
      <c r="E99" s="2684"/>
      <c r="F99" s="2684"/>
      <c r="G99" s="2685"/>
      <c r="H99" s="2684"/>
      <c r="I99" s="2685"/>
      <c r="J99" s="2684"/>
      <c r="K99" s="2684"/>
      <c r="L99" s="2685"/>
      <c r="M99" s="2684"/>
      <c r="N99" s="2684"/>
      <c r="O99" s="2685"/>
      <c r="P99" s="2684"/>
      <c r="Q99" s="2684"/>
      <c r="R99" s="2686"/>
    </row>
    <row r="100" spans="2:18" s="906" customFormat="1">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6"/>
      <c r="B186" s="2684"/>
      <c r="C186" s="2684"/>
      <c r="E186" s="2684"/>
      <c r="F186" s="2684"/>
      <c r="G186" s="2685"/>
    </row>
    <row r="187" spans="1:18">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26834.3</v>
      </c>
      <c r="C1" s="2882"/>
      <c r="D1" s="2882"/>
      <c r="E1" s="2882"/>
      <c r="F1" s="2882"/>
      <c r="G1" s="2883"/>
      <c r="H1" s="2884"/>
      <c r="I1" s="2884"/>
      <c r="J1" s="2884"/>
      <c r="K1" s="2884"/>
    </row>
    <row r="2" spans="1:11" ht="16.5">
      <c r="A2" s="2705" t="s">
        <v>1259</v>
      </c>
      <c r="B2" s="2705">
        <f>SUM(C14:C23)</f>
        <v>6706.16</v>
      </c>
      <c r="C2" s="2882"/>
      <c r="D2" s="2882"/>
      <c r="E2" s="2882"/>
      <c r="F2" s="2882"/>
      <c r="G2" s="2883"/>
      <c r="H2" s="2884"/>
      <c r="I2" s="2884"/>
      <c r="J2" s="2884"/>
      <c r="K2" s="2884"/>
    </row>
    <row r="3" spans="1:11" ht="16.5">
      <c r="A3" s="2705" t="s">
        <v>1268</v>
      </c>
      <c r="B3" s="2707">
        <f>项目基本情况!D3</f>
        <v>44645</v>
      </c>
      <c r="C3" s="2882"/>
      <c r="D3" s="2882"/>
      <c r="E3" s="2882"/>
      <c r="F3" s="2882"/>
      <c r="G3" s="2883"/>
      <c r="H3" s="2884"/>
      <c r="I3" s="2884"/>
      <c r="J3" s="2884"/>
      <c r="K3" s="2884"/>
    </row>
    <row r="4" spans="1:11" ht="33">
      <c r="A4" s="2705" t="s">
        <v>1267</v>
      </c>
      <c r="B4" s="2705" t="s">
        <v>1266</v>
      </c>
      <c r="C4" s="2705" t="s">
        <v>1265</v>
      </c>
      <c r="D4" s="2705" t="s">
        <v>1264</v>
      </c>
      <c r="E4" s="2882"/>
      <c r="F4" s="2883"/>
      <c r="G4" s="2883"/>
      <c r="H4" s="2884"/>
      <c r="I4" s="2884"/>
      <c r="J4" s="2884"/>
      <c r="K4" s="2884"/>
    </row>
    <row r="5" spans="1:11" ht="16.5">
      <c r="A5" s="2705" t="s">
        <v>1263</v>
      </c>
      <c r="B5" s="2705">
        <f ca="1">SUM(D14:D23)</f>
        <v>66521</v>
      </c>
      <c r="C5" s="2705">
        <f ca="1">ROUND(B5*10000/$B$1,0)</f>
        <v>24790</v>
      </c>
      <c r="D5" s="2705">
        <f ca="1">ROUND(B5*10000/$B$2,0)</f>
        <v>99194</v>
      </c>
      <c r="E5" s="2882"/>
      <c r="F5" s="2883"/>
      <c r="G5" s="2883"/>
      <c r="H5" s="2884"/>
      <c r="I5" s="2884"/>
      <c r="J5" s="2884"/>
      <c r="K5" s="2884"/>
    </row>
    <row r="6" spans="1:11" ht="16.5">
      <c r="A6" s="2705" t="s">
        <v>1262</v>
      </c>
      <c r="B6" s="2705">
        <f ca="1">SUM(G14:G23)</f>
        <v>66521</v>
      </c>
      <c r="C6" s="2705">
        <f ca="1">ROUND(B6*10000/$B$1,0)</f>
        <v>24790</v>
      </c>
      <c r="D6" s="2705">
        <f ca="1">ROUND(B6*10000/$B$2,0)</f>
        <v>99194</v>
      </c>
      <c r="E6" s="2882"/>
      <c r="F6" s="2883"/>
      <c r="G6" s="2883"/>
      <c r="H6" s="2884"/>
      <c r="I6" s="2884"/>
      <c r="J6" s="2884"/>
      <c r="K6" s="2884"/>
    </row>
    <row r="7" spans="1:11" ht="16.5">
      <c r="A7" s="2705" t="s">
        <v>1270</v>
      </c>
      <c r="B7" s="2705">
        <f>SUM(H14:H23)</f>
        <v>0</v>
      </c>
      <c r="C7" s="2705">
        <f>ROUND(B7*10000/$B$1,0)</f>
        <v>0</v>
      </c>
      <c r="D7" s="2705">
        <f>ROUND(B7*10000/$B$2,0)</f>
        <v>0</v>
      </c>
      <c r="E7" s="2882"/>
      <c r="F7" s="2883"/>
      <c r="G7" s="2883"/>
      <c r="H7" s="2884"/>
      <c r="I7" s="2884"/>
      <c r="J7" s="2884"/>
      <c r="K7" s="2884"/>
    </row>
    <row r="8" spans="1:11" ht="16.5">
      <c r="A8" s="2705" t="s">
        <v>1193</v>
      </c>
      <c r="B8" s="2705">
        <f>SUM(I14:I23)</f>
        <v>0</v>
      </c>
      <c r="C8" s="2705">
        <f>ROUND(B8*10000/$B$1,0)</f>
        <v>0</v>
      </c>
      <c r="D8" s="2705">
        <f>ROUND(B8*10000/$B$2,0)</f>
        <v>0</v>
      </c>
      <c r="E8" s="2882"/>
      <c r="F8" s="2883"/>
      <c r="G8" s="2883"/>
      <c r="H8" s="2884"/>
      <c r="I8" s="2884"/>
      <c r="J8" s="2884"/>
      <c r="K8" s="2884"/>
    </row>
    <row r="9" spans="1:11" ht="16.5">
      <c r="A9" s="2705" t="s">
        <v>1261</v>
      </c>
      <c r="B9" s="2713"/>
      <c r="C9" s="2882"/>
      <c r="D9" s="2882"/>
      <c r="E9" s="2882"/>
      <c r="F9" s="2883"/>
      <c r="G9" s="2883"/>
      <c r="H9" s="2884"/>
      <c r="I9" s="2884"/>
      <c r="J9" s="2884"/>
      <c r="K9" s="2884"/>
    </row>
    <row r="10" spans="1:11" ht="16.5">
      <c r="A10" s="2705" t="s">
        <v>1260</v>
      </c>
      <c r="B10" s="2713"/>
      <c r="C10" s="2882"/>
      <c r="D10" s="2882"/>
      <c r="E10" s="2882"/>
      <c r="F10" s="2883"/>
      <c r="G10" s="2883"/>
      <c r="H10" s="2884"/>
      <c r="I10" s="2884"/>
      <c r="J10" s="2884"/>
      <c r="K10" s="2884"/>
    </row>
    <row r="11" spans="1:11" ht="16.5">
      <c r="A11" s="2705" t="s">
        <v>1276</v>
      </c>
      <c r="B11" s="2713"/>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8" t="s">
        <v>1275</v>
      </c>
      <c r="B13" s="2709" t="s">
        <v>1272</v>
      </c>
      <c r="C13" s="2709" t="s">
        <v>1274</v>
      </c>
      <c r="D13" s="2709" t="s">
        <v>1273</v>
      </c>
      <c r="E13" s="2705" t="s">
        <v>1265</v>
      </c>
      <c r="F13" s="2705" t="s">
        <v>1264</v>
      </c>
      <c r="G13" s="2709" t="s">
        <v>1258</v>
      </c>
      <c r="H13" s="2709" t="s">
        <v>1269</v>
      </c>
      <c r="I13" s="2709" t="s">
        <v>1257</v>
      </c>
      <c r="J13" s="2883"/>
      <c r="K13" s="2884"/>
    </row>
    <row r="14" spans="1:11" ht="16.5">
      <c r="A14" s="2710" t="s">
        <v>1256</v>
      </c>
      <c r="B14" s="2711">
        <f>结果表!B118</f>
        <v>26834.3</v>
      </c>
      <c r="C14" s="2711">
        <f>结果表!C118</f>
        <v>6706.16</v>
      </c>
      <c r="D14" s="2711">
        <f ca="1">结果表!H118</f>
        <v>66521</v>
      </c>
      <c r="E14" s="2711">
        <f ca="1">ROUND(D14*10000/B14,0)</f>
        <v>24790</v>
      </c>
      <c r="F14" s="2711">
        <f ca="1">ROUND(D14*10000/C14,0)</f>
        <v>99194</v>
      </c>
      <c r="G14" s="2711">
        <f ca="1">结果表!D122</f>
        <v>66521</v>
      </c>
      <c r="H14" s="2711" t="str">
        <f>结果表!D124</f>
        <v>——</v>
      </c>
      <c r="I14" s="2711" t="str">
        <f>结果表!D126</f>
        <v>——</v>
      </c>
      <c r="J14" s="2883"/>
      <c r="K14" s="2884"/>
    </row>
    <row r="15" spans="1:11" ht="16.5">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ht="16.5">
      <c r="A16" s="2710" t="s">
        <v>1254</v>
      </c>
      <c r="B16" s="2712"/>
      <c r="C16" s="2712"/>
      <c r="D16" s="2712"/>
      <c r="E16" s="2711" t="e">
        <f t="shared" si="0"/>
        <v>#DIV/0!</v>
      </c>
      <c r="F16" s="2711" t="e">
        <f t="shared" si="1"/>
        <v>#DIV/0!</v>
      </c>
      <c r="G16" s="1469"/>
      <c r="H16" s="1469"/>
      <c r="I16" s="2712"/>
      <c r="J16" s="2884"/>
      <c r="K16" s="2884"/>
    </row>
    <row r="17" spans="1:11" ht="16.5">
      <c r="A17" s="2710" t="s">
        <v>1253</v>
      </c>
      <c r="B17" s="2712"/>
      <c r="C17" s="2712"/>
      <c r="D17" s="2712"/>
      <c r="E17" s="2711" t="e">
        <f t="shared" si="0"/>
        <v>#DIV/0!</v>
      </c>
      <c r="F17" s="2711" t="e">
        <f t="shared" si="1"/>
        <v>#DIV/0!</v>
      </c>
      <c r="G17" s="1469"/>
      <c r="H17" s="1469"/>
      <c r="I17" s="2712"/>
      <c r="J17" s="2884"/>
      <c r="K17" s="2884"/>
    </row>
    <row r="18" spans="1:11" ht="16.5">
      <c r="A18" s="2710" t="s">
        <v>1252</v>
      </c>
      <c r="B18" s="2712"/>
      <c r="C18" s="2712"/>
      <c r="D18" s="2712"/>
      <c r="E18" s="2711" t="e">
        <f t="shared" si="0"/>
        <v>#DIV/0!</v>
      </c>
      <c r="F18" s="2711" t="e">
        <f t="shared" si="1"/>
        <v>#DIV/0!</v>
      </c>
      <c r="G18" s="2712"/>
      <c r="H18" s="2712"/>
      <c r="I18" s="2712"/>
      <c r="J18" s="2884"/>
      <c r="K18" s="2884"/>
    </row>
    <row r="19" spans="1:11" ht="16.5">
      <c r="A19" s="2710" t="s">
        <v>1251</v>
      </c>
      <c r="B19" s="2712"/>
      <c r="C19" s="2712"/>
      <c r="D19" s="2712"/>
      <c r="E19" s="2711" t="e">
        <f t="shared" si="0"/>
        <v>#DIV/0!</v>
      </c>
      <c r="F19" s="2711" t="e">
        <f t="shared" si="1"/>
        <v>#DIV/0!</v>
      </c>
      <c r="G19" s="2712"/>
      <c r="H19" s="2712"/>
      <c r="I19" s="2712"/>
      <c r="J19" s="2884"/>
      <c r="K19" s="2884"/>
    </row>
    <row r="20" spans="1:11" ht="16.5">
      <c r="A20" s="2710" t="s">
        <v>1250</v>
      </c>
      <c r="B20" s="2712"/>
      <c r="C20" s="2712"/>
      <c r="D20" s="2712"/>
      <c r="E20" s="2711" t="e">
        <f t="shared" si="0"/>
        <v>#DIV/0!</v>
      </c>
      <c r="F20" s="2711" t="e">
        <f t="shared" si="1"/>
        <v>#DIV/0!</v>
      </c>
      <c r="G20" s="2712"/>
      <c r="H20" s="2712"/>
      <c r="I20" s="2712"/>
      <c r="J20" s="2884"/>
      <c r="K20" s="2884"/>
    </row>
    <row r="21" spans="1:11" ht="16.5">
      <c r="A21" s="2710" t="s">
        <v>1249</v>
      </c>
      <c r="B21" s="2712"/>
      <c r="C21" s="2712"/>
      <c r="D21" s="2712"/>
      <c r="E21" s="2711" t="e">
        <f t="shared" si="0"/>
        <v>#DIV/0!</v>
      </c>
      <c r="F21" s="2711" t="e">
        <f t="shared" si="1"/>
        <v>#DIV/0!</v>
      </c>
      <c r="G21" s="2712"/>
      <c r="H21" s="2712"/>
      <c r="I21" s="2712"/>
      <c r="J21" s="2884"/>
      <c r="K21" s="2884"/>
    </row>
    <row r="22" spans="1:11" ht="16.5">
      <c r="A22" s="2710" t="s">
        <v>1248</v>
      </c>
      <c r="B22" s="2712"/>
      <c r="C22" s="2712"/>
      <c r="D22" s="2712"/>
      <c r="E22" s="2711" t="e">
        <f t="shared" si="0"/>
        <v>#DIV/0!</v>
      </c>
      <c r="F22" s="2711" t="e">
        <f t="shared" si="1"/>
        <v>#DIV/0!</v>
      </c>
      <c r="G22" s="2712"/>
      <c r="H22" s="2712"/>
      <c r="I22" s="2712"/>
      <c r="J22" s="2884"/>
      <c r="K22" s="2884"/>
    </row>
    <row r="23" spans="1:11" ht="16.5">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SheetLayoutView="70" zoomScalePageLayoutView="80" workbookViewId="0">
      <selection activeCell="K36" sqref="K36"/>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1888</v>
      </c>
      <c r="B1" s="1901"/>
      <c r="C1" s="1902"/>
      <c r="D1" s="1901"/>
      <c r="E1" s="1901"/>
      <c r="F1" s="1903" t="s">
        <v>1889</v>
      </c>
      <c r="G1" s="1714"/>
      <c r="H1" s="1904" t="str">
        <f>IF(G1="现房","——","估价对象范围")</f>
        <v>估价对象范围</v>
      </c>
      <c r="I1" s="1905"/>
    </row>
    <row r="2" spans="1:12" ht="21.75" customHeight="1" thickBot="1">
      <c r="A2" s="3390" t="str">
        <f>项目基本情况!S2</f>
        <v>北京市房地产</v>
      </c>
      <c r="B2" s="3391"/>
      <c r="C2" s="3391"/>
      <c r="D2" s="3391"/>
      <c r="E2" s="3391"/>
      <c r="F2" s="3391"/>
      <c r="G2" s="3391"/>
      <c r="H2" s="3391"/>
      <c r="I2" s="3392"/>
    </row>
    <row r="3" spans="1:12" ht="12.75">
      <c r="A3" s="3394" t="s">
        <v>1890</v>
      </c>
      <c r="B3" s="3395"/>
      <c r="C3" s="3395"/>
      <c r="D3" s="3395"/>
      <c r="E3" s="3395"/>
      <c r="F3" s="3395"/>
      <c r="G3" s="3395"/>
      <c r="H3" s="3395"/>
      <c r="I3" s="3395"/>
    </row>
    <row r="4" spans="1:12" ht="14.25">
      <c r="A4" s="1908" t="s">
        <v>1891</v>
      </c>
      <c r="B4" s="1909" t="s">
        <v>1892</v>
      </c>
      <c r="C4" s="1910" t="s">
        <v>3191</v>
      </c>
      <c r="D4" s="1910" t="s">
        <v>3145</v>
      </c>
      <c r="E4" s="3399" t="s">
        <v>1893</v>
      </c>
      <c r="F4" s="3400"/>
      <c r="G4" s="3400"/>
      <c r="H4" s="3400"/>
      <c r="I4" s="340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5" t="s">
        <v>1894</v>
      </c>
      <c r="B5" s="3393">
        <v>25</v>
      </c>
      <c r="C5" s="3396"/>
      <c r="D5" s="3384"/>
      <c r="E5" s="136" t="s">
        <v>1895</v>
      </c>
      <c r="F5" s="1911"/>
      <c r="G5" s="1911"/>
      <c r="H5" s="1911"/>
      <c r="I5" s="1525"/>
    </row>
    <row r="6" spans="1:12" ht="12.75">
      <c r="A6" s="3335"/>
      <c r="B6" s="3393"/>
      <c r="C6" s="3398"/>
      <c r="D6" s="3384"/>
      <c r="E6" s="136" t="s">
        <v>1896</v>
      </c>
      <c r="F6" s="1911"/>
      <c r="G6" s="1911"/>
      <c r="H6" s="1911"/>
      <c r="I6" s="1525"/>
    </row>
    <row r="7" spans="1:12" ht="12.75">
      <c r="A7" s="3335"/>
      <c r="B7" s="3393"/>
      <c r="C7" s="3397"/>
      <c r="D7" s="3384"/>
      <c r="E7" s="136" t="s">
        <v>1897</v>
      </c>
      <c r="F7" s="1911"/>
      <c r="G7" s="1911"/>
      <c r="H7" s="1911"/>
      <c r="I7" s="1525"/>
    </row>
    <row r="8" spans="1:12" ht="12.75">
      <c r="A8" s="3335" t="s">
        <v>1898</v>
      </c>
      <c r="B8" s="3393">
        <v>15</v>
      </c>
      <c r="C8" s="3396"/>
      <c r="D8" s="3384"/>
      <c r="E8" s="136" t="s">
        <v>1899</v>
      </c>
      <c r="F8" s="1911"/>
      <c r="G8" s="1911"/>
      <c r="H8" s="1911"/>
      <c r="I8" s="1525"/>
    </row>
    <row r="9" spans="1:12" ht="12.75">
      <c r="A9" s="3335"/>
      <c r="B9" s="3393"/>
      <c r="C9" s="3397"/>
      <c r="D9" s="3384"/>
      <c r="E9" s="136" t="s">
        <v>1900</v>
      </c>
      <c r="F9" s="1911"/>
      <c r="G9" s="1911"/>
      <c r="H9" s="1911"/>
      <c r="I9" s="1525"/>
    </row>
    <row r="10" spans="1:12" ht="12.75">
      <c r="A10" s="3335" t="s">
        <v>1901</v>
      </c>
      <c r="B10" s="3393">
        <v>15</v>
      </c>
      <c r="C10" s="3396"/>
      <c r="D10" s="3384"/>
      <c r="E10" s="136" t="s">
        <v>1902</v>
      </c>
      <c r="F10" s="1911"/>
      <c r="G10" s="1911"/>
      <c r="H10" s="1911"/>
      <c r="I10" s="1525"/>
    </row>
    <row r="11" spans="1:12" ht="12.75">
      <c r="A11" s="3335"/>
      <c r="B11" s="3393"/>
      <c r="C11" s="3397"/>
      <c r="D11" s="3384"/>
      <c r="E11" s="136" t="s">
        <v>1903</v>
      </c>
      <c r="F11" s="1911"/>
      <c r="G11" s="1911"/>
      <c r="H11" s="1911"/>
      <c r="I11" s="1525"/>
    </row>
    <row r="12" spans="1:12" ht="12.75">
      <c r="A12" s="3335" t="s">
        <v>1904</v>
      </c>
      <c r="B12" s="3393">
        <v>15</v>
      </c>
      <c r="C12" s="3396"/>
      <c r="D12" s="3384"/>
      <c r="E12" s="136" t="s">
        <v>1905</v>
      </c>
      <c r="F12" s="1911"/>
      <c r="G12" s="1911"/>
      <c r="H12" s="1911"/>
      <c r="I12" s="1525"/>
    </row>
    <row r="13" spans="1:12" ht="12.75">
      <c r="A13" s="3335"/>
      <c r="B13" s="3393"/>
      <c r="C13" s="3397"/>
      <c r="D13" s="3384"/>
      <c r="E13" s="136" t="s">
        <v>1906</v>
      </c>
      <c r="F13" s="1911"/>
      <c r="G13" s="1911"/>
      <c r="H13" s="1911"/>
      <c r="I13" s="1525"/>
    </row>
    <row r="14" spans="1:12" ht="12.75">
      <c r="A14" s="3335" t="s">
        <v>1907</v>
      </c>
      <c r="B14" s="3393">
        <v>30</v>
      </c>
      <c r="C14" s="3396">
        <v>5</v>
      </c>
      <c r="D14" s="3384">
        <v>5</v>
      </c>
      <c r="E14" s="136" t="s">
        <v>1908</v>
      </c>
      <c r="F14" s="1911"/>
      <c r="G14" s="1911"/>
      <c r="H14" s="1911"/>
      <c r="I14" s="1525"/>
    </row>
    <row r="15" spans="1:12" ht="12.75">
      <c r="A15" s="3335"/>
      <c r="B15" s="3393"/>
      <c r="C15" s="3398"/>
      <c r="D15" s="3384"/>
      <c r="E15" s="136" t="s">
        <v>1909</v>
      </c>
      <c r="F15" s="1911"/>
      <c r="G15" s="1911"/>
      <c r="H15" s="1911"/>
      <c r="I15" s="1525"/>
    </row>
    <row r="16" spans="1:12" ht="12.75">
      <c r="A16" s="3335"/>
      <c r="B16" s="3393"/>
      <c r="C16" s="3397"/>
      <c r="D16" s="3384"/>
      <c r="E16" s="136" t="s">
        <v>1910</v>
      </c>
      <c r="F16" s="1911"/>
      <c r="G16" s="1911"/>
      <c r="H16" s="1911"/>
      <c r="I16" s="1525"/>
    </row>
    <row r="17" spans="1:36" ht="15">
      <c r="A17" s="1912" t="s">
        <v>1911</v>
      </c>
      <c r="B17" s="60"/>
      <c r="C17" s="137">
        <f>SUM(C5:C16)</f>
        <v>5</v>
      </c>
      <c r="D17" s="137">
        <f>SUM(D5:D16)</f>
        <v>5</v>
      </c>
      <c r="E17" s="134"/>
      <c r="F17" s="134"/>
      <c r="G17" s="134"/>
      <c r="H17" s="134"/>
      <c r="I17" s="134"/>
      <c r="K17" s="308"/>
      <c r="L17" s="308" t="s">
        <v>1912</v>
      </c>
      <c r="M17" s="308" t="s">
        <v>1913</v>
      </c>
    </row>
    <row r="18" spans="1:36" ht="31.9" customHeight="1" thickBot="1">
      <c r="A18" s="1913" t="s">
        <v>1914</v>
      </c>
      <c r="B18" s="1914"/>
      <c r="C18" s="138">
        <f>ROUND(C17/SUM(C17:D17),2)</f>
        <v>0.5</v>
      </c>
      <c r="D18" s="138">
        <f>1-C18</f>
        <v>0.5</v>
      </c>
      <c r="E18" s="3415" t="s">
        <v>2812</v>
      </c>
      <c r="F18" s="3416"/>
      <c r="G18" s="3416"/>
      <c r="H18" s="3416"/>
      <c r="I18" s="3416"/>
      <c r="K18" s="308" t="s">
        <v>1915</v>
      </c>
      <c r="L18" s="308">
        <f>IF(C1="",'数据-汇总表'!E3,SUMIF(项目类型,C1,'数据-汇总表'!E17:E26)+SUMIF(项目类型,C1,'数据-汇总表'!I17:I26))</f>
        <v>26834.3</v>
      </c>
      <c r="M18" s="308">
        <f>IF(C1="",'数据-汇总表'!E3,SUMIF(项目类型,C1,'数据-汇总表'!E17:E26))</f>
        <v>26834.3</v>
      </c>
    </row>
    <row r="19" spans="1:36" ht="15">
      <c r="A19" s="1915" t="s">
        <v>1916</v>
      </c>
      <c r="B19" s="1916" t="s">
        <v>1917</v>
      </c>
      <c r="C19" s="139">
        <f ca="1">SUMIF(INDIRECT("'"&amp;C4&amp;"'"&amp;"!A:A"),结果表!B19,INDIRECT("'"&amp;C4&amp;"'"&amp;"!B:B"))</f>
        <v>69940</v>
      </c>
      <c r="D19" s="140">
        <f ca="1">SUMIF(INDIRECT("'"&amp;D4&amp;"'"&amp;"!A:A"),结果表!B19,INDIRECT("'"&amp;D4&amp;"'"&amp;"!B:B"))</f>
        <v>63101</v>
      </c>
      <c r="E19" s="1915" t="s">
        <v>1918</v>
      </c>
      <c r="F19" s="1916" t="s">
        <v>1917</v>
      </c>
      <c r="G19" s="141">
        <f ca="1">ROUND(C19*$C$18+D19*$D$18,0)</f>
        <v>66521</v>
      </c>
      <c r="H19" s="1917" t="s">
        <v>1919</v>
      </c>
      <c r="I19" s="134"/>
      <c r="K19" s="308" t="s">
        <v>1920</v>
      </c>
      <c r="L19" s="308">
        <f>IF(C1="",'数据-汇总表'!D3,SUMIF(项目类型,C1,'数据-汇总表'!D17:D26)+SUMIF(项目类型,C1,'数据-汇总表'!H17:H27))</f>
        <v>6706.16</v>
      </c>
      <c r="M19" s="308">
        <f>IF(C1="",'数据-汇总表'!D3,SUMIF(项目类型,C1,'数据-汇总表'!D17:D26))</f>
        <v>6706.16</v>
      </c>
    </row>
    <row r="20" spans="1:36" ht="15">
      <c r="A20" s="1918"/>
      <c r="B20" s="1155" t="s">
        <v>1921</v>
      </c>
      <c r="C20" s="142">
        <f ca="1">SUMIF(INDIRECT("'"&amp;C4&amp;"'"&amp;"!A:A"),结果表!B20,INDIRECT("'"&amp;C4&amp;"'"&amp;"!B:B"))</f>
        <v>26064</v>
      </c>
      <c r="D20" s="143">
        <f ca="1">SUMIF(INDIRECT("'"&amp;D4&amp;"'"&amp;"!A:A"),结果表!B20,INDIRECT("'"&amp;D4&amp;"'"&amp;"!B:B"))</f>
        <v>23515</v>
      </c>
      <c r="E20" s="1918"/>
      <c r="F20" s="1155" t="s">
        <v>1921</v>
      </c>
      <c r="G20" s="144">
        <f ca="1">ROUND(C20*$C$18+D20*$D$18,0)</f>
        <v>24790</v>
      </c>
      <c r="H20" s="916" t="s">
        <v>1922</v>
      </c>
      <c r="I20" s="134"/>
    </row>
    <row r="21" spans="1:36" ht="15" customHeight="1" thickBot="1">
      <c r="A21" s="936"/>
      <c r="B21" s="1919" t="s">
        <v>1923</v>
      </c>
      <c r="C21" s="727">
        <f ca="1">ROUND(C19*10000/L19,0)</f>
        <v>104292</v>
      </c>
      <c r="D21" s="728">
        <f ca="1">ROUND(D19*10000/L19,0)</f>
        <v>94094</v>
      </c>
      <c r="E21" s="936"/>
      <c r="F21" s="1919" t="s">
        <v>1923</v>
      </c>
      <c r="G21" s="145">
        <f ca="1">ROUND(G19*10000/L19,0)</f>
        <v>99194</v>
      </c>
      <c r="H21" s="1920" t="s">
        <v>1922</v>
      </c>
      <c r="I21" s="134"/>
    </row>
    <row r="22" spans="1:36" ht="15" thickBot="1">
      <c r="A22" s="1842" t="s">
        <v>1924</v>
      </c>
      <c r="B22" s="1921"/>
      <c r="C22" s="1922"/>
      <c r="D22" s="729">
        <f ca="1">IF(C19&lt;D19,D19/C19-1,C19/D19-1)</f>
        <v>0.10838180060537872</v>
      </c>
      <c r="E22" s="134"/>
      <c r="F22" s="134"/>
      <c r="G22" s="134"/>
      <c r="H22" s="134"/>
      <c r="I22" s="134"/>
      <c r="K22" s="733" t="str">
        <f>C4</f>
        <v>典型户型修正</v>
      </c>
      <c r="L22" s="733" t="str">
        <f>D4</f>
        <v>收益法</v>
      </c>
      <c r="M22" s="733" t="str">
        <f>F19</f>
        <v>总价</v>
      </c>
    </row>
    <row r="23" spans="1:36" ht="13.5" thickBot="1">
      <c r="A23" s="1901"/>
      <c r="B23" s="1901"/>
      <c r="C23" s="1901"/>
      <c r="D23" s="1901"/>
      <c r="E23" s="134"/>
      <c r="F23" s="134"/>
      <c r="G23" s="134"/>
      <c r="H23" s="134"/>
      <c r="I23" s="134"/>
      <c r="K23" s="733">
        <f ca="1">C19</f>
        <v>69940</v>
      </c>
      <c r="L23" s="733">
        <f ca="1">D19</f>
        <v>63101</v>
      </c>
      <c r="M23" s="733">
        <f ca="1">G19</f>
        <v>66521</v>
      </c>
    </row>
    <row r="24" spans="1:36" ht="14.25">
      <c r="A24" s="3408" t="s">
        <v>1925</v>
      </c>
      <c r="B24" s="1916" t="s">
        <v>1917</v>
      </c>
      <c r="C24" s="141">
        <f>IF(B30=0,0,D30)</f>
        <v>0</v>
      </c>
      <c r="D24" s="1923"/>
      <c r="E24" s="134"/>
      <c r="F24" s="134"/>
      <c r="G24" s="134"/>
      <c r="H24" s="134"/>
      <c r="I24" s="134"/>
      <c r="K24" s="733">
        <f ca="1">ROUND(K23/L18*10000,0)</f>
        <v>26064</v>
      </c>
      <c r="L24" s="733">
        <f ca="1">ROUND(L23/L18*10000,0)</f>
        <v>23515</v>
      </c>
      <c r="M24" s="733">
        <f ca="1">ROUND(M23/L18*10000,0)</f>
        <v>24790</v>
      </c>
    </row>
    <row r="25" spans="1:36" ht="14.25">
      <c r="A25" s="3409"/>
      <c r="B25" s="1155" t="s">
        <v>1921</v>
      </c>
      <c r="C25" s="146">
        <f>IF(B30=0,0,C30)</f>
        <v>0</v>
      </c>
      <c r="D25" s="1924"/>
      <c r="E25" s="134"/>
      <c r="F25" s="134"/>
      <c r="G25" s="134"/>
      <c r="H25" s="134"/>
      <c r="I25" s="134"/>
    </row>
    <row r="26" spans="1:36" ht="13.5" customHeight="1">
      <c r="A26" s="1925" t="s">
        <v>1926</v>
      </c>
      <c r="B26" s="147" t="s">
        <v>1927</v>
      </c>
      <c r="C26" s="147" t="s">
        <v>1928</v>
      </c>
      <c r="D26" s="148" t="s">
        <v>1929</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1930</v>
      </c>
      <c r="B30" s="147"/>
      <c r="C30" s="147"/>
      <c r="D30" s="147"/>
      <c r="E30" s="2488" t="s">
        <v>2813</v>
      </c>
      <c r="F30" s="134"/>
      <c r="G30" s="134"/>
      <c r="H30" s="134"/>
      <c r="I30" s="134"/>
    </row>
    <row r="31" spans="1:36" s="2494" customFormat="1" ht="26.45" customHeight="1" thickTop="1" thickBot="1">
      <c r="A31" s="2489"/>
      <c r="B31" s="2490"/>
      <c r="C31" s="2490"/>
      <c r="D31" s="2490"/>
      <c r="E31" s="2490"/>
      <c r="F31" s="2490"/>
      <c r="G31" s="2490"/>
      <c r="H31" s="2490"/>
      <c r="I31" s="2491" t="s">
        <v>2814</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7" t="s">
        <v>1931</v>
      </c>
      <c r="B32" s="1928"/>
      <c r="C32" s="149">
        <f ca="1">IF(D32="总价",G19-C24,G20-C25)</f>
        <v>66521</v>
      </c>
      <c r="D32" s="1929" t="s">
        <v>3177</v>
      </c>
      <c r="E32" s="134"/>
      <c r="F32" s="134"/>
      <c r="G32" s="134"/>
      <c r="H32" s="134"/>
      <c r="I32" s="134"/>
    </row>
    <row r="33" spans="1:15" ht="15">
      <c r="A33" s="893" t="s">
        <v>1932</v>
      </c>
      <c r="B33" s="1930"/>
      <c r="C33" s="1931" t="s">
        <v>3178</v>
      </c>
      <c r="D33" s="1932" t="s">
        <v>3145</v>
      </c>
      <c r="E33" s="1933" t="s">
        <v>1933</v>
      </c>
      <c r="F33" s="1934" t="str">
        <f>IF(D32="楼面单价","取值（单价）","取值（总价）")</f>
        <v>取值（总价）</v>
      </c>
      <c r="G33" s="134"/>
      <c r="H33" s="134"/>
      <c r="I33" s="134"/>
    </row>
    <row r="34" spans="1:15" ht="15">
      <c r="A34" s="1935"/>
      <c r="B34" s="1936" t="s">
        <v>1934</v>
      </c>
      <c r="C34" s="153">
        <f ca="1">IF(C33="自定义",F34,C32-C35)</f>
        <v>47895</v>
      </c>
      <c r="D34" s="969">
        <f ca="1">IF(C33="自定义",ROUND(C34/C32,3),IF(C33="收益比率",SUMIF(INDIRECT("'"&amp;D33&amp;"'"&amp;"!b:b"),"土地收益比率",INDIRECT("'"&amp;D33&amp;"'"&amp;"!c:c")),SUMIF(INDIRECT("'"&amp;D33&amp;"'"&amp;"!b:b"),"土地成本比率",INDIRECT("'"&amp;D33&amp;"'"&amp;"!c:c"))))</f>
        <v>0.72</v>
      </c>
      <c r="E34" s="1937" t="s">
        <v>1935</v>
      </c>
      <c r="F34" s="1468"/>
      <c r="G34" s="134"/>
      <c r="H34" s="134"/>
      <c r="I34" s="134"/>
    </row>
    <row r="35" spans="1:15" ht="15.75" thickBot="1">
      <c r="A35" s="1938"/>
      <c r="B35" s="1939" t="s">
        <v>1936</v>
      </c>
      <c r="C35" s="1302">
        <f ca="1">IF(C33="自定义",F35,ROUND(C32*D35,0))</f>
        <v>18626</v>
      </c>
      <c r="D35" s="1303">
        <f ca="1">IF(C33="自定义",ROUND(C35/C32,3),IF(C33="收益比率",SUMIF(INDIRECT("'"&amp;D33&amp;"'"&amp;"!b:b"),"建筑物收益比率",INDIRECT("'"&amp;D33&amp;"'"&amp;"!c:c")),SUMIF(INDIRECT("'"&amp;D33&amp;"'"&amp;"!b:b"),"建筑物成本比率",INDIRECT("'"&amp;D33&amp;"'"&amp;"!c:c"))))</f>
        <v>0.28000000000000003</v>
      </c>
      <c r="E35" s="1940" t="s">
        <v>1937</v>
      </c>
      <c r="F35" s="159"/>
      <c r="G35" s="134"/>
      <c r="H35" s="134"/>
      <c r="I35" s="134"/>
    </row>
    <row r="36" spans="1:15" ht="15.75" thickBot="1">
      <c r="A36" s="3385" t="s">
        <v>1938</v>
      </c>
      <c r="B36" s="1941" t="s">
        <v>1939</v>
      </c>
      <c r="C36" s="150"/>
      <c r="D36" s="1942"/>
      <c r="E36" s="1943"/>
      <c r="F36" s="1944"/>
      <c r="G36" s="134"/>
      <c r="H36" s="134"/>
      <c r="I36" s="134"/>
    </row>
    <row r="37" spans="1:15" ht="15.75" thickBot="1">
      <c r="A37" s="3386"/>
      <c r="B37" s="1828" t="s">
        <v>1940</v>
      </c>
      <c r="C37" s="152"/>
      <c r="D37" s="1271"/>
      <c r="E37" s="1271"/>
      <c r="F37" s="1944"/>
      <c r="G37" s="134"/>
      <c r="H37" s="134"/>
      <c r="I37" s="134"/>
    </row>
    <row r="38" spans="1:15" ht="15.75" thickBot="1">
      <c r="A38" s="3387"/>
      <c r="B38" s="1945" t="s">
        <v>1941</v>
      </c>
      <c r="C38" s="682"/>
      <c r="D38" s="1946" t="s">
        <v>1942</v>
      </c>
      <c r="E38" s="1271"/>
      <c r="F38" s="1944"/>
      <c r="G38" s="134"/>
      <c r="H38" s="134"/>
      <c r="I38" s="134"/>
    </row>
    <row r="39" spans="1:15" ht="15">
      <c r="A39" s="1918" t="s">
        <v>1943</v>
      </c>
      <c r="B39" s="1947" t="s">
        <v>1944</v>
      </c>
      <c r="C39" s="1948" t="s">
        <v>1945</v>
      </c>
      <c r="D39" s="1948" t="s">
        <v>1946</v>
      </c>
      <c r="E39" s="1949" t="s">
        <v>1947</v>
      </c>
      <c r="F39" s="1944"/>
      <c r="G39" s="134"/>
      <c r="H39" s="134"/>
      <c r="I39" s="134"/>
    </row>
    <row r="40" spans="1:15" ht="14.25">
      <c r="A40" s="1950" t="s">
        <v>1948</v>
      </c>
      <c r="B40" s="154"/>
      <c r="C40" s="155"/>
      <c r="D40" s="155"/>
      <c r="E40" s="156"/>
      <c r="F40" s="1944"/>
      <c r="G40" s="134"/>
      <c r="H40" s="134"/>
      <c r="I40" s="134"/>
    </row>
    <row r="41" spans="1:15" ht="14.25">
      <c r="A41" s="1950" t="s">
        <v>1949</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405" t="s">
        <v>1952</v>
      </c>
      <c r="B45" s="3406"/>
      <c r="C45" s="3407"/>
      <c r="D45" s="160">
        <f ca="1">ROUND(H101*F45,0)</f>
        <v>66521</v>
      </c>
      <c r="E45" s="161" t="s">
        <v>1953</v>
      </c>
      <c r="F45" s="162">
        <v>1</v>
      </c>
      <c r="G45" s="163" t="s">
        <v>1954</v>
      </c>
      <c r="H45" s="134"/>
      <c r="I45" s="134"/>
      <c r="J45" s="3322" t="s">
        <v>1955</v>
      </c>
      <c r="K45" s="3322"/>
      <c r="L45" s="3322"/>
      <c r="M45" s="3322"/>
      <c r="N45" s="3322"/>
      <c r="O45" s="3322"/>
    </row>
    <row r="46" spans="1:15" ht="14.25" customHeight="1">
      <c r="A46" s="3402" t="s">
        <v>1956</v>
      </c>
      <c r="B46" s="3403"/>
      <c r="C46" s="3403"/>
      <c r="D46" s="3403"/>
      <c r="E46" s="3403"/>
      <c r="F46" s="3403"/>
      <c r="G46" s="3404"/>
      <c r="H46" s="1960"/>
      <c r="I46" s="164"/>
      <c r="J46" s="2716">
        <v>1</v>
      </c>
      <c r="K46" s="3323" t="s">
        <v>1957</v>
      </c>
      <c r="L46" s="3323"/>
      <c r="M46" s="3324"/>
      <c r="N46" s="3324"/>
      <c r="O46" s="3324"/>
    </row>
    <row r="47" spans="1:15" ht="12" customHeight="1">
      <c r="A47" s="165" t="s">
        <v>1958</v>
      </c>
      <c r="B47" s="166"/>
      <c r="C47" s="167"/>
      <c r="D47" s="1217" t="s">
        <v>1959</v>
      </c>
      <c r="E47" s="308" t="s">
        <v>1960</v>
      </c>
      <c r="F47" s="168" t="s">
        <v>1961</v>
      </c>
      <c r="G47" s="2739" t="s">
        <v>1962</v>
      </c>
      <c r="H47" s="2740"/>
      <c r="I47" s="164"/>
      <c r="J47" s="2716">
        <v>2</v>
      </c>
      <c r="K47" s="3323" t="s">
        <v>1963</v>
      </c>
      <c r="L47" s="3323"/>
      <c r="M47" s="3325">
        <f>'数据-取费表'!B2</f>
        <v>44645</v>
      </c>
      <c r="N47" s="3325"/>
      <c r="O47" s="3325"/>
    </row>
    <row r="48" spans="1:15" ht="25.5">
      <c r="A48" s="3388" t="s">
        <v>1964</v>
      </c>
      <c r="B48" s="3389"/>
      <c r="C48" s="3389"/>
      <c r="D48" s="2514" t="b">
        <f>IF(H48="情况1",0,IF(H48="情况2",D52,IF(H48="情况3",D53,IF(H48="情况4",D54))))</f>
        <v>0</v>
      </c>
      <c r="E48" s="2524" t="str">
        <f>IF(H48="情况4","(销售额-原购置价)×税（费）率","销售额×税（费）率")</f>
        <v>销售额×税（费）率</v>
      </c>
      <c r="F48" s="2741">
        <f>IF(H48="情况1","免征",'数据-取费表'!B41)</f>
        <v>5.5000000000000007E-2</v>
      </c>
      <c r="G48" s="2742" t="s">
        <v>1965</v>
      </c>
      <c r="H48" s="2743"/>
      <c r="I48" s="1960"/>
      <c r="J48" s="2716">
        <v>3</v>
      </c>
      <c r="K48" s="3323" t="s">
        <v>1966</v>
      </c>
      <c r="L48" s="3323"/>
      <c r="M48" s="3326">
        <f ca="1">H101</f>
        <v>66521</v>
      </c>
      <c r="N48" s="3326"/>
      <c r="O48" s="3326"/>
    </row>
    <row r="49" spans="1:35" ht="25.5" customHeight="1">
      <c r="A49" s="2523" t="s">
        <v>1967</v>
      </c>
      <c r="B49" s="3371" t="s">
        <v>1968</v>
      </c>
      <c r="C49" s="3371"/>
      <c r="D49" s="1743">
        <v>0</v>
      </c>
      <c r="E49" s="330" t="s">
        <v>1969</v>
      </c>
      <c r="F49" s="2617" t="s">
        <v>34</v>
      </c>
      <c r="G49" s="3354"/>
      <c r="H49" s="2495" t="s">
        <v>2815</v>
      </c>
      <c r="I49" s="2496"/>
      <c r="J49" s="2716">
        <v>4</v>
      </c>
      <c r="K49" s="3323" t="str">
        <f>IF(项目基本情况!E8="房地产抵押价值","房地产抵押价值","抵押担保权已注销时的房地产抵押价值")</f>
        <v>房地产抵押价值</v>
      </c>
      <c r="L49" s="3323"/>
      <c r="M49" s="3326">
        <f ca="1">IF(项目基本情况!E8="房地产抵押价值",H107,H109)</f>
        <v>66521</v>
      </c>
      <c r="N49" s="3326"/>
      <c r="O49" s="3326"/>
    </row>
    <row r="50" spans="1:35" ht="25.5" customHeight="1">
      <c r="A50" s="2744"/>
      <c r="B50" s="3371" t="s">
        <v>1970</v>
      </c>
      <c r="C50" s="3371"/>
      <c r="D50" s="2745"/>
      <c r="E50" s="338"/>
      <c r="F50" s="2617"/>
      <c r="G50" s="3355"/>
      <c r="H50" s="2497" t="s">
        <v>2816</v>
      </c>
      <c r="I50" s="2496"/>
      <c r="J50" s="3322" t="s">
        <v>1971</v>
      </c>
      <c r="K50" s="3322"/>
      <c r="L50" s="3322"/>
      <c r="M50" s="3322"/>
      <c r="N50" s="3322"/>
      <c r="O50" s="3322"/>
    </row>
    <row r="51" spans="1:35" ht="20.45" customHeight="1">
      <c r="A51" s="2746"/>
      <c r="B51" s="3371" t="s">
        <v>1972</v>
      </c>
      <c r="C51" s="3371"/>
      <c r="D51" s="1217"/>
      <c r="E51" s="333"/>
      <c r="F51" s="2617"/>
      <c r="G51" s="3356"/>
      <c r="H51" s="2497" t="s">
        <v>2817</v>
      </c>
      <c r="I51" s="2496"/>
      <c r="J51" s="2717" t="s">
        <v>1973</v>
      </c>
      <c r="K51" s="3323" t="s">
        <v>1974</v>
      </c>
      <c r="L51" s="3323"/>
      <c r="M51" s="2717" t="s">
        <v>1975</v>
      </c>
      <c r="N51" s="2717" t="s">
        <v>1976</v>
      </c>
      <c r="O51" s="2717" t="s">
        <v>1977</v>
      </c>
    </row>
    <row r="52" spans="1:35" ht="24" customHeight="1">
      <c r="A52" s="2525" t="s">
        <v>1978</v>
      </c>
      <c r="B52" s="3371" t="s">
        <v>1979</v>
      </c>
      <c r="C52" s="3371"/>
      <c r="D52" s="1217">
        <f ca="1">ROUND(D45*'数据-取费表'!B41/(1+'数据-取费表'!C42),0)</f>
        <v>3484</v>
      </c>
      <c r="E52" s="2524" t="s">
        <v>1980</v>
      </c>
      <c r="F52" s="2747">
        <f>'数据-取费表'!B41</f>
        <v>5.5000000000000007E-2</v>
      </c>
      <c r="G52" s="2748"/>
      <c r="H52" s="2737"/>
      <c r="I52" s="1961"/>
      <c r="J52" s="2716">
        <v>1</v>
      </c>
      <c r="K52" s="3348" t="s">
        <v>1981</v>
      </c>
      <c r="L52" s="3348"/>
      <c r="M52" s="2718" t="b">
        <f>D48</f>
        <v>0</v>
      </c>
      <c r="N52" s="2716" t="str">
        <f>E48</f>
        <v>销售额×税（费）率</v>
      </c>
      <c r="O52" s="2719">
        <f>F48</f>
        <v>5.5000000000000007E-2</v>
      </c>
    </row>
    <row r="53" spans="1:35" ht="12" customHeight="1">
      <c r="A53" s="2525" t="s">
        <v>1982</v>
      </c>
      <c r="B53" s="3372" t="s">
        <v>2976</v>
      </c>
      <c r="C53" s="3373"/>
      <c r="D53" s="1217">
        <f ca="1">ROUND(D45*'数据-取费表'!B41/(1+'数据-取费表'!C42),0)</f>
        <v>3484</v>
      </c>
      <c r="E53" s="2524" t="s">
        <v>1980</v>
      </c>
      <c r="F53" s="2747">
        <f>'数据-取费表'!B41</f>
        <v>5.5000000000000007E-2</v>
      </c>
      <c r="G53" s="2748"/>
      <c r="H53" s="2737"/>
      <c r="I53" s="1961"/>
      <c r="J53" s="2716">
        <v>2</v>
      </c>
      <c r="K53" s="3348" t="s">
        <v>1983</v>
      </c>
      <c r="L53" s="3348"/>
      <c r="M53" s="2718">
        <f t="shared" ref="M53:O54" ca="1" si="0">D55</f>
        <v>33</v>
      </c>
      <c r="N53" s="2716" t="str">
        <f t="shared" si="0"/>
        <v>销售额×税（费）率</v>
      </c>
      <c r="O53" s="2719" t="str">
        <f t="shared" si="0"/>
        <v>免征</v>
      </c>
    </row>
    <row r="54" spans="1:35" ht="12" customHeight="1">
      <c r="A54" s="2525" t="s">
        <v>1984</v>
      </c>
      <c r="B54" s="3372" t="s">
        <v>2977</v>
      </c>
      <c r="C54" s="3373"/>
      <c r="D54" s="1217">
        <f ca="1">C68</f>
        <v>3484</v>
      </c>
      <c r="E54" s="333" t="s">
        <v>1985</v>
      </c>
      <c r="F54" s="2747">
        <f>'数据-取费表'!B41</f>
        <v>5.5000000000000007E-2</v>
      </c>
      <c r="G54" s="2748"/>
      <c r="H54" s="2749"/>
      <c r="I54" s="1961"/>
      <c r="J54" s="2716">
        <v>3</v>
      </c>
      <c r="K54" s="3348" t="s">
        <v>1986</v>
      </c>
      <c r="L54" s="3348"/>
      <c r="M54" s="2718">
        <f t="shared" ca="1" si="0"/>
        <v>37711</v>
      </c>
      <c r="N54" s="2716" t="str">
        <f t="shared" si="0"/>
        <v>增值额×税（费）率</v>
      </c>
      <c r="O54" s="2720" t="str">
        <f t="shared" si="0"/>
        <v>免征</v>
      </c>
    </row>
    <row r="55" spans="1:35" ht="24" customHeight="1">
      <c r="A55" s="3411" t="s">
        <v>1987</v>
      </c>
      <c r="B55" s="3389"/>
      <c r="C55" s="3389"/>
      <c r="D55" s="2514">
        <f ca="1">IF(H55="个人住宅",0,ROUND(D45*I55,0))</f>
        <v>33</v>
      </c>
      <c r="E55" s="2524" t="s">
        <v>1988</v>
      </c>
      <c r="F55" s="2747" t="str">
        <f>IF(H55="正常",I55,"免征")</f>
        <v>免征</v>
      </c>
      <c r="G55" s="2748"/>
      <c r="H55" s="2743"/>
      <c r="I55" s="170">
        <f>'数据-取费表'!B49</f>
        <v>5.0000000000000001E-4</v>
      </c>
      <c r="J55" s="2716">
        <f>IF(H59="非个人房产","",4)</f>
        <v>4</v>
      </c>
      <c r="K55" s="3348" t="str">
        <f>IF(H59="非个人房产","——","个人所得税")</f>
        <v>个人所得税</v>
      </c>
      <c r="L55" s="3348"/>
      <c r="M55" s="2721">
        <f ca="1">D59</f>
        <v>634</v>
      </c>
      <c r="N55" s="2195" t="str">
        <f>E59</f>
        <v>差额计税</v>
      </c>
      <c r="O55" s="2722">
        <f>F59</f>
        <v>0.01</v>
      </c>
    </row>
    <row r="56" spans="1:35" ht="24.75">
      <c r="A56" s="3411" t="s">
        <v>1989</v>
      </c>
      <c r="B56" s="3389"/>
      <c r="C56" s="3389"/>
      <c r="D56" s="2514">
        <f ca="1">IF(H56="个人住宅",D57,D58)</f>
        <v>37711</v>
      </c>
      <c r="E56" s="2524" t="s">
        <v>1990</v>
      </c>
      <c r="F56" s="2747" t="str">
        <f>IF(H56="正常",F58,"免征")</f>
        <v>免征</v>
      </c>
      <c r="G56" s="2750" t="s">
        <v>1991</v>
      </c>
      <c r="H56" s="2751"/>
      <c r="I56" s="1962"/>
      <c r="J56" s="2716" t="str">
        <f>IF(项目基本情况!K6="上海银行",IF(J55="",4,J55+1),"")</f>
        <v/>
      </c>
      <c r="K56" s="3329" t="str">
        <f>IF(项目基本情况!K6="上海银行","其他处置费用","")</f>
        <v/>
      </c>
      <c r="L56" s="3330"/>
      <c r="M56" s="2718" t="str">
        <f>IF(项目基本情况!K6="上海银行",M69,"")</f>
        <v/>
      </c>
      <c r="N56" s="3329" t="str">
        <f>IF(项目基本情况!K6="上海银行","包含处置中涉及的律师、诉讼、拍卖、评估等费用","")</f>
        <v/>
      </c>
      <c r="O56" s="3332"/>
    </row>
    <row r="57" spans="1:35" ht="12.75">
      <c r="A57" s="2525" t="s">
        <v>1967</v>
      </c>
      <c r="B57" s="3372" t="s">
        <v>1992</v>
      </c>
      <c r="C57" s="3373"/>
      <c r="D57" s="1743">
        <v>0</v>
      </c>
      <c r="E57" s="330" t="s">
        <v>1969</v>
      </c>
      <c r="F57" s="308"/>
      <c r="G57" s="2748"/>
      <c r="H57" s="2752"/>
      <c r="I57" s="1962"/>
      <c r="J57" s="3348">
        <f>IF(AND(J55="",J56=""),4,IF(项目基本情况!K6="上海银行",结果表!J56+1,结果表!J55+1))</f>
        <v>5</v>
      </c>
      <c r="K57" s="3348" t="s">
        <v>1993</v>
      </c>
      <c r="L57" s="2723" t="s">
        <v>1994</v>
      </c>
      <c r="M57" s="2724"/>
      <c r="N57" s="2725">
        <f ca="1">SUMIF(M52:M56,"&lt;9e307")</f>
        <v>38378</v>
      </c>
      <c r="O57" s="2726"/>
      <c r="P57" s="2886">
        <f ca="1">N57/M49</f>
        <v>0.57693059334646202</v>
      </c>
    </row>
    <row r="58" spans="1:35" ht="24.75">
      <c r="A58" s="2525" t="s">
        <v>1978</v>
      </c>
      <c r="B58" s="3372" t="s">
        <v>1995</v>
      </c>
      <c r="C58" s="3371"/>
      <c r="D58" s="2514">
        <f ca="1">IF(H58="转让取得",C81,C97)</f>
        <v>37711</v>
      </c>
      <c r="E58" s="2524" t="s">
        <v>1990</v>
      </c>
      <c r="F58" s="308" t="s">
        <v>34</v>
      </c>
      <c r="G58" s="2748"/>
      <c r="H58" s="2751"/>
      <c r="I58" s="1962"/>
      <c r="J58" s="3348"/>
      <c r="K58" s="3348"/>
      <c r="L58" s="2723" t="s">
        <v>1996</v>
      </c>
      <c r="M58" s="2727"/>
      <c r="N58" s="2728" t="str">
        <f ca="1">NUMBERSTRING(INT(N57*10000),2)&amp;"元整"</f>
        <v>叁亿捌仟叁佰柒拾捌万元整</v>
      </c>
      <c r="O58" s="2729"/>
    </row>
    <row r="59" spans="1:35" ht="24.75" thickBot="1">
      <c r="A59" s="3352" t="s">
        <v>1997</v>
      </c>
      <c r="B59" s="3353"/>
      <c r="C59" s="3353"/>
      <c r="D59" s="2753">
        <f ca="1">IF(H59="非个人房产","——",IF(H59="个人住宅（满五唯一有凭证）",0,IF(H59="个人其他（无凭证）",ROUND(D45*F59,0),ROUND(C67*F59,0))))</f>
        <v>634</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499"/>
      <c r="I59" s="2498" t="s">
        <v>2818</v>
      </c>
      <c r="J59" s="3350">
        <f>J57+1</f>
        <v>6</v>
      </c>
      <c r="K59" s="3348" t="s">
        <v>1998</v>
      </c>
      <c r="L59" s="2716" t="s">
        <v>1994</v>
      </c>
      <c r="M59" s="2730"/>
      <c r="N59" s="2731">
        <f ca="1">M49-N57</f>
        <v>28143</v>
      </c>
      <c r="O59" s="2732"/>
    </row>
    <row r="60" spans="1:35" ht="12" customHeight="1">
      <c r="A60" s="1963"/>
      <c r="B60" s="1901"/>
      <c r="C60" s="1901"/>
      <c r="D60" s="1901"/>
      <c r="E60" s="1731"/>
      <c r="F60" s="1962"/>
      <c r="G60" s="1962"/>
      <c r="H60" s="1964"/>
      <c r="I60" s="134"/>
      <c r="J60" s="3351"/>
      <c r="K60" s="3348"/>
      <c r="L60" s="2723" t="s">
        <v>1996</v>
      </c>
      <c r="M60" s="2727"/>
      <c r="N60" s="2728" t="str">
        <f ca="1">NUMBERSTRING(INT(N59*10000),2)&amp;"元整"</f>
        <v>贰亿捌仟壹佰肆拾叁万元整</v>
      </c>
      <c r="O60" s="2729"/>
    </row>
    <row r="61" spans="1:35" ht="13.5" thickBot="1">
      <c r="A61" s="3410" t="s">
        <v>1999</v>
      </c>
      <c r="B61" s="3410"/>
      <c r="C61" s="3410"/>
      <c r="D61" s="3410"/>
      <c r="E61" s="3410"/>
      <c r="F61" s="1962"/>
      <c r="G61" s="1962"/>
      <c r="H61" s="1964"/>
      <c r="I61" s="134"/>
      <c r="J61" s="2716">
        <f>J59+1</f>
        <v>7</v>
      </c>
      <c r="K61" s="3348" t="s">
        <v>2000</v>
      </c>
      <c r="L61" s="3348"/>
      <c r="M61" s="2733"/>
      <c r="N61" s="2734">
        <f ca="1">ROUND(N59*10000/'数据-汇总表'!E3,0)</f>
        <v>10488</v>
      </c>
      <c r="O61" s="2735"/>
    </row>
    <row r="62" spans="1:35" ht="12.75">
      <c r="A62" s="3367" t="s">
        <v>2001</v>
      </c>
      <c r="B62" s="3368"/>
      <c r="C62" s="2176"/>
      <c r="D62" s="2176" t="s">
        <v>2002</v>
      </c>
      <c r="E62" s="171" t="s">
        <v>2003</v>
      </c>
      <c r="F62" s="1962"/>
      <c r="G62" s="1962"/>
      <c r="H62" s="1964"/>
      <c r="I62" s="134"/>
    </row>
    <row r="63" spans="1:35" ht="12.75">
      <c r="A63" s="178" t="s">
        <v>775</v>
      </c>
      <c r="B63" s="172" t="s">
        <v>2004</v>
      </c>
      <c r="C63" s="2757">
        <f ca="1">ROUND((C64+C65)/(1+'数据-取费表'!C42),0)</f>
        <v>63353</v>
      </c>
      <c r="D63" s="172"/>
      <c r="E63" s="173"/>
      <c r="F63" s="1962"/>
      <c r="G63" s="1962"/>
      <c r="H63" s="1964"/>
      <c r="I63" s="134"/>
      <c r="J63" s="3331" t="s">
        <v>2005</v>
      </c>
      <c r="K63" s="1470" t="s">
        <v>2006</v>
      </c>
      <c r="L63" s="1470">
        <f ca="1">IF(M49&gt;10000,M49*0.5%,IF(AND(M49&gt;1000,M49&lt;=10000),M49*1%,IF(AND(M49&gt;100,M49&lt;=1000),M49*3%,IF(AND(M49&gt;10,M49&lt;=100),M49*5%,M49*8%))))</f>
        <v>332.60500000000002</v>
      </c>
      <c r="M63" s="308">
        <f ca="1">ROUND(L63,1)</f>
        <v>332.6</v>
      </c>
      <c r="N63" s="2736"/>
      <c r="Z63" s="1906"/>
      <c r="AI63" s="1907"/>
    </row>
    <row r="64" spans="1:35" ht="14.25" customHeight="1">
      <c r="A64" s="174" t="s">
        <v>770</v>
      </c>
      <c r="B64" s="175" t="s">
        <v>2007</v>
      </c>
      <c r="C64" s="2758">
        <f ca="1">D45</f>
        <v>66521</v>
      </c>
      <c r="D64" s="175" t="s">
        <v>32</v>
      </c>
      <c r="E64" s="177"/>
      <c r="F64" s="1962"/>
      <c r="G64" s="1962"/>
      <c r="H64" s="1964"/>
      <c r="I64" s="134"/>
      <c r="J64" s="3331"/>
      <c r="K64" s="1470" t="s">
        <v>2008</v>
      </c>
      <c r="L64" s="1470">
        <f ca="1">IF(M49&gt;2000,M49*0.5%,IF(AND(M49&gt;1000,M49&lt;=2000),M49*0.6%,IF(AND(M49&gt;500,M49&lt;=1000),M49*0.7%,IF(AND(M49&gt;200,M49&lt;=500),M49*0.8%,IF(AND(M49&gt;100,M49&lt;=200),M49*0.9%,IF(AND(M49&gt;50,M49&lt;=100),M49*1%,IF(AND(M49&gt;20,M49&lt;=50),M49*1.5%,IF(AND(M49&gt;10,M49&lt;=20),M49*2%,IF(AND(M49&gt;1,M49&lt;=10),M49*2.5%)))))))))</f>
        <v>332.60500000000002</v>
      </c>
      <c r="M64" s="308">
        <f t="shared" ref="M64:M65" ca="1" si="1">ROUND(L64,1)</f>
        <v>332.6</v>
      </c>
      <c r="N64" s="2737" t="s">
        <v>2009</v>
      </c>
      <c r="Z64" s="1906"/>
      <c r="AI64" s="1907"/>
    </row>
    <row r="65" spans="1:35" ht="14.25" customHeight="1">
      <c r="A65" s="174" t="s">
        <v>771</v>
      </c>
      <c r="B65" s="175" t="s">
        <v>2010</v>
      </c>
      <c r="C65" s="2759"/>
      <c r="D65" s="175"/>
      <c r="E65" s="177"/>
      <c r="F65" s="1962"/>
      <c r="G65" s="1962"/>
      <c r="H65" s="1964"/>
      <c r="I65" s="134"/>
      <c r="J65" s="3331"/>
      <c r="K65" s="1470" t="s">
        <v>2011</v>
      </c>
      <c r="L65" s="1470">
        <f ca="1">IF(M49&gt;1000,M49*0.1%,IF(AND(M49&gt;500,M49&lt;=1000),M49*0.5%,IF(AND(M49&gt;50,M49&lt;=500),M49*1%,IF(AND(M49&gt;1,M49&lt;=50),M49*1.5%))))</f>
        <v>66.521000000000001</v>
      </c>
      <c r="M65" s="308">
        <f t="shared" ca="1" si="1"/>
        <v>66.5</v>
      </c>
      <c r="N65" s="2737" t="s">
        <v>2009</v>
      </c>
      <c r="Z65" s="1906"/>
      <c r="AI65" s="1907"/>
    </row>
    <row r="66" spans="1:35" ht="14.25" customHeight="1">
      <c r="A66" s="178" t="s">
        <v>772</v>
      </c>
      <c r="B66" s="179" t="s">
        <v>2012</v>
      </c>
      <c r="C66" s="2760"/>
      <c r="D66" s="179" t="s">
        <v>32</v>
      </c>
      <c r="E66" s="1477" t="s">
        <v>1277</v>
      </c>
      <c r="F66" s="1962"/>
      <c r="G66" s="1962"/>
      <c r="H66" s="1964"/>
      <c r="I66" s="134"/>
      <c r="J66" s="3331"/>
      <c r="K66" s="1470" t="s">
        <v>2013</v>
      </c>
      <c r="L66" s="1470">
        <f ca="1">M49*0.5%</f>
        <v>332.60500000000002</v>
      </c>
      <c r="M66" s="308">
        <f ca="1">IF(L66&gt;0.5,0.5,ROUND(L66,0))</f>
        <v>0.5</v>
      </c>
      <c r="N66" s="2737" t="s">
        <v>2014</v>
      </c>
      <c r="Z66" s="1906"/>
      <c r="AI66" s="1907"/>
    </row>
    <row r="67" spans="1:35" ht="14.25" customHeight="1">
      <c r="A67" s="178" t="s">
        <v>773</v>
      </c>
      <c r="B67" s="179" t="s">
        <v>2015</v>
      </c>
      <c r="C67" s="2761">
        <f ca="1">C63-C66</f>
        <v>63353</v>
      </c>
      <c r="D67" s="175" t="s">
        <v>32</v>
      </c>
      <c r="E67" s="177"/>
      <c r="F67" s="1962"/>
      <c r="G67" s="1962"/>
      <c r="H67" s="1964"/>
      <c r="I67" s="134"/>
      <c r="J67" s="3331"/>
      <c r="K67" s="1470" t="s">
        <v>2016</v>
      </c>
      <c r="L67" s="1470">
        <f ca="1">IF(M49&gt;=10000,(8.25+(M49-10000)*0.01%),IF(AND(M49&gt;=8000,M49&lt;10000),(7.85+(M49-8000)*0.02%),IF(AND(M49&gt;=5000,M49&lt;8000),(6.65+(M49-5000)*0.04%),IF(AND(M49&gt;=2000,M49&lt;5000),(4.25+(PM49-2000)*0.08%),IF(AND(M49&gt;=1000,M49&lt;2000),(2.75+(M49-1000)*0.15%),IF(AND(M49&gt;=100,M49&lt;1000),(0.5+(M49-100)*0.25%),IF(AND(M49&gt;0,M49&lt;100),M49*0.5%)))))))</f>
        <v>13.902100000000001</v>
      </c>
      <c r="M67" s="308">
        <f ca="1">ROUND(L67*0.9,1)</f>
        <v>12.5</v>
      </c>
      <c r="N67" s="2736"/>
      <c r="Z67" s="1906"/>
      <c r="AI67" s="1907"/>
    </row>
    <row r="68" spans="1:35" ht="14.25" customHeight="1" thickBot="1">
      <c r="A68" s="181" t="s">
        <v>774</v>
      </c>
      <c r="B68" s="182" t="s">
        <v>2017</v>
      </c>
      <c r="C68" s="2762">
        <f ca="1">IF(C67&lt;=0,0,ROUND(C67*D68,0))</f>
        <v>3484</v>
      </c>
      <c r="D68" s="2763">
        <f>'数据-取费表'!B41</f>
        <v>5.5000000000000007E-2</v>
      </c>
      <c r="E68" s="184"/>
      <c r="F68" s="1962"/>
      <c r="G68" s="1962"/>
      <c r="H68" s="1964"/>
      <c r="I68" s="134"/>
      <c r="J68" s="3331"/>
      <c r="K68" s="1470" t="s">
        <v>2018</v>
      </c>
      <c r="L68" s="1470">
        <f ca="1">IF(M49&gt;10000,M49*0.5%,IF(AND(M49&gt;5000,M49&lt;=10000),M49*1%,IF(AND(M49&gt;1000,M49&lt;=5000),M49*2%,IF(AND(M49&gt;200,M49&lt;=1000),M49*3%,M49*5%))))</f>
        <v>332.60500000000002</v>
      </c>
      <c r="M68" s="308">
        <f ca="1">ROUND(L68,1)</f>
        <v>332.6</v>
      </c>
      <c r="N68" s="2736"/>
      <c r="Z68" s="1906"/>
      <c r="AI68" s="1907"/>
    </row>
    <row r="69" spans="1:35" s="1926" customFormat="1" ht="16.5" customHeight="1">
      <c r="A69" s="1965"/>
      <c r="B69" s="1966"/>
      <c r="C69" s="1967"/>
      <c r="D69" s="1968"/>
      <c r="E69" s="1969"/>
      <c r="F69" s="1731"/>
      <c r="G69" s="1731"/>
      <c r="H69" s="1730"/>
      <c r="I69" s="1901"/>
      <c r="J69" s="3331"/>
      <c r="K69" s="1470" t="s">
        <v>2019</v>
      </c>
      <c r="L69" s="1470"/>
      <c r="M69" s="308">
        <f ca="1">ROUND(SUM(M63:M68),0)</f>
        <v>1077</v>
      </c>
      <c r="N69" s="2738">
        <f ca="1">M69/M49</f>
        <v>1.6190375971497722E-2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375" t="s">
        <v>2020</v>
      </c>
      <c r="B70" s="3376"/>
      <c r="C70" s="3376"/>
      <c r="D70" s="3376"/>
      <c r="E70" s="3376"/>
      <c r="F70" s="3376"/>
      <c r="G70" s="3376"/>
      <c r="H70" s="3376"/>
      <c r="I70" s="1970"/>
      <c r="J70" s="2887"/>
      <c r="K70" s="2887"/>
      <c r="L70" s="2887"/>
      <c r="M70" s="2887"/>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67" t="s">
        <v>2001</v>
      </c>
      <c r="B71" s="3368"/>
      <c r="C71" s="2176"/>
      <c r="D71" s="2176" t="s">
        <v>2002</v>
      </c>
      <c r="E71" s="185" t="s">
        <v>2003</v>
      </c>
      <c r="F71" s="186"/>
      <c r="G71" s="186"/>
      <c r="H71" s="187"/>
      <c r="I71" s="1974"/>
      <c r="J71" s="2887"/>
      <c r="K71" s="2887"/>
      <c r="L71" s="2887"/>
      <c r="M71" s="2887"/>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8" t="s">
        <v>775</v>
      </c>
      <c r="B72" s="179" t="s">
        <v>2021</v>
      </c>
      <c r="C72" s="2761">
        <f ca="1">ROUND(D45/(1+'数据-取费表'!C42),0)</f>
        <v>63353</v>
      </c>
      <c r="D72" s="175" t="s">
        <v>32</v>
      </c>
      <c r="E72" s="2521"/>
      <c r="F72" s="2520"/>
      <c r="G72" s="2520"/>
      <c r="H72" s="188"/>
      <c r="I72" s="1974"/>
      <c r="J72" s="2887"/>
      <c r="K72" s="2887"/>
      <c r="L72" s="2887"/>
      <c r="M72" s="2887"/>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8" t="s">
        <v>772</v>
      </c>
      <c r="B73" s="168" t="s">
        <v>2022</v>
      </c>
      <c r="C73" s="2761">
        <f ca="1">C74+C78</f>
        <v>317</v>
      </c>
      <c r="D73" s="175" t="s">
        <v>32</v>
      </c>
      <c r="E73" s="2521"/>
      <c r="F73" s="2520"/>
      <c r="G73" s="2520"/>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4" t="s">
        <v>770</v>
      </c>
      <c r="B74" s="175" t="s">
        <v>2023</v>
      </c>
      <c r="C74" s="175">
        <f>ROUND(IF(G77="2016年5月1日后购买",C75/(1+'数据-取费表'!C42)+C76+C77,C75+C76+C77),0)</f>
        <v>0</v>
      </c>
      <c r="D74" s="175" t="s">
        <v>32</v>
      </c>
      <c r="E74" s="2521"/>
      <c r="F74" s="2520"/>
      <c r="G74" s="2520"/>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4" t="s">
        <v>776</v>
      </c>
      <c r="B75" s="175" t="s">
        <v>2024</v>
      </c>
      <c r="C75" s="2764"/>
      <c r="D75" s="175" t="s">
        <v>32</v>
      </c>
      <c r="E75" s="190" t="s">
        <v>2025</v>
      </c>
      <c r="F75" s="2765"/>
      <c r="G75" s="190" t="s">
        <v>2026</v>
      </c>
      <c r="H75" s="2766"/>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4" t="s">
        <v>777</v>
      </c>
      <c r="B76" s="191" t="s">
        <v>2027</v>
      </c>
      <c r="C76" s="175">
        <f>IF(F75="购房发票",ROUND(C75*H75*D76,0),0)</f>
        <v>0</v>
      </c>
      <c r="D76" s="2767">
        <v>0.05</v>
      </c>
      <c r="E76" s="3372" t="s">
        <v>2028</v>
      </c>
      <c r="F76" s="3371"/>
      <c r="G76" s="3371"/>
      <c r="H76" s="3374"/>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4" t="s">
        <v>778</v>
      </c>
      <c r="B77" s="175" t="s">
        <v>2029</v>
      </c>
      <c r="C77" s="175">
        <f>ROUND(IF(G77="个人住宅",0,IF(G77="2016年5月1日前购买",C75*D77,C75*D77/(1+'数据-取费表'!C42))),0)</f>
        <v>0</v>
      </c>
      <c r="D77" s="2768">
        <f>'数据-取费表'!B48+'数据-取费表'!B49</f>
        <v>3.0499999999999999E-2</v>
      </c>
      <c r="E77" s="2514" t="s">
        <v>2030</v>
      </c>
      <c r="F77" s="192"/>
      <c r="G77" s="1976"/>
      <c r="H77" s="2522"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4" t="s">
        <v>771</v>
      </c>
      <c r="B78" s="175" t="s">
        <v>2031</v>
      </c>
      <c r="C78" s="2769">
        <f ca="1">ROUND(D45*D78/(1+'数据-取费表'!C42),0)</f>
        <v>317</v>
      </c>
      <c r="D78" s="2770">
        <f>'数据-取费表'!B43</f>
        <v>5.000000000000001E-3</v>
      </c>
      <c r="E78" s="3364" t="s">
        <v>2032</v>
      </c>
      <c r="F78" s="3365"/>
      <c r="G78" s="3365"/>
      <c r="H78" s="3366"/>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8" t="s">
        <v>779</v>
      </c>
      <c r="B79" s="179" t="s">
        <v>2033</v>
      </c>
      <c r="C79" s="2761">
        <f ca="1">C72-C73</f>
        <v>63036</v>
      </c>
      <c r="D79" s="175" t="s">
        <v>32</v>
      </c>
      <c r="E79" s="2521"/>
      <c r="F79" s="2520"/>
      <c r="G79" s="2520"/>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8" t="s">
        <v>780</v>
      </c>
      <c r="B80" s="179" t="s">
        <v>2034</v>
      </c>
      <c r="C80" s="2771">
        <f ca="1">IF(C79&lt;=0,0,C79/C73)</f>
        <v>198.85173501577287</v>
      </c>
      <c r="D80" s="175"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1" t="s">
        <v>781</v>
      </c>
      <c r="B81" s="182" t="s">
        <v>2035</v>
      </c>
      <c r="C81" s="2772">
        <f ca="1">ROUND(IF(C79&lt;=0,0,IF(C80&gt;=200%,C79*60%-C73*35%,IF(C80&gt;=100%,C79*50%-C73*15%,IF(C80&gt;=50%,C79*40%-C73*5%,IF(C80&lt;50%,C79*30%,0))))),0)</f>
        <v>37711</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75" t="s">
        <v>2036</v>
      </c>
      <c r="B83" s="3376"/>
      <c r="C83" s="3376"/>
      <c r="D83" s="3376"/>
      <c r="E83" s="3376"/>
      <c r="F83" s="3376"/>
      <c r="G83" s="3376"/>
      <c r="H83" s="3376"/>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67" t="s">
        <v>2001</v>
      </c>
      <c r="B84" s="3368"/>
      <c r="C84" s="2176"/>
      <c r="D84" s="2176" t="s">
        <v>2002</v>
      </c>
      <c r="E84" s="185" t="s">
        <v>2003</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2021</v>
      </c>
      <c r="C85" s="2761">
        <f ca="1">ROUND(D45/(1+'数据-取费表'!C42),0)</f>
        <v>63353</v>
      </c>
      <c r="D85" s="175" t="s">
        <v>32</v>
      </c>
      <c r="E85" s="2521"/>
      <c r="F85" s="2520"/>
      <c r="G85" s="2520"/>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2022</v>
      </c>
      <c r="C86" s="2761">
        <f ca="1">IF(H88="仅含出让金",C87+C90+C91+C92+C93+C94,C87+C91+C92+C93+C94)</f>
        <v>317</v>
      </c>
      <c r="D86" s="2774"/>
      <c r="E86" s="2521"/>
      <c r="F86" s="2520"/>
      <c r="G86" s="2520"/>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2037</v>
      </c>
      <c r="C87" s="2769">
        <f>C88+C89</f>
        <v>0</v>
      </c>
      <c r="D87" s="2770"/>
      <c r="E87" s="2516"/>
      <c r="F87" s="2517"/>
      <c r="G87" s="2517"/>
      <c r="H87" s="2518"/>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2038</v>
      </c>
      <c r="C88" s="2775"/>
      <c r="D88" s="2770"/>
      <c r="E88" s="199" t="s">
        <v>2039</v>
      </c>
      <c r="F88" s="2517"/>
      <c r="G88" s="200" t="s">
        <v>2040</v>
      </c>
      <c r="H88" s="1978"/>
      <c r="I88" s="1975"/>
      <c r="J88" s="2714" t="s">
        <v>2973</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2029</v>
      </c>
      <c r="C89" s="2769">
        <f>ROUND(C88*D89,0)</f>
        <v>0</v>
      </c>
      <c r="D89" s="2770">
        <f>'数据-取费表'!B48+'数据-取费表'!B49</f>
        <v>3.0499999999999999E-2</v>
      </c>
      <c r="E89" s="199" t="s">
        <v>2041</v>
      </c>
      <c r="F89" s="2517"/>
      <c r="G89" s="2517"/>
      <c r="H89" s="2518"/>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2042</v>
      </c>
      <c r="C90" s="2775"/>
      <c r="D90" s="2770"/>
      <c r="E90" s="199" t="str">
        <f>IF(H88="-","土地取得成本中已包含该笔费用"," ")</f>
        <v xml:space="preserve"> </v>
      </c>
      <c r="F90" s="2517"/>
      <c r="G90" s="3333" t="s">
        <v>2810</v>
      </c>
      <c r="H90" s="3334"/>
      <c r="I90" s="1975"/>
      <c r="J90" s="2714" t="s">
        <v>2974</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2043</v>
      </c>
      <c r="B91" s="175" t="s">
        <v>2044</v>
      </c>
      <c r="C91" s="2769">
        <f>IF(H91="——",成本法!C33,I91)</f>
        <v>0</v>
      </c>
      <c r="D91" s="2770"/>
      <c r="E91" s="3364" t="s">
        <v>2045</v>
      </c>
      <c r="F91" s="3365"/>
      <c r="G91" s="3365"/>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2046</v>
      </c>
      <c r="B92" s="175" t="s">
        <v>2047</v>
      </c>
      <c r="C92" s="2769">
        <f>ROUND((C87+C90+C91)*D92,0)</f>
        <v>0</v>
      </c>
      <c r="D92" s="2776"/>
      <c r="E92" s="3364" t="s">
        <v>2048</v>
      </c>
      <c r="F92" s="3365"/>
      <c r="G92" s="3365"/>
      <c r="H92" s="3366"/>
      <c r="I92" s="1975"/>
      <c r="J92" s="2715" t="s">
        <v>2975</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2049</v>
      </c>
      <c r="B93" s="175" t="s">
        <v>2031</v>
      </c>
      <c r="C93" s="2769">
        <f ca="1">ROUND(D45*D93/(1+'数据-取费表'!C42),0)</f>
        <v>317</v>
      </c>
      <c r="D93" s="2770">
        <f>'数据-取费表'!B43</f>
        <v>5.000000000000001E-3</v>
      </c>
      <c r="E93" s="3364" t="s">
        <v>2032</v>
      </c>
      <c r="F93" s="3365"/>
      <c r="G93" s="3365"/>
      <c r="H93" s="3366"/>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2050</v>
      </c>
      <c r="B94" s="175" t="s">
        <v>2051</v>
      </c>
      <c r="C94" s="2775">
        <f>ROUND((C87+C90+C91)*D94,0)</f>
        <v>0</v>
      </c>
      <c r="D94" s="2770">
        <v>0.2</v>
      </c>
      <c r="E94" s="3412" t="s">
        <v>2052</v>
      </c>
      <c r="F94" s="3413"/>
      <c r="G94" s="3413"/>
      <c r="H94" s="3414"/>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779</v>
      </c>
      <c r="B95" s="179" t="s">
        <v>2033</v>
      </c>
      <c r="C95" s="2761">
        <f ca="1">ROUND(C85-C86,0)</f>
        <v>63036</v>
      </c>
      <c r="D95" s="175" t="s">
        <v>32</v>
      </c>
      <c r="E95" s="2521"/>
      <c r="F95" s="2520"/>
      <c r="G95" s="2520"/>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2034</v>
      </c>
      <c r="C96" s="2771">
        <f ca="1">IF(C95&lt;=0,0,C95/C86)</f>
        <v>198.85173501577287</v>
      </c>
      <c r="D96" s="175" t="s">
        <v>32</v>
      </c>
      <c r="E96" s="2514"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2035</v>
      </c>
      <c r="C97" s="2772">
        <f ca="1">ROUND(IF(C95&lt;=0,0,IF(C96&gt;=200%,C95*60%-C86*35%,IF(C96&gt;=100%,C95*50%-C86*15%,IF(C96&gt;=50%,C95*40%-C86*5%,IF(C96&lt;50%,C95*30%,0))))),0)</f>
        <v>37711</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4"/>
    </row>
    <row r="99" spans="1:35" ht="21.75" customHeight="1" thickBot="1">
      <c r="A99" s="1954" t="s">
        <v>2053</v>
      </c>
      <c r="B99" s="1901"/>
      <c r="C99" s="1901"/>
      <c r="D99" s="1901"/>
      <c r="E99" s="1731"/>
      <c r="F99" s="1731"/>
      <c r="G99" s="1731"/>
      <c r="H99" s="1730"/>
      <c r="I99" s="134"/>
    </row>
    <row r="100" spans="1:35" ht="18.75" customHeight="1">
      <c r="A100" s="3314" t="s">
        <v>2054</v>
      </c>
      <c r="B100" s="3315"/>
      <c r="C100" s="3315"/>
      <c r="D100" s="3349"/>
      <c r="E100" s="3315" t="s">
        <v>2055</v>
      </c>
      <c r="F100" s="3315"/>
      <c r="G100" s="3315"/>
      <c r="H100" s="3349"/>
      <c r="I100" s="134"/>
    </row>
    <row r="101" spans="1:35" ht="18.75" customHeight="1">
      <c r="A101" s="3357" t="s">
        <v>2056</v>
      </c>
      <c r="B101" s="3358"/>
      <c r="C101" s="2778" t="str">
        <f>C4</f>
        <v>典型户型修正</v>
      </c>
      <c r="D101" s="2779" t="str">
        <f>D4</f>
        <v>收益法</v>
      </c>
      <c r="E101" s="3327" t="s">
        <v>2057</v>
      </c>
      <c r="F101" s="3328"/>
      <c r="G101" s="1981" t="s">
        <v>2058</v>
      </c>
      <c r="H101" s="2788">
        <f ca="1">H118</f>
        <v>66521</v>
      </c>
      <c r="I101" s="134"/>
    </row>
    <row r="102" spans="1:35" ht="18.75" customHeight="1">
      <c r="A102" s="3359" t="s">
        <v>2059</v>
      </c>
      <c r="B102" s="2777" t="s">
        <v>2058</v>
      </c>
      <c r="C102" s="2778">
        <f ca="1">C19</f>
        <v>69940</v>
      </c>
      <c r="D102" s="2779">
        <f ca="1">D19</f>
        <v>63101</v>
      </c>
      <c r="E102" s="3327"/>
      <c r="F102" s="3328"/>
      <c r="G102" s="1981" t="s">
        <v>2060</v>
      </c>
      <c r="H102" s="2748">
        <f ca="1">I118</f>
        <v>24790</v>
      </c>
      <c r="I102" s="134"/>
    </row>
    <row r="103" spans="1:35" ht="42.75" customHeight="1">
      <c r="A103" s="3359"/>
      <c r="B103" s="2777" t="s">
        <v>2060</v>
      </c>
      <c r="C103" s="2780">
        <f ca="1">C20</f>
        <v>26064</v>
      </c>
      <c r="D103" s="2781">
        <f ca="1">D20</f>
        <v>23515</v>
      </c>
      <c r="E103" s="3320" t="s">
        <v>2061</v>
      </c>
      <c r="F103" s="3321"/>
      <c r="G103" s="1982" t="s">
        <v>2062</v>
      </c>
      <c r="H103" s="2788">
        <f>IF(D36="正常操作",H104+H105+H106,H105+H106)</f>
        <v>0</v>
      </c>
      <c r="I103" s="134"/>
    </row>
    <row r="104" spans="1:35" ht="18.75" customHeight="1">
      <c r="A104" s="3359" t="s">
        <v>2063</v>
      </c>
      <c r="B104" s="2782" t="s">
        <v>2058</v>
      </c>
      <c r="C104" s="2783">
        <f ca="1">H118</f>
        <v>66521</v>
      </c>
      <c r="D104" s="2784"/>
      <c r="E104" s="1828" t="s">
        <v>2064</v>
      </c>
      <c r="F104" s="1819"/>
      <c r="G104" s="1982" t="s">
        <v>2062</v>
      </c>
      <c r="H104" s="2789">
        <f>IF(D36="同一抵押权人同一抵押物续贷",C36&amp;"（续贷，未扣减，详见特别提示）",C36)</f>
        <v>0</v>
      </c>
      <c r="I104" s="134"/>
    </row>
    <row r="105" spans="1:35" ht="18.75" customHeight="1" thickBot="1">
      <c r="A105" s="3369"/>
      <c r="B105" s="2785" t="s">
        <v>2060</v>
      </c>
      <c r="C105" s="2786">
        <f ca="1">I118</f>
        <v>24790</v>
      </c>
      <c r="D105" s="2787"/>
      <c r="E105" s="1828" t="s">
        <v>2065</v>
      </c>
      <c r="F105" s="1819"/>
      <c r="G105" s="1982" t="s">
        <v>2062</v>
      </c>
      <c r="H105" s="2790">
        <f>C37</f>
        <v>0</v>
      </c>
      <c r="I105" s="134"/>
    </row>
    <row r="106" spans="1:35" ht="18.75" customHeight="1">
      <c r="A106" s="1901" t="s">
        <v>2066</v>
      </c>
      <c r="B106" s="1901"/>
      <c r="C106" s="1901"/>
      <c r="D106" s="1901"/>
      <c r="E106" s="1983" t="s">
        <v>2067</v>
      </c>
      <c r="F106" s="1819"/>
      <c r="G106" s="1982" t="s">
        <v>2062</v>
      </c>
      <c r="H106" s="2790">
        <f>C38</f>
        <v>0</v>
      </c>
      <c r="I106" s="134"/>
    </row>
    <row r="107" spans="1:35" ht="18.75" customHeight="1">
      <c r="A107" s="134"/>
      <c r="B107" s="134"/>
      <c r="C107" s="134"/>
      <c r="D107" s="134"/>
      <c r="E107" s="3360" t="str">
        <f>IF(项目基本情况!E8="已注销","——","3.房地产抵押价值")</f>
        <v>3.房地产抵押价值</v>
      </c>
      <c r="F107" s="3328"/>
      <c r="G107" s="1981" t="s">
        <v>2058</v>
      </c>
      <c r="H107" s="2788">
        <f ca="1">IF(E107="——","——",H101-H103)</f>
        <v>66521</v>
      </c>
      <c r="I107" s="134"/>
    </row>
    <row r="108" spans="1:35" ht="18.75" customHeight="1">
      <c r="A108" s="134"/>
      <c r="B108" s="134"/>
      <c r="C108" s="134"/>
      <c r="D108" s="134"/>
      <c r="E108" s="3360"/>
      <c r="F108" s="3328"/>
      <c r="G108" s="1981" t="s">
        <v>2060</v>
      </c>
      <c r="H108" s="2748">
        <f ca="1">ROUND(H107*10000/'数据-汇总表'!E3,0)</f>
        <v>24790</v>
      </c>
      <c r="I108" s="134"/>
    </row>
    <row r="109" spans="1:35" ht="18.75" customHeight="1">
      <c r="A109" s="134"/>
      <c r="B109" s="134"/>
      <c r="C109" s="134"/>
      <c r="D109" s="134"/>
      <c r="E109" s="3360" t="str">
        <f>IF(项目基本情况!E8="已注销及未注销","4.抵押担保权已注销时的房地产抵押价值",IF(项目基本情况!E8="已注销","3.抵押担保权已注销时的房地产抵押价值","——"))</f>
        <v>——</v>
      </c>
      <c r="F109" s="3328"/>
      <c r="G109" s="1981" t="s">
        <v>2058</v>
      </c>
      <c r="H109" s="2791" t="str">
        <f>IF(E109="——","——",H101-H105-H106)</f>
        <v>——</v>
      </c>
      <c r="I109" s="134"/>
    </row>
    <row r="110" spans="1:35" ht="18.75" customHeight="1">
      <c r="A110" s="134"/>
      <c r="B110" s="134"/>
      <c r="C110" s="134"/>
      <c r="D110" s="134"/>
      <c r="E110" s="3360"/>
      <c r="F110" s="3328"/>
      <c r="G110" s="1981" t="s">
        <v>2060</v>
      </c>
      <c r="H110" s="2748" t="str">
        <f>IF(H109="——","——",ROUND(H109*10000/'数据-汇总表'!E3,0))</f>
        <v>——</v>
      </c>
      <c r="I110" s="134"/>
    </row>
    <row r="111" spans="1:35" ht="18.75" customHeight="1">
      <c r="A111" s="134"/>
      <c r="B111" s="134"/>
      <c r="C111" s="134"/>
      <c r="D111" s="134"/>
      <c r="E111" s="3361" t="str">
        <f>IF(项目基本情况!E9="抵押净值",IF(OR(项目基本情况!E8="已注销",项目基本情况!E8="房地产抵押价值"),"4.抵押净值","5.抵押净值"),"——")</f>
        <v>——</v>
      </c>
      <c r="F111" s="3347"/>
      <c r="G111" s="1981" t="s">
        <v>2058</v>
      </c>
      <c r="H111" s="2788" t="str">
        <f>IF(E111="——","——",N59)</f>
        <v>——</v>
      </c>
      <c r="I111" s="134"/>
    </row>
    <row r="112" spans="1:35" ht="18.75" customHeight="1" thickBot="1">
      <c r="A112" s="134"/>
      <c r="B112" s="134"/>
      <c r="C112" s="134"/>
      <c r="D112" s="134"/>
      <c r="E112" s="3362"/>
      <c r="F112" s="3363"/>
      <c r="G112" s="1984" t="s">
        <v>2060</v>
      </c>
      <c r="H112" s="2792" t="str">
        <f>IF(E111="——","——",N61)</f>
        <v>——</v>
      </c>
      <c r="I112" s="134"/>
    </row>
    <row r="113" spans="1:27" ht="18.75" customHeight="1">
      <c r="A113" s="134"/>
      <c r="B113" s="134"/>
      <c r="C113" s="134"/>
      <c r="D113" s="134"/>
      <c r="E113" s="3370" t="s">
        <v>2066</v>
      </c>
      <c r="F113" s="3370"/>
      <c r="G113" s="3370"/>
      <c r="H113" s="3370"/>
      <c r="I113" s="134"/>
    </row>
    <row r="114" spans="1:27" ht="3.75" customHeight="1">
      <c r="A114" s="1901"/>
      <c r="B114" s="1901"/>
      <c r="C114" s="1901"/>
      <c r="D114" s="1901"/>
      <c r="E114" s="1963"/>
      <c r="F114" s="1963"/>
      <c r="G114" s="1963"/>
      <c r="H114" s="1963"/>
      <c r="I114" s="1901"/>
    </row>
    <row r="115" spans="1:27" ht="18.75" customHeight="1">
      <c r="A115" s="3381" t="s">
        <v>2068</v>
      </c>
      <c r="B115" s="3382"/>
      <c r="C115" s="3382"/>
      <c r="D115" s="3382"/>
      <c r="E115" s="3382"/>
      <c r="F115" s="3382"/>
      <c r="G115" s="3382"/>
      <c r="H115" s="3382"/>
      <c r="I115" s="3383"/>
    </row>
    <row r="116" spans="1:27" ht="27" customHeight="1">
      <c r="A116" s="3335" t="s">
        <v>2069</v>
      </c>
      <c r="B116" s="3339" t="s">
        <v>2070</v>
      </c>
      <c r="C116" s="3339" t="s">
        <v>2071</v>
      </c>
      <c r="D116" s="3345" t="s">
        <v>2072</v>
      </c>
      <c r="E116" s="3346"/>
      <c r="F116" s="3377" t="s">
        <v>2073</v>
      </c>
      <c r="G116" s="3377"/>
      <c r="H116" s="3335" t="s">
        <v>2074</v>
      </c>
      <c r="I116" s="3335"/>
    </row>
    <row r="117" spans="1:27" ht="18.75" customHeight="1">
      <c r="A117" s="3335"/>
      <c r="B117" s="3340"/>
      <c r="C117" s="3340"/>
      <c r="D117" s="2519" t="s">
        <v>2075</v>
      </c>
      <c r="E117" s="2519" t="s">
        <v>2076</v>
      </c>
      <c r="F117" s="2519" t="s">
        <v>2075</v>
      </c>
      <c r="G117" s="2519" t="s">
        <v>2077</v>
      </c>
      <c r="H117" s="2519" t="s">
        <v>2075</v>
      </c>
      <c r="I117" s="2519" t="s">
        <v>2077</v>
      </c>
    </row>
    <row r="118" spans="1:27" ht="24.75" customHeight="1">
      <c r="A118" s="2793" t="str">
        <f>项目基本情况!S2</f>
        <v>北京市房地产</v>
      </c>
      <c r="B118" s="2519">
        <f>M18</f>
        <v>26834.3</v>
      </c>
      <c r="C118" s="2519">
        <f>M19</f>
        <v>6706.16</v>
      </c>
      <c r="D118" s="2519">
        <f ca="1">ROUND(IF(D32="总价",C34,E118*B118/10000),0)</f>
        <v>47895</v>
      </c>
      <c r="E118" s="2519">
        <f ca="1">ROUND(IF(C33="自定义",IF(D32="楼面单价",C34,D118*10000/B118),I118-G118),0)</f>
        <v>17849</v>
      </c>
      <c r="F118" s="2519">
        <f ca="1">ROUND(IF(D32="总价",C35,G118*B118/10000),0)</f>
        <v>18626</v>
      </c>
      <c r="G118" s="2519">
        <f ca="1">ROUND(IF(D32="楼面单价",C35,F118*10000/B118),0)</f>
        <v>6941</v>
      </c>
      <c r="H118" s="2519">
        <f ca="1">ROUND(IF(D32="总价",C32,I118*B118/10000),0)</f>
        <v>66521</v>
      </c>
      <c r="I118" s="2519">
        <f ca="1">ROUND(IF(D32="楼面单价",C32,H118*10000/B118),0)</f>
        <v>24790</v>
      </c>
    </row>
    <row r="119" spans="1:27" ht="18.75" customHeight="1">
      <c r="A119" s="3335" t="s">
        <v>2078</v>
      </c>
      <c r="B119" s="3335"/>
      <c r="C119" s="3335"/>
      <c r="D119" s="3341" t="str">
        <f ca="1">NUMBERSTRING(INT(D118*10000),2)&amp;"元整"</f>
        <v>肆亿柒仟捌佰玖拾伍万元整</v>
      </c>
      <c r="E119" s="3342"/>
      <c r="F119" s="3341" t="str">
        <f ca="1">NUMBERSTRING(INT(F118*10000),2)&amp;"元整"</f>
        <v>壹亿捌仟陆佰贰拾陆万元整</v>
      </c>
      <c r="G119" s="3342"/>
      <c r="H119" s="3341" t="str">
        <f ca="1">NUMBERSTRING(INT(H118*10000),2)&amp;"元整"</f>
        <v>陆亿陆仟伍佰贰拾壹万元整</v>
      </c>
      <c r="I119" s="3342"/>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78" t="s">
        <v>2078</v>
      </c>
      <c r="B121" s="3379"/>
      <c r="C121" s="3380"/>
      <c r="D121" s="3341" t="str">
        <f>IF(D120=0,"零元整",NUMBERSTRING(INT(D120*10000),2)&amp;"元整")</f>
        <v>零元整</v>
      </c>
      <c r="E121" s="3343"/>
      <c r="F121" s="3343"/>
      <c r="G121" s="3343"/>
      <c r="H121" s="3343"/>
      <c r="I121" s="3342"/>
      <c r="AA121" s="733"/>
    </row>
    <row r="122" spans="1:27" ht="18.75" customHeight="1">
      <c r="A122" s="3347" t="str">
        <f>IF(项目基本情况!B9="房地产市场价值","",MID(E107,3,LEN(E107)-2))</f>
        <v>房地产抵押价值</v>
      </c>
      <c r="B122" s="3347"/>
      <c r="C122" s="3347"/>
      <c r="D122" s="3336">
        <f ca="1">H107</f>
        <v>66521</v>
      </c>
      <c r="E122" s="3337"/>
      <c r="F122" s="3337"/>
      <c r="G122" s="3337"/>
      <c r="H122" s="3337"/>
      <c r="I122" s="3338"/>
      <c r="AA122" s="733"/>
    </row>
    <row r="123" spans="1:27" ht="18.75" customHeight="1">
      <c r="A123" s="3335" t="s">
        <v>2078</v>
      </c>
      <c r="B123" s="3335"/>
      <c r="C123" s="3335"/>
      <c r="D123" s="3341" t="str">
        <f ca="1">NUMBERSTRING(INT(D122*10000),2)&amp;"元整"</f>
        <v>陆亿陆仟伍佰贰拾壹万元整</v>
      </c>
      <c r="E123" s="3343"/>
      <c r="F123" s="3343"/>
      <c r="G123" s="3343"/>
      <c r="H123" s="3343"/>
      <c r="I123" s="3342"/>
      <c r="AA123" s="733"/>
    </row>
    <row r="124" spans="1:27" ht="18.75" customHeight="1">
      <c r="A124" s="3347" t="str">
        <f>IF(项目基本情况!B9="房地产市场价值","",MID(E109,3,LEN(E109)-2))</f>
        <v/>
      </c>
      <c r="B124" s="3347"/>
      <c r="C124" s="3347"/>
      <c r="D124" s="3336" t="str">
        <f>H109</f>
        <v>——</v>
      </c>
      <c r="E124" s="3337"/>
      <c r="F124" s="3337"/>
      <c r="G124" s="3337"/>
      <c r="H124" s="3337"/>
      <c r="I124" s="3338"/>
      <c r="AA124" s="733"/>
    </row>
    <row r="125" spans="1:27" ht="18.75" customHeight="1">
      <c r="A125" s="3335" t="s">
        <v>2078</v>
      </c>
      <c r="B125" s="3335"/>
      <c r="C125" s="3335"/>
      <c r="D125" s="3341" t="e">
        <f>NUMBERSTRING(INT(D124*10000),2)&amp;"元整"</f>
        <v>#VALUE!</v>
      </c>
      <c r="E125" s="3343"/>
      <c r="F125" s="3343"/>
      <c r="G125" s="3343"/>
      <c r="H125" s="3343"/>
      <c r="I125" s="3342"/>
      <c r="AA125" s="733"/>
    </row>
    <row r="126" spans="1:27" ht="18.75" customHeight="1">
      <c r="A126" s="3347" t="str">
        <f>IF(项目基本情况!B9="房地产市场价值","",MID(E111,3,LEN(E111)-2))</f>
        <v/>
      </c>
      <c r="B126" s="3347"/>
      <c r="C126" s="3347"/>
      <c r="D126" s="3336" t="str">
        <f>H111</f>
        <v>——</v>
      </c>
      <c r="E126" s="3337"/>
      <c r="F126" s="3337"/>
      <c r="G126" s="3337"/>
      <c r="H126" s="3337"/>
      <c r="I126" s="3338"/>
      <c r="AA126" s="733"/>
    </row>
    <row r="127" spans="1:27" ht="18.75" customHeight="1">
      <c r="A127" s="3335" t="s">
        <v>2078</v>
      </c>
      <c r="B127" s="3335"/>
      <c r="C127" s="3335"/>
      <c r="D127" s="3341" t="e">
        <f>NUMBERSTRING(INT(D126*10000),2)&amp;"元整"</f>
        <v>#VALUE!</v>
      </c>
      <c r="E127" s="3343"/>
      <c r="F127" s="3343"/>
      <c r="G127" s="3343"/>
      <c r="H127" s="3343"/>
      <c r="I127" s="3342"/>
      <c r="AA127" s="733"/>
    </row>
    <row r="128" spans="1:27" ht="21.75" customHeight="1">
      <c r="A128" s="3344" t="s">
        <v>2079</v>
      </c>
      <c r="B128" s="3344"/>
      <c r="C128" s="3344"/>
      <c r="D128" s="3344"/>
      <c r="E128" s="3344"/>
      <c r="F128" s="3344"/>
      <c r="G128" s="3344"/>
      <c r="H128" s="3344"/>
      <c r="I128" s="3344"/>
      <c r="AA128" s="733"/>
    </row>
    <row r="129" spans="1:35" ht="21.75" customHeight="1">
      <c r="A129" s="1985" t="s">
        <v>2080</v>
      </c>
      <c r="B129" s="1986"/>
      <c r="C129" s="1987" t="s">
        <v>2081</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2082</v>
      </c>
      <c r="G135" s="2002"/>
      <c r="H135" s="2002"/>
      <c r="I135" s="2003" t="s">
        <v>2083</v>
      </c>
    </row>
    <row r="136" spans="1:35" ht="21.75" customHeight="1">
      <c r="A136" s="733"/>
      <c r="B136" s="2004"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2085</v>
      </c>
    </row>
    <row r="139" spans="1:35" ht="21.75" customHeight="1">
      <c r="A139" s="733"/>
      <c r="B139" s="2004" t="s">
        <v>2086</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2085</v>
      </c>
    </row>
    <row r="142" spans="1:35" ht="21.75" customHeight="1">
      <c r="A142" s="733"/>
      <c r="B142" s="2004"/>
      <c r="C142" s="2005"/>
      <c r="D142" s="2006"/>
      <c r="E142" s="2006"/>
      <c r="F142" s="1895"/>
      <c r="G142" s="733"/>
      <c r="H142" s="733"/>
      <c r="I142" s="733"/>
    </row>
    <row r="143" spans="1:35" s="135"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2"/>
      <c r="C1" s="204"/>
      <c r="D1" s="204"/>
      <c r="E1" s="204"/>
      <c r="F1" s="204"/>
      <c r="G1" s="1258">
        <f>MATCH(B1,'数据-取费表'!A6:A16,0)+5</f>
        <v>7</v>
      </c>
    </row>
    <row r="2" spans="1:9" s="206" customFormat="1" ht="18" customHeight="1">
      <c r="A2" s="207" t="s">
        <v>2088</v>
      </c>
      <c r="B2" s="208">
        <f ca="1">IF(D2="——",C52,C52-E2)</f>
        <v>45937</v>
      </c>
      <c r="C2" s="205" t="s">
        <v>2089</v>
      </c>
      <c r="D2" s="2007" t="s">
        <v>70</v>
      </c>
      <c r="E2" s="1301" t="e">
        <f ca="1">SUMIF(INDIRECT("'"&amp;G2&amp;"'"&amp;"!A:A"),"承租人权益价值",INDIRECT("'"&amp;G2&amp;"'"&amp;"!c:c"))</f>
        <v>#REF!</v>
      </c>
      <c r="F2" s="2008" t="s">
        <v>2089</v>
      </c>
      <c r="G2" s="2009"/>
    </row>
    <row r="3" spans="1:9" s="206" customFormat="1" ht="18" customHeight="1" thickBot="1">
      <c r="A3" s="209" t="s">
        <v>2090</v>
      </c>
      <c r="B3" s="210">
        <f ca="1">ROUND(B2*10000/(IF(B1="",'数据-汇总表'!E3,INDIRECT("'数据-取费表'!k"&amp;$G$1))),0)</f>
        <v>17119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24830</v>
      </c>
      <c r="D5" s="217" t="s">
        <v>2095</v>
      </c>
      <c r="E5" s="218" t="s">
        <v>2096</v>
      </c>
      <c r="F5" s="218" t="s">
        <v>2097</v>
      </c>
      <c r="G5" s="219"/>
    </row>
    <row r="6" spans="1:9" s="220" customFormat="1" ht="13.5" customHeight="1">
      <c r="A6" s="885" t="s">
        <v>2098</v>
      </c>
      <c r="B6" s="221" t="s">
        <v>2099</v>
      </c>
      <c r="C6" s="222">
        <f>[2]基准地价修正!$B$2</f>
        <v>23574</v>
      </c>
      <c r="D6" s="223"/>
      <c r="E6" s="224"/>
      <c r="F6" s="224"/>
      <c r="G6" s="225"/>
    </row>
    <row r="7" spans="1:9" s="220" customFormat="1" ht="13.5" customHeight="1">
      <c r="A7" s="885" t="s">
        <v>2100</v>
      </c>
      <c r="B7" s="221" t="s">
        <v>2101</v>
      </c>
      <c r="C7" s="226">
        <f>ROUND(C6*F7,0)</f>
        <v>719</v>
      </c>
      <c r="D7" s="226"/>
      <c r="E7" s="224"/>
      <c r="F7" s="227">
        <f>IF(项目基本情况!B8="出让",0,'数据-取费表'!B48+'数据-取费表'!B49)</f>
        <v>3.0499999999999999E-2</v>
      </c>
      <c r="G7" s="225"/>
    </row>
    <row r="8" spans="1:9" s="229" customFormat="1">
      <c r="A8" s="885" t="s">
        <v>2102</v>
      </c>
      <c r="B8" s="221" t="s">
        <v>2103</v>
      </c>
      <c r="C8" s="226">
        <f ca="1">IF(G8="已包含在土地购买价格中","0",IF(B1="",'数据-取费表'!B29,IF(G9="全部缴纳",C9+C10,H9)))</f>
        <v>537</v>
      </c>
      <c r="D8" s="228"/>
      <c r="E8" s="226"/>
      <c r="F8" s="227"/>
      <c r="G8" s="2010" t="s">
        <v>3146</v>
      </c>
    </row>
    <row r="9" spans="1:9" s="220" customFormat="1" ht="13.5" customHeight="1">
      <c r="A9" s="886" t="s">
        <v>800</v>
      </c>
      <c r="B9" s="230" t="s">
        <v>2104</v>
      </c>
      <c r="C9" s="231">
        <f ca="1">ROUND(D9*E9/10000,0)</f>
        <v>0</v>
      </c>
      <c r="D9" s="953">
        <f ca="1">IF(B1="",'数据-汇总表'!E5,IF(INDIRECT("'数据-取费表'!c"&amp;$G$1)="住宅",INDIRECT("'数据-取费表'!k"&amp;$G$1),0))</f>
        <v>0</v>
      </c>
      <c r="E9" s="231">
        <f>'数据-取费表'!B27</f>
        <v>0</v>
      </c>
      <c r="F9" s="227"/>
      <c r="G9" s="2011" t="s">
        <v>3147</v>
      </c>
      <c r="H9" s="1269"/>
      <c r="I9" s="2012" t="s">
        <v>2105</v>
      </c>
    </row>
    <row r="10" spans="1:9" s="220" customFormat="1" ht="13.5" customHeight="1">
      <c r="A10" s="886" t="s">
        <v>801</v>
      </c>
      <c r="B10" s="230" t="s">
        <v>2106</v>
      </c>
      <c r="C10" s="231">
        <f ca="1">ROUND(D10*E10/10000,0)</f>
        <v>537</v>
      </c>
      <c r="D10" s="953">
        <f ca="1">IF(B1="",'数据-汇总表'!E6,IF(INDIRECT("'数据-取费表'!c"&amp;$G$1)="住宅",INDIRECT("'数据-取费表'!s"&amp;$G$1),INDIRECT("'数据-取费表'!k"&amp;$G$1)+INDIRECT("'数据-取费表'!s"&amp;$G$1)))</f>
        <v>26834.3</v>
      </c>
      <c r="E10" s="231">
        <f>'数据-取费表'!B28</f>
        <v>200</v>
      </c>
      <c r="F10" s="227"/>
      <c r="G10" s="232"/>
    </row>
    <row r="11" spans="1:9" s="220" customFormat="1" ht="13.5" hidden="1" customHeight="1">
      <c r="A11" s="233" t="s">
        <v>7</v>
      </c>
      <c r="B11" s="221" t="s">
        <v>2107</v>
      </c>
      <c r="C11" s="217"/>
      <c r="D11" s="955"/>
      <c r="E11" s="224"/>
      <c r="F11" s="224"/>
      <c r="G11" s="225"/>
    </row>
    <row r="12" spans="1:9" s="220" customFormat="1" ht="13.5" hidden="1" customHeight="1">
      <c r="A12" s="233" t="s">
        <v>8</v>
      </c>
      <c r="B12" s="221" t="s">
        <v>2108</v>
      </c>
      <c r="C12" s="217">
        <v>0</v>
      </c>
      <c r="D12" s="955"/>
      <c r="E12" s="234"/>
      <c r="F12" s="227">
        <v>3.0499999999999999E-2</v>
      </c>
      <c r="G12" s="225"/>
    </row>
    <row r="13" spans="1:9" s="220" customFormat="1" ht="13.5" hidden="1" customHeight="1">
      <c r="A13" s="233" t="s">
        <v>9</v>
      </c>
      <c r="B13" s="221" t="s">
        <v>2109</v>
      </c>
      <c r="C13" s="217"/>
      <c r="D13" s="955"/>
      <c r="E13" s="224"/>
      <c r="F13" s="224"/>
      <c r="G13" s="225"/>
    </row>
    <row r="14" spans="1:9" s="220" customFormat="1" ht="13.5" hidden="1" customHeight="1">
      <c r="A14" s="233" t="s">
        <v>10</v>
      </c>
      <c r="B14" s="221" t="s">
        <v>2110</v>
      </c>
      <c r="C14" s="217"/>
      <c r="D14" s="955"/>
      <c r="E14" s="224"/>
      <c r="F14" s="224"/>
      <c r="G14" s="225" t="s">
        <v>2111</v>
      </c>
    </row>
    <row r="15" spans="1:9" s="220" customFormat="1" ht="13.5" hidden="1" customHeight="1">
      <c r="A15" s="233" t="s">
        <v>11</v>
      </c>
      <c r="B15" s="221" t="s">
        <v>2112</v>
      </c>
      <c r="C15" s="226"/>
      <c r="D15" s="955"/>
      <c r="E15" s="224"/>
      <c r="F15" s="224"/>
      <c r="G15" s="225" t="s">
        <v>2113</v>
      </c>
    </row>
    <row r="16" spans="1:9" s="220" customFormat="1" ht="13.5" hidden="1" customHeight="1">
      <c r="A16" s="233" t="s">
        <v>12</v>
      </c>
      <c r="B16" s="221" t="s">
        <v>2110</v>
      </c>
      <c r="C16" s="226"/>
      <c r="D16" s="955"/>
      <c r="E16" s="224"/>
      <c r="F16" s="224"/>
      <c r="G16" s="225"/>
    </row>
    <row r="17" spans="1:7" s="220" customFormat="1" ht="13.5" hidden="1" customHeight="1">
      <c r="A17" s="233" t="s">
        <v>13</v>
      </c>
      <c r="B17" s="221" t="s">
        <v>2114</v>
      </c>
      <c r="C17" s="235"/>
      <c r="D17" s="956"/>
      <c r="E17" s="235"/>
      <c r="F17" s="235"/>
      <c r="G17" s="225" t="s">
        <v>2113</v>
      </c>
    </row>
    <row r="18" spans="1:7" s="220" customFormat="1" ht="13.5" hidden="1" customHeight="1">
      <c r="A18" s="233" t="s">
        <v>14</v>
      </c>
      <c r="B18" s="221" t="s">
        <v>2115</v>
      </c>
      <c r="C18" s="226">
        <v>0</v>
      </c>
      <c r="D18" s="955"/>
      <c r="E18" s="224"/>
      <c r="F18" s="227">
        <v>3.0499999999999999E-2</v>
      </c>
      <c r="G18" s="225" t="s">
        <v>2116</v>
      </c>
    </row>
    <row r="19" spans="1:7" s="229" customFormat="1" ht="13.5" customHeight="1">
      <c r="A19" s="261" t="s">
        <v>2117</v>
      </c>
      <c r="B19" s="216" t="s">
        <v>2118</v>
      </c>
      <c r="C19" s="217" t="str">
        <f>IF(G19="已包含在土地取得成本中","0",ROUND(D19*E19/10000,0))</f>
        <v>0</v>
      </c>
      <c r="D19" s="957">
        <f ca="1">D9+D10</f>
        <v>26834.3</v>
      </c>
      <c r="E19" s="217">
        <f>'数据-取费表'!B31</f>
        <v>200</v>
      </c>
      <c r="F19" s="237"/>
      <c r="G19" s="2010" t="s">
        <v>3148</v>
      </c>
    </row>
    <row r="20" spans="1:7" s="220" customFormat="1" ht="13.5" customHeight="1">
      <c r="A20" s="261" t="s">
        <v>2119</v>
      </c>
      <c r="B20" s="216" t="s">
        <v>2120</v>
      </c>
      <c r="C20" s="238">
        <f ca="1">ROUND((C5+C19)*F20,0)</f>
        <v>497</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4">
        <f ca="1">ROUND(SUM(C23:C25),0)</f>
        <v>2151</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7" t="s">
        <v>2128</v>
      </c>
      <c r="B23" s="221" t="s">
        <v>2129</v>
      </c>
      <c r="C23" s="1235">
        <f ca="1">ROUND(IF('数据-取费表'!B22&lt;=1,C5*F22*'数据-取费表'!B23,C5*(POWER((1+F22),'数据-取费表'!B23)-1)),0)</f>
        <v>2130</v>
      </c>
      <c r="D23" s="244"/>
      <c r="E23" s="244"/>
      <c r="F23" s="245"/>
      <c r="G23" s="246" t="s">
        <v>2130</v>
      </c>
    </row>
    <row r="24" spans="1:7" s="220" customFormat="1" ht="13.5" customHeight="1">
      <c r="A24" s="887" t="s">
        <v>2131</v>
      </c>
      <c r="B24" s="221" t="s">
        <v>2132</v>
      </c>
      <c r="C24" s="1235">
        <f ca="1">ROUND(IF('数据-取费表'!B22&lt;=1,C19*F22*('数据-取费表'!B19/2+'数据-取费表'!B21),C19*(POWER((1+F22),('数据-取费表'!B19/2+'数据-取费表'!B21))-1)),0)</f>
        <v>0</v>
      </c>
      <c r="D24" s="244"/>
      <c r="E24" s="244"/>
      <c r="F24" s="245"/>
      <c r="G24" s="246" t="s">
        <v>2133</v>
      </c>
    </row>
    <row r="25" spans="1:7" s="220" customFormat="1" ht="24">
      <c r="A25" s="887" t="s">
        <v>2134</v>
      </c>
      <c r="B25" s="221" t="s">
        <v>2135</v>
      </c>
      <c r="C25" s="1235">
        <f ca="1">ROUND(IF('数据-取费表'!B22&lt;=1,C20*F22*'数据-取费表'!B23/2,C20*(POWER((1+F22),'数据-取费表'!B23/2)-1)),0)</f>
        <v>21</v>
      </c>
      <c r="D25" s="244"/>
      <c r="E25" s="247"/>
      <c r="F25" s="245"/>
      <c r="G25" s="248" t="s">
        <v>2136</v>
      </c>
    </row>
    <row r="26" spans="1:7" s="220" customFormat="1">
      <c r="A26" s="887"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3799</v>
      </c>
      <c r="D27" s="241">
        <f ca="1">C29</f>
        <v>3.0000000000000001E-3</v>
      </c>
      <c r="E27" s="242" t="s">
        <v>2140</v>
      </c>
      <c r="F27" s="252">
        <f ca="1">IF(B1="",'数据-取费表'!Q16,INDIRECT("'数据-取费表'!q"&amp;$G$1))</f>
        <v>0.15</v>
      </c>
      <c r="G27" s="253" t="s">
        <v>2141</v>
      </c>
    </row>
    <row r="28" spans="1:7" s="220" customFormat="1" ht="13.5" customHeight="1">
      <c r="A28" s="887" t="s">
        <v>791</v>
      </c>
      <c r="B28" s="254" t="s">
        <v>2142</v>
      </c>
      <c r="C28" s="255">
        <f ca="1">ROUND((C5+C19+C20)*F27*'数据-取费表'!B21/'数据-取费表'!B20,0)</f>
        <v>3799</v>
      </c>
      <c r="D28" s="241"/>
      <c r="E28" s="242"/>
      <c r="F28" s="252"/>
      <c r="G28" s="253"/>
    </row>
    <row r="29" spans="1:7" s="220" customFormat="1" ht="13.5" customHeight="1">
      <c r="A29" s="887"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33857</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11473</v>
      </c>
      <c r="D33" s="238"/>
      <c r="E33" s="218"/>
      <c r="F33" s="247"/>
      <c r="G33" s="240"/>
    </row>
    <row r="34" spans="1:7" s="264" customFormat="1" ht="13.5" customHeight="1">
      <c r="A34" s="887" t="s">
        <v>791</v>
      </c>
      <c r="B34" s="221" t="s">
        <v>2151</v>
      </c>
      <c r="C34" s="226">
        <f ca="1">IF(B1="",IF(F34=100%,'数据-取费表'!M16,'数据-取费表'!O16),IF(F34=100%,INDIRECT("'数据-取费表'!m"&amp;$G$1)+INDIRECT("'数据-取费表'!t"&amp;$G$1),INDIRECT("'数据-取费表'!o"&amp;$G$1)+INDIRECT("'数据-取费表'!aq"&amp;$G$1)))</f>
        <v>10465</v>
      </c>
      <c r="D34" s="223"/>
      <c r="E34" s="226"/>
      <c r="F34" s="263">
        <f ca="1">IF('数据-取费表'!B24=0,1,IF(B1="",'数据-取费表'!N16,INDIRECT("'数据-取费表'!n"&amp;$G$1)))</f>
        <v>1</v>
      </c>
      <c r="G34" s="225" t="s">
        <v>2152</v>
      </c>
    </row>
    <row r="35" spans="1:7" ht="13.5" customHeight="1">
      <c r="A35" s="887" t="s">
        <v>796</v>
      </c>
      <c r="B35" s="221" t="s">
        <v>2153</v>
      </c>
      <c r="C35" s="226">
        <f ca="1">ROUND(C34*F35,0)</f>
        <v>314</v>
      </c>
      <c r="D35" s="226"/>
      <c r="E35" s="226"/>
      <c r="F35" s="265">
        <f>'数据-取费表'!B33</f>
        <v>0.03</v>
      </c>
      <c r="G35" s="225" t="s">
        <v>2154</v>
      </c>
    </row>
    <row r="36" spans="1:7" ht="24">
      <c r="A36" s="887"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7" t="s">
        <v>798</v>
      </c>
      <c r="B37" s="221" t="s">
        <v>2157</v>
      </c>
      <c r="C37" s="255">
        <f ca="1">ROUND(E37*D37*F34/10000,0)</f>
        <v>537</v>
      </c>
      <c r="D37" s="223">
        <f ca="1">D19</f>
        <v>26834.3</v>
      </c>
      <c r="E37" s="255">
        <f>'数据-取费表'!B35</f>
        <v>200</v>
      </c>
      <c r="F37" s="265"/>
      <c r="G37" s="267" t="s">
        <v>2158</v>
      </c>
    </row>
    <row r="38" spans="1:7" ht="13.5" customHeight="1">
      <c r="A38" s="887" t="s">
        <v>799</v>
      </c>
      <c r="B38" s="221" t="s">
        <v>2159</v>
      </c>
      <c r="C38" s="226">
        <f ca="1">ROUND(C34*F38,0)</f>
        <v>157</v>
      </c>
      <c r="D38" s="226"/>
      <c r="E38" s="226"/>
      <c r="F38" s="265">
        <f>'数据-取费表'!B36</f>
        <v>1.4999999999999999E-2</v>
      </c>
      <c r="G38" s="225" t="s">
        <v>2154</v>
      </c>
    </row>
    <row r="39" spans="1:7" s="220" customFormat="1" ht="13.5" customHeight="1">
      <c r="A39" s="261" t="s">
        <v>2160</v>
      </c>
      <c r="B39" s="216" t="s">
        <v>2161</v>
      </c>
      <c r="C39" s="238">
        <f ca="1">ROUND(C33*F20,0)</f>
        <v>229</v>
      </c>
      <c r="D39" s="238"/>
      <c r="E39" s="238"/>
      <c r="F39" s="2502">
        <f>F20</f>
        <v>0.02</v>
      </c>
      <c r="G39" s="240" t="s">
        <v>2162</v>
      </c>
    </row>
    <row r="40" spans="1:7" s="220" customFormat="1" ht="13.5" customHeight="1">
      <c r="A40" s="261" t="s">
        <v>2163</v>
      </c>
      <c r="B40" s="216" t="s">
        <v>2164</v>
      </c>
      <c r="C40" s="1465">
        <f>F21</f>
        <v>0.02</v>
      </c>
      <c r="D40" s="242" t="s">
        <v>2165</v>
      </c>
      <c r="E40" s="238"/>
      <c r="F40" s="2502">
        <f>F21</f>
        <v>0.02</v>
      </c>
      <c r="G40" s="240" t="s">
        <v>2166</v>
      </c>
    </row>
    <row r="41" spans="1:7" s="220" customFormat="1" ht="13.5" customHeight="1">
      <c r="A41" s="261" t="s">
        <v>2167</v>
      </c>
      <c r="B41" s="216" t="s">
        <v>2168</v>
      </c>
      <c r="C41" s="238">
        <f ca="1">ROUND(SUM(C42:C43),0)</f>
        <v>492</v>
      </c>
      <c r="D41" s="241">
        <f ca="1">C44</f>
        <v>8.0000000000000004E-4</v>
      </c>
      <c r="E41" s="242" t="s">
        <v>2165</v>
      </c>
      <c r="F41" s="2503">
        <f ca="1">F22</f>
        <v>4.2000000000000003E-2</v>
      </c>
      <c r="G41" s="240" t="str">
        <f>IF('数据-取费表'!B22&lt;=1,"单利计息","复利计息")</f>
        <v>复利计息</v>
      </c>
    </row>
    <row r="42" spans="1:7" ht="13.5" customHeight="1">
      <c r="A42" s="887" t="s">
        <v>791</v>
      </c>
      <c r="B42" s="221" t="s">
        <v>2169</v>
      </c>
      <c r="C42" s="244">
        <f ca="1">ROUND(IF('数据-取费表'!B22&lt;=1,C33*F22*'数据-取费表'!B21/2,C33*(POWER((1+F22),'数据-取费表'!B21/2)-1)),0)</f>
        <v>482</v>
      </c>
      <c r="D42" s="244"/>
      <c r="E42" s="244"/>
      <c r="F42" s="245"/>
      <c r="G42" s="3417" t="s">
        <v>2170</v>
      </c>
    </row>
    <row r="43" spans="1:7" ht="13.5" customHeight="1">
      <c r="A43" s="887" t="s">
        <v>792</v>
      </c>
      <c r="B43" s="221" t="s">
        <v>2171</v>
      </c>
      <c r="C43" s="244">
        <f ca="1">ROUND(IF('数据-取费表'!B22&lt;=1,C39*F22*'数据-取费表'!B21/2,C39*(POWER((1+F22),'数据-取费表'!B21/2)-1)),0)</f>
        <v>10</v>
      </c>
      <c r="D43" s="244"/>
      <c r="E43" s="244"/>
      <c r="F43" s="245"/>
      <c r="G43" s="3418"/>
    </row>
    <row r="44" spans="1:7" ht="13.5" customHeight="1">
      <c r="A44" s="887" t="s">
        <v>793</v>
      </c>
      <c r="B44" s="221" t="s">
        <v>2172</v>
      </c>
      <c r="C44" s="244">
        <f ca="1">ROUND(IF('数据-取费表'!B22&lt;=1,C40*F22*'数据-取费表'!B21/2,C40*(POWER((1+F22),'数据-取费表'!B21/2)-1)),4)</f>
        <v>8.0000000000000004E-4</v>
      </c>
      <c r="D44" s="244"/>
      <c r="E44" s="244"/>
      <c r="F44" s="245"/>
      <c r="G44" s="3419"/>
    </row>
    <row r="45" spans="1:7" s="220" customFormat="1" ht="13.5" customHeight="1">
      <c r="A45" s="261" t="s">
        <v>2173</v>
      </c>
      <c r="B45" s="250" t="s">
        <v>2139</v>
      </c>
      <c r="C45" s="251">
        <f ca="1">C46</f>
        <v>1755</v>
      </c>
      <c r="D45" s="241">
        <f ca="1">C47</f>
        <v>3.0000000000000001E-3</v>
      </c>
      <c r="E45" s="242" t="s">
        <v>2165</v>
      </c>
      <c r="F45" s="2504">
        <f ca="1">F27</f>
        <v>0.15</v>
      </c>
      <c r="G45" s="253" t="s">
        <v>2174</v>
      </c>
    </row>
    <row r="46" spans="1:7" s="220" customFormat="1" ht="13.5" customHeight="1">
      <c r="A46" s="887" t="s">
        <v>791</v>
      </c>
      <c r="B46" s="254" t="s">
        <v>2175</v>
      </c>
      <c r="C46" s="255">
        <f ca="1">ROUND((C33+C39)*F27,0)</f>
        <v>1755</v>
      </c>
      <c r="D46" s="269"/>
      <c r="E46" s="242"/>
      <c r="F46" s="252"/>
      <c r="G46" s="253"/>
    </row>
    <row r="47" spans="1:7" s="220" customFormat="1" ht="13.5" customHeight="1">
      <c r="A47" s="887" t="s">
        <v>792</v>
      </c>
      <c r="B47" s="254" t="s">
        <v>2176</v>
      </c>
      <c r="C47" s="244">
        <f ca="1">ROUND(C40*F27,4)</f>
        <v>3.0000000000000001E-3</v>
      </c>
      <c r="D47" s="269"/>
      <c r="E47" s="242"/>
      <c r="F47" s="252"/>
      <c r="G47" s="253"/>
    </row>
    <row r="48" spans="1:7" s="220" customFormat="1" ht="13.5" customHeight="1">
      <c r="A48" s="261" t="s">
        <v>2138</v>
      </c>
      <c r="B48" s="216" t="s">
        <v>2177</v>
      </c>
      <c r="C48" s="1465">
        <f>ROUND(F30/(1+'数据-取费表'!C42),4)</f>
        <v>5.2400000000000002E-2</v>
      </c>
      <c r="D48" s="242" t="s">
        <v>2165</v>
      </c>
      <c r="E48" s="238"/>
      <c r="F48" s="2503">
        <f>F30</f>
        <v>5.5000000000000007E-2</v>
      </c>
      <c r="G48" s="240" t="s">
        <v>2178</v>
      </c>
    </row>
    <row r="49" spans="1:7" ht="16.5" customHeight="1">
      <c r="A49" s="261" t="s">
        <v>2144</v>
      </c>
      <c r="B49" s="216" t="s">
        <v>2179</v>
      </c>
      <c r="C49" s="238">
        <f ca="1">ROUND((C33+C39+C41+C45)/(1-C40-D41-D45-C48),0)</f>
        <v>15100</v>
      </c>
      <c r="D49" s="238"/>
      <c r="E49" s="238"/>
      <c r="F49" s="270"/>
      <c r="G49" s="240" t="s">
        <v>2180</v>
      </c>
    </row>
    <row r="50" spans="1:7" s="264" customFormat="1" ht="24">
      <c r="A50" s="261" t="s">
        <v>2181</v>
      </c>
      <c r="B50" s="216" t="s">
        <v>2182</v>
      </c>
      <c r="C50" s="238"/>
      <c r="D50" s="238"/>
      <c r="E50" s="238"/>
      <c r="F50" s="270">
        <f>IF('数据-取费表'!B24=0,'数据-取费表'!N16,1)</f>
        <v>0.8</v>
      </c>
      <c r="G50" s="253" t="s">
        <v>2183</v>
      </c>
    </row>
    <row r="51" spans="1:7" ht="16.5" customHeight="1">
      <c r="A51" s="261" t="s">
        <v>2184</v>
      </c>
      <c r="B51" s="216" t="s">
        <v>2185</v>
      </c>
      <c r="C51" s="238">
        <f ca="1">ROUND(C49*F50,0)</f>
        <v>12080</v>
      </c>
      <c r="D51" s="238"/>
      <c r="E51" s="238"/>
      <c r="F51" s="270"/>
      <c r="G51" s="240" t="s">
        <v>2186</v>
      </c>
    </row>
    <row r="52" spans="1:7" s="214" customFormat="1" ht="16.5" thickBot="1">
      <c r="A52" s="271" t="s">
        <v>2187</v>
      </c>
      <c r="B52" s="272"/>
      <c r="C52" s="273">
        <f ca="1">C31+C51</f>
        <v>45937</v>
      </c>
      <c r="D52" s="272"/>
      <c r="E52" s="272"/>
      <c r="F52" s="272"/>
      <c r="G52" s="274"/>
    </row>
    <row r="55" spans="1:7" ht="15">
      <c r="B55" s="276" t="s">
        <v>2188</v>
      </c>
      <c r="C55" s="277"/>
    </row>
    <row r="56" spans="1:7">
      <c r="B56" s="279" t="s">
        <v>1418</v>
      </c>
      <c r="C56" s="281">
        <f ca="1">1-C57</f>
        <v>0.73699999999999999</v>
      </c>
    </row>
    <row r="57" spans="1:7">
      <c r="B57" s="279" t="s">
        <v>1419</v>
      </c>
      <c r="C57" s="280">
        <f ca="1">ROUND(C51/C52,3)</f>
        <v>0.26300000000000001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28" t="str">
        <f>项目基本情况!B1</f>
        <v>北京市房地产抵押价值预评估</v>
      </c>
      <c r="C37" s="3228"/>
      <c r="D37" s="3228"/>
      <c r="E37" s="3228"/>
      <c r="F37" s="3228"/>
      <c r="G37" s="3228"/>
      <c r="H37" s="3228"/>
      <c r="I37" s="3228"/>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2"/>
      <c r="C1" s="2013" t="s">
        <v>2189</v>
      </c>
      <c r="D1" s="204"/>
      <c r="E1" s="204"/>
      <c r="F1" s="204"/>
      <c r="G1" s="1258">
        <f>MATCH(B1,'数据-取费表'!A6:A16,0)+5</f>
        <v>7</v>
      </c>
      <c r="H1" s="1190" t="str">
        <f>IF(ISERROR(FIND("住宅",B1)),"非住宅","住宅")</f>
        <v>非住宅</v>
      </c>
    </row>
    <row r="2" spans="1:8" s="206" customFormat="1" ht="18" customHeight="1">
      <c r="A2" s="207" t="s">
        <v>2088</v>
      </c>
      <c r="B2" s="208">
        <f ca="1">ROUND(IF(D2="——",C52/10000,C52/10000-E2),0)</f>
        <v>13544</v>
      </c>
      <c r="C2" s="205" t="s">
        <v>2089</v>
      </c>
      <c r="D2" s="2007" t="s">
        <v>70</v>
      </c>
      <c r="E2" s="1301" t="e">
        <f ca="1">SUMIF(INDIRECT("'"&amp;G2&amp;"'"&amp;"!A:A"),"承租人权益价值",INDIRECT("'"&amp;G2&amp;"'"&amp;"!c:c"))</f>
        <v>#REF!</v>
      </c>
      <c r="F2" s="2008" t="s">
        <v>2089</v>
      </c>
      <c r="G2" s="2009"/>
    </row>
    <row r="3" spans="1:8" s="206" customFormat="1" ht="18" customHeight="1" thickBot="1">
      <c r="A3" s="209" t="s">
        <v>2090</v>
      </c>
      <c r="B3" s="210">
        <f ca="1">ROUND(B2*10000/(IF(B1="",'数据-汇总表'!E3,INDIRECT("'数据-取费表'!k"&amp;$G$1))),0)</f>
        <v>5047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5366860</v>
      </c>
      <c r="D5" s="217" t="s">
        <v>2095</v>
      </c>
      <c r="E5" s="218" t="s">
        <v>2096</v>
      </c>
      <c r="F5" s="218" t="s">
        <v>2097</v>
      </c>
      <c r="G5" s="219"/>
    </row>
    <row r="6" spans="1:8" s="220" customFormat="1" ht="13.5" customHeight="1">
      <c r="A6" s="885" t="s">
        <v>2098</v>
      </c>
      <c r="B6" s="221" t="s">
        <v>2099</v>
      </c>
      <c r="C6" s="222"/>
      <c r="D6" s="223"/>
      <c r="E6" s="224"/>
      <c r="F6" s="224"/>
      <c r="G6" s="225"/>
    </row>
    <row r="7" spans="1:8" s="220" customFormat="1" ht="13.5" customHeight="1">
      <c r="A7" s="885" t="s">
        <v>2100</v>
      </c>
      <c r="B7" s="221" t="s">
        <v>2101</v>
      </c>
      <c r="C7" s="226">
        <f>ROUND(C6*F7,0)</f>
        <v>0</v>
      </c>
      <c r="D7" s="226"/>
      <c r="E7" s="224"/>
      <c r="F7" s="227">
        <f>IF(项目基本情况!B8="出让",0,'数据-取费表'!B48+'数据-取费表'!B49)</f>
        <v>3.0499999999999999E-2</v>
      </c>
      <c r="G7" s="225"/>
    </row>
    <row r="8" spans="1:8" s="229" customFormat="1">
      <c r="A8" s="885" t="s">
        <v>2102</v>
      </c>
      <c r="B8" s="221" t="s">
        <v>2103</v>
      </c>
      <c r="C8" s="226">
        <f ca="1">IF(G8="已包含在土地购买价格中",0,C9+C10)</f>
        <v>5366860</v>
      </c>
      <c r="D8" s="228"/>
      <c r="E8" s="226"/>
      <c r="F8" s="227"/>
      <c r="G8" s="2010"/>
    </row>
    <row r="9" spans="1:8" s="220" customFormat="1" ht="13.5" customHeight="1">
      <c r="A9" s="886" t="s">
        <v>800</v>
      </c>
      <c r="B9" s="230" t="s">
        <v>2104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2106</v>
      </c>
      <c r="C10" s="231">
        <f ca="1">ROUND(D10*E10,0)</f>
        <v>5366860</v>
      </c>
      <c r="D10" s="953">
        <f ca="1">IF(B1="",'数据-汇总表'!E6,IF(INDIRECT("'数据-取费表'!c"&amp;$G$1)="住宅",INDIRECT("'数据-取费表'!s"&amp;$G$1),INDIRECT("'数据-取费表'!k"&amp;$G$1)+INDIRECT("'数据-取费表'!s"&amp;$G$1)))</f>
        <v>26834.3</v>
      </c>
      <c r="E10" s="231">
        <f>'数据-取费表'!B28</f>
        <v>200</v>
      </c>
      <c r="F10" s="227"/>
      <c r="G10" s="232"/>
    </row>
    <row r="11" spans="1:8" s="220" customFormat="1" ht="13.5" hidden="1" customHeight="1">
      <c r="A11" s="233" t="s">
        <v>7</v>
      </c>
      <c r="B11" s="221" t="s">
        <v>2107</v>
      </c>
      <c r="C11" s="217"/>
      <c r="D11" s="955"/>
      <c r="E11" s="224"/>
      <c r="F11" s="224"/>
      <c r="G11" s="225"/>
    </row>
    <row r="12" spans="1:8" s="220" customFormat="1" ht="13.5" hidden="1" customHeight="1">
      <c r="A12" s="233" t="s">
        <v>8</v>
      </c>
      <c r="B12" s="221" t="s">
        <v>2190</v>
      </c>
      <c r="C12" s="217">
        <v>0</v>
      </c>
      <c r="D12" s="955"/>
      <c r="E12" s="234"/>
      <c r="F12" s="227">
        <v>3.0499999999999999E-2</v>
      </c>
      <c r="G12" s="225"/>
    </row>
    <row r="13" spans="1:8" s="220" customFormat="1" ht="13.5" hidden="1" customHeight="1">
      <c r="A13" s="233" t="s">
        <v>9</v>
      </c>
      <c r="B13" s="221" t="s">
        <v>2191</v>
      </c>
      <c r="C13" s="217"/>
      <c r="D13" s="955"/>
      <c r="E13" s="224"/>
      <c r="F13" s="224"/>
      <c r="G13" s="225"/>
    </row>
    <row r="14" spans="1:8" s="220" customFormat="1" ht="13.5" hidden="1" customHeight="1">
      <c r="A14" s="233" t="s">
        <v>10</v>
      </c>
      <c r="B14" s="221" t="s">
        <v>2103</v>
      </c>
      <c r="C14" s="217"/>
      <c r="D14" s="955"/>
      <c r="E14" s="224"/>
      <c r="F14" s="224"/>
      <c r="G14" s="225" t="s">
        <v>2192</v>
      </c>
    </row>
    <row r="15" spans="1:8" s="220" customFormat="1" ht="13.5" hidden="1" customHeight="1">
      <c r="A15" s="233" t="s">
        <v>11</v>
      </c>
      <c r="B15" s="221" t="s">
        <v>2193</v>
      </c>
      <c r="C15" s="226"/>
      <c r="D15" s="955"/>
      <c r="E15" s="224"/>
      <c r="F15" s="224"/>
      <c r="G15" s="225" t="s">
        <v>2194</v>
      </c>
    </row>
    <row r="16" spans="1:8" s="220" customFormat="1" ht="13.5" hidden="1" customHeight="1">
      <c r="A16" s="233" t="s">
        <v>12</v>
      </c>
      <c r="B16" s="221" t="s">
        <v>2103</v>
      </c>
      <c r="C16" s="226"/>
      <c r="D16" s="955"/>
      <c r="E16" s="224"/>
      <c r="F16" s="224"/>
      <c r="G16" s="225"/>
    </row>
    <row r="17" spans="1:7" s="220" customFormat="1" ht="13.5" hidden="1" customHeight="1">
      <c r="A17" s="233" t="s">
        <v>13</v>
      </c>
      <c r="B17" s="221" t="s">
        <v>2195</v>
      </c>
      <c r="C17" s="235"/>
      <c r="D17" s="956"/>
      <c r="E17" s="235"/>
      <c r="F17" s="235"/>
      <c r="G17" s="225" t="s">
        <v>2194</v>
      </c>
    </row>
    <row r="18" spans="1:7" s="220" customFormat="1" ht="13.5" hidden="1" customHeight="1">
      <c r="A18" s="233" t="s">
        <v>14</v>
      </c>
      <c r="B18" s="221" t="s">
        <v>2196</v>
      </c>
      <c r="C18" s="226">
        <v>0</v>
      </c>
      <c r="D18" s="955"/>
      <c r="E18" s="224"/>
      <c r="F18" s="227">
        <v>3.0499999999999999E-2</v>
      </c>
      <c r="G18" s="225" t="s">
        <v>2197</v>
      </c>
    </row>
    <row r="19" spans="1:7" s="229" customFormat="1" ht="13.5" customHeight="1">
      <c r="A19" s="261" t="s">
        <v>2198</v>
      </c>
      <c r="B19" s="216" t="s">
        <v>2199</v>
      </c>
      <c r="C19" s="217">
        <f ca="1">IF(G19="已包含在土地取得成本中","0",ROUND(D19*E19,0))</f>
        <v>5366860</v>
      </c>
      <c r="D19" s="957">
        <f ca="1">D9+D10</f>
        <v>26834.3</v>
      </c>
      <c r="E19" s="217">
        <f>'数据-取费表'!B31</f>
        <v>200</v>
      </c>
      <c r="F19" s="237"/>
      <c r="G19" s="2010"/>
    </row>
    <row r="20" spans="1:7" s="220" customFormat="1" ht="13.5" customHeight="1">
      <c r="A20" s="261" t="s">
        <v>2200</v>
      </c>
      <c r="B20" s="216" t="s">
        <v>2201</v>
      </c>
      <c r="C20" s="238">
        <f ca="1">ROUND((C5+C19)*F20,0)</f>
        <v>214674</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59">
        <f ca="1">ROUND(SUM(C23:C25),0)</f>
        <v>929582</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7" t="s">
        <v>2098</v>
      </c>
      <c r="B23" s="221" t="s">
        <v>2209</v>
      </c>
      <c r="C23" s="1260">
        <f ca="1">ROUND(IF('数据-取费表'!B22&lt;=1,C5*F22*'数据-取费表'!B22,C5*(POWER((1+F22),'数据-取费表'!B22)-1)),0)</f>
        <v>460283</v>
      </c>
      <c r="D23" s="244"/>
      <c r="E23" s="244"/>
      <c r="F23" s="245"/>
      <c r="G23" s="246" t="s">
        <v>2210</v>
      </c>
    </row>
    <row r="24" spans="1:7" s="220" customFormat="1" ht="13.5" customHeight="1">
      <c r="A24" s="887" t="s">
        <v>2100</v>
      </c>
      <c r="B24" s="221" t="s">
        <v>2211</v>
      </c>
      <c r="C24" s="1260">
        <f ca="1">ROUND(IF('数据-取费表'!B22&lt;=1,C19*F22*('数据-取费表'!B19/2+'数据-取费表'!B20),C19*(POWER((1+F22),('数据-取费表'!B19/2+'数据-取费表'!B20))-1)),0)</f>
        <v>460283</v>
      </c>
      <c r="D24" s="244"/>
      <c r="E24" s="244"/>
      <c r="F24" s="245"/>
      <c r="G24" s="246" t="s">
        <v>2212</v>
      </c>
    </row>
    <row r="25" spans="1:7" s="220" customFormat="1" ht="24">
      <c r="A25" s="887" t="s">
        <v>2102</v>
      </c>
      <c r="B25" s="221" t="s">
        <v>2213</v>
      </c>
      <c r="C25" s="1260">
        <f ca="1">ROUND(IF('数据-取费表'!B22&lt;=1,C20*F22*'数据-取费表'!B22/2,C20*(POWER((1+F22),'数据-取费表'!B22/2)-1)),0)</f>
        <v>9016</v>
      </c>
      <c r="D25" s="244"/>
      <c r="E25" s="247"/>
      <c r="F25" s="245"/>
      <c r="G25" s="248" t="s">
        <v>2214</v>
      </c>
    </row>
    <row r="26" spans="1:7" s="220" customFormat="1">
      <c r="A26" s="887"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1642259</v>
      </c>
      <c r="D27" s="241">
        <f ca="1">C29</f>
        <v>3.0000000000000001E-3</v>
      </c>
      <c r="E27" s="242" t="s">
        <v>2140</v>
      </c>
      <c r="F27" s="252">
        <f ca="1">IF(B1="",'数据-取费表'!Q16,INDIRECT("'数据-取费表'!q"&amp;$G$1))</f>
        <v>0.15</v>
      </c>
      <c r="G27" s="253" t="s">
        <v>2141</v>
      </c>
    </row>
    <row r="28" spans="1:7" s="220" customFormat="1" ht="13.5" customHeight="1">
      <c r="A28" s="887" t="s">
        <v>791</v>
      </c>
      <c r="B28" s="254" t="s">
        <v>2142</v>
      </c>
      <c r="C28" s="255">
        <f ca="1">ROUND((C5+C19+C20)*F27,0)</f>
        <v>1642259</v>
      </c>
      <c r="D28" s="241"/>
      <c r="E28" s="242"/>
      <c r="F28" s="252"/>
      <c r="G28" s="253"/>
    </row>
    <row r="29" spans="1:7" s="220" customFormat="1" ht="13.5" customHeight="1">
      <c r="A29" s="887"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14635457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114730050</v>
      </c>
      <c r="D33" s="238"/>
      <c r="E33" s="218"/>
      <c r="F33" s="247"/>
      <c r="G33" s="240"/>
    </row>
    <row r="34" spans="1:7" s="264" customFormat="1" ht="13.5" customHeight="1">
      <c r="A34" s="887" t="s">
        <v>791</v>
      </c>
      <c r="B34" s="221" t="s">
        <v>2151</v>
      </c>
      <c r="C34" s="226">
        <f ca="1">ROUND(IF(B1="",SUMPRODUCT('数据-取费表'!K6:K14,'数据-取费表'!L6:L14),INDIRECT("'数据-取费表'!l"&amp;$G$1)*INDIRECT("'数据-取费表'!k"&amp;$G$1)+'数据-取费表'!L14*INDIRECT("'数据-取费表'!S"&amp;$G$1)),0)</f>
        <v>104653770</v>
      </c>
      <c r="D34" s="223"/>
      <c r="E34" s="226"/>
      <c r="F34" s="263"/>
      <c r="G34" s="225"/>
    </row>
    <row r="35" spans="1:7" ht="13.5" customHeight="1">
      <c r="A35" s="887" t="s">
        <v>796</v>
      </c>
      <c r="B35" s="221" t="s">
        <v>2153</v>
      </c>
      <c r="C35" s="226">
        <f ca="1">ROUND(C34*F35,0)</f>
        <v>3139613</v>
      </c>
      <c r="D35" s="226"/>
      <c r="E35" s="226"/>
      <c r="F35" s="265">
        <f>'数据-取费表'!B33</f>
        <v>0.03</v>
      </c>
      <c r="G35" s="225" t="s">
        <v>2154</v>
      </c>
    </row>
    <row r="36" spans="1:7" ht="24">
      <c r="A36" s="887"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7" t="s">
        <v>798</v>
      </c>
      <c r="B37" s="221" t="s">
        <v>2157</v>
      </c>
      <c r="C37" s="255">
        <f ca="1">ROUND(E37*D37,0)</f>
        <v>5366860</v>
      </c>
      <c r="D37" s="223">
        <f ca="1">D19</f>
        <v>26834.3</v>
      </c>
      <c r="E37" s="255">
        <f>'数据-取费表'!B35</f>
        <v>200</v>
      </c>
      <c r="F37" s="265"/>
      <c r="G37" s="267"/>
    </row>
    <row r="38" spans="1:7" ht="13.5" customHeight="1">
      <c r="A38" s="887" t="s">
        <v>799</v>
      </c>
      <c r="B38" s="221" t="s">
        <v>2159</v>
      </c>
      <c r="C38" s="226">
        <f ca="1">ROUND(C34*F38,0)</f>
        <v>1569807</v>
      </c>
      <c r="D38" s="226"/>
      <c r="E38" s="226"/>
      <c r="F38" s="265">
        <f>'数据-取费表'!B36</f>
        <v>1.4999999999999999E-2</v>
      </c>
      <c r="G38" s="225" t="s">
        <v>2154</v>
      </c>
    </row>
    <row r="39" spans="1:7" s="220" customFormat="1" ht="13.5" customHeight="1">
      <c r="A39" s="261" t="s">
        <v>2160</v>
      </c>
      <c r="B39" s="216" t="s">
        <v>2161</v>
      </c>
      <c r="C39" s="238">
        <f ca="1">ROUND(C33*F20,0)</f>
        <v>2294601</v>
      </c>
      <c r="D39" s="238"/>
      <c r="E39" s="238"/>
      <c r="F39" s="2502">
        <f>F20</f>
        <v>0.02</v>
      </c>
      <c r="G39" s="240" t="s">
        <v>2162</v>
      </c>
    </row>
    <row r="40" spans="1:7" s="220" customFormat="1" ht="13.5" customHeight="1">
      <c r="A40" s="261" t="s">
        <v>2163</v>
      </c>
      <c r="B40" s="216" t="s">
        <v>2164</v>
      </c>
      <c r="C40" s="1465">
        <f>F21</f>
        <v>0.02</v>
      </c>
      <c r="D40" s="242" t="s">
        <v>2165</v>
      </c>
      <c r="E40" s="238"/>
      <c r="F40" s="2502">
        <f>F21</f>
        <v>0.02</v>
      </c>
      <c r="G40" s="240" t="s">
        <v>2166</v>
      </c>
    </row>
    <row r="41" spans="1:7" s="220" customFormat="1" ht="13.5" customHeight="1">
      <c r="A41" s="261" t="s">
        <v>2167</v>
      </c>
      <c r="B41" s="216" t="s">
        <v>2168</v>
      </c>
      <c r="C41" s="238">
        <f ca="1">ROUND(SUM(C42:C43),0)</f>
        <v>4915035</v>
      </c>
      <c r="D41" s="241">
        <f ca="1">C44</f>
        <v>8.0000000000000004E-4</v>
      </c>
      <c r="E41" s="242" t="s">
        <v>2165</v>
      </c>
      <c r="F41" s="2503">
        <f ca="1">F22</f>
        <v>4.2000000000000003E-2</v>
      </c>
      <c r="G41" s="240" t="str">
        <f>IF('数据-取费表'!B22&lt;=1,"单利计息","复利计息")</f>
        <v>复利计息</v>
      </c>
    </row>
    <row r="42" spans="1:7" ht="13.5" customHeight="1">
      <c r="A42" s="887" t="s">
        <v>791</v>
      </c>
      <c r="B42" s="221" t="s">
        <v>2169</v>
      </c>
      <c r="C42" s="244">
        <f ca="1">ROUND(IF('数据-取费表'!B22&lt;=1,C33*F22*'数据-取费表'!B20/2,C33*(POWER((1+F22),'数据-取费表'!B20/2)-1)),0)</f>
        <v>4818662</v>
      </c>
      <c r="D42" s="244"/>
      <c r="E42" s="244"/>
      <c r="F42" s="245"/>
      <c r="G42" s="3417" t="s">
        <v>2217</v>
      </c>
    </row>
    <row r="43" spans="1:7" ht="13.5" customHeight="1">
      <c r="A43" s="887" t="s">
        <v>792</v>
      </c>
      <c r="B43" s="221" t="s">
        <v>2171</v>
      </c>
      <c r="C43" s="244">
        <f ca="1">ROUND(IF('数据-取费表'!B22&lt;=1,C39*F22*'数据-取费表'!B20/2,C39*(POWER((1+F22),'数据-取费表'!B20/2)-1)),0)</f>
        <v>96373</v>
      </c>
      <c r="D43" s="244"/>
      <c r="E43" s="244"/>
      <c r="F43" s="245"/>
      <c r="G43" s="3418"/>
    </row>
    <row r="44" spans="1:7" ht="13.5" customHeight="1">
      <c r="A44" s="887" t="s">
        <v>793</v>
      </c>
      <c r="B44" s="221" t="s">
        <v>2172</v>
      </c>
      <c r="C44" s="244">
        <f ca="1">ROUND(IF('数据-取费表'!B22&lt;=1,C40*F22*'数据-取费表'!B20/2,C40*(POWER((1+F22),'数据-取费表'!B20/2)-1)),4)</f>
        <v>8.0000000000000004E-4</v>
      </c>
      <c r="D44" s="244"/>
      <c r="E44" s="244"/>
      <c r="F44" s="245"/>
      <c r="G44" s="3419"/>
    </row>
    <row r="45" spans="1:7" s="220" customFormat="1" ht="13.5" customHeight="1">
      <c r="A45" s="261" t="s">
        <v>2173</v>
      </c>
      <c r="B45" s="250" t="s">
        <v>2139</v>
      </c>
      <c r="C45" s="251">
        <f ca="1">C46</f>
        <v>17553698</v>
      </c>
      <c r="D45" s="241">
        <f ca="1">C47</f>
        <v>3.0000000000000001E-3</v>
      </c>
      <c r="E45" s="242" t="s">
        <v>2165</v>
      </c>
      <c r="F45" s="2504">
        <f ca="1">F27</f>
        <v>0.15</v>
      </c>
      <c r="G45" s="253" t="s">
        <v>2174</v>
      </c>
    </row>
    <row r="46" spans="1:7" s="220" customFormat="1" ht="13.5" customHeight="1">
      <c r="A46" s="887" t="s">
        <v>791</v>
      </c>
      <c r="B46" s="254" t="s">
        <v>2175</v>
      </c>
      <c r="C46" s="255">
        <f ca="1">ROUND((C33+C39)*F27,0)</f>
        <v>17553698</v>
      </c>
      <c r="D46" s="269"/>
      <c r="E46" s="242"/>
      <c r="F46" s="252"/>
      <c r="G46" s="253"/>
    </row>
    <row r="47" spans="1:7" s="220" customFormat="1" ht="13.5" customHeight="1">
      <c r="A47" s="887"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3">
        <f>F30</f>
        <v>5.5000000000000007E-2</v>
      </c>
      <c r="G48" s="240" t="s">
        <v>2178</v>
      </c>
    </row>
    <row r="49" spans="1:7" ht="16.5" customHeight="1">
      <c r="A49" s="261" t="s">
        <v>2144</v>
      </c>
      <c r="B49" s="216" t="s">
        <v>2218</v>
      </c>
      <c r="C49" s="238">
        <f ca="1">ROUND((C33+C39+C41+C45)/(1-C40-D41-D45-C48),0)</f>
        <v>150999550</v>
      </c>
      <c r="D49" s="238"/>
      <c r="E49" s="238"/>
      <c r="F49" s="270"/>
      <c r="G49" s="240" t="s">
        <v>2180</v>
      </c>
    </row>
    <row r="50" spans="1:7" s="264" customFormat="1">
      <c r="A50" s="261" t="s">
        <v>2181</v>
      </c>
      <c r="B50" s="216" t="s">
        <v>2182</v>
      </c>
      <c r="C50" s="238"/>
      <c r="D50" s="238"/>
      <c r="E50" s="238"/>
      <c r="F50" s="270">
        <f>IF('数据-取费表'!B24=0,'数据-取费表'!N16,1)</f>
        <v>0.8</v>
      </c>
      <c r="G50" s="253"/>
    </row>
    <row r="51" spans="1:7" ht="16.5" customHeight="1">
      <c r="A51" s="261" t="s">
        <v>2184</v>
      </c>
      <c r="B51" s="216" t="s">
        <v>2219</v>
      </c>
      <c r="C51" s="238">
        <f ca="1">ROUND(C49*F50,0)</f>
        <v>120799640</v>
      </c>
      <c r="D51" s="238"/>
      <c r="E51" s="238"/>
      <c r="F51" s="270"/>
      <c r="G51" s="240" t="s">
        <v>2186</v>
      </c>
    </row>
    <row r="52" spans="1:7" s="214" customFormat="1" ht="16.5" thickBot="1">
      <c r="A52" s="271" t="s">
        <v>2187</v>
      </c>
      <c r="B52" s="272"/>
      <c r="C52" s="273">
        <f ca="1">C31+C51</f>
        <v>135435097</v>
      </c>
      <c r="D52" s="272"/>
      <c r="E52" s="272"/>
      <c r="F52" s="272"/>
      <c r="G52" s="274"/>
    </row>
    <row r="55" spans="1:7" ht="15">
      <c r="B55" s="276" t="s">
        <v>2188</v>
      </c>
      <c r="C55" s="277"/>
    </row>
    <row r="56" spans="1:7">
      <c r="B56" s="279" t="s">
        <v>1418</v>
      </c>
      <c r="C56" s="281">
        <f ca="1">1-C57</f>
        <v>0.10799999999999998</v>
      </c>
    </row>
    <row r="57" spans="1:7">
      <c r="B57" s="279" t="s">
        <v>1419</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53" sqref="M53"/>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2220</v>
      </c>
      <c r="B1" s="1323"/>
      <c r="C1" s="1324"/>
      <c r="D1" s="1322"/>
      <c r="E1" s="3004"/>
      <c r="F1" s="3004"/>
      <c r="G1" s="2867"/>
      <c r="H1" s="3004"/>
      <c r="I1" s="3004"/>
      <c r="J1" s="3004"/>
      <c r="K1" s="3005">
        <f>MATCH(C1,'数据-取费表'!A6:A16,0)+5</f>
        <v>7</v>
      </c>
    </row>
    <row r="2" spans="1:33" ht="18" customHeight="1">
      <c r="A2" s="207" t="s">
        <v>2088</v>
      </c>
      <c r="B2" s="210">
        <f ca="1">C32</f>
        <v>0</v>
      </c>
      <c r="C2" s="282" t="s">
        <v>2221</v>
      </c>
      <c r="D2" s="282"/>
      <c r="E2" s="3004"/>
      <c r="F2" s="3004"/>
      <c r="G2" s="3004"/>
      <c r="H2" s="3004"/>
      <c r="I2" s="3004"/>
      <c r="J2" s="3004"/>
      <c r="K2" s="3004"/>
    </row>
    <row r="3" spans="1:33" ht="18" customHeight="1" thickBot="1">
      <c r="A3" s="209" t="s">
        <v>2090</v>
      </c>
      <c r="B3" s="210">
        <f ca="1">ROUND(B2*10000/IF(C1="",'数据-汇总表'!E3,INDIRECT("'数据-取费表'!K"&amp;$K$1)),0)</f>
        <v>0</v>
      </c>
      <c r="C3" s="282" t="s">
        <v>2222</v>
      </c>
      <c r="D3" s="282"/>
      <c r="E3" s="3004"/>
      <c r="F3" s="3004"/>
      <c r="G3" s="3004"/>
      <c r="H3" s="3004"/>
      <c r="I3" s="3004"/>
      <c r="J3" s="3004"/>
      <c r="K3" s="3004"/>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9"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5"/>
      <c r="F12" s="912">
        <f>'数据-取费表'!B33</f>
        <v>0.03</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5"/>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26834.3</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26834.3</v>
      </c>
      <c r="E17" s="24">
        <f>'数据-取费表'!B32</f>
        <v>0</v>
      </c>
      <c r="F17" s="914"/>
      <c r="G17" s="136" t="s">
        <v>2252</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0</v>
      </c>
      <c r="D18" s="954"/>
      <c r="E18" s="24"/>
      <c r="F18" s="912"/>
      <c r="G18" s="2016"/>
      <c r="H18" s="1319"/>
      <c r="I18" s="2017"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0</v>
      </c>
      <c r="F19" s="912"/>
      <c r="G19" s="15"/>
      <c r="H19" s="1321"/>
      <c r="I19" s="917"/>
      <c r="J19" s="917"/>
      <c r="K19" s="918"/>
    </row>
    <row r="20" spans="1:33" s="911" customFormat="1" ht="13.5" customHeight="1">
      <c r="A20" s="907" t="s">
        <v>806</v>
      </c>
      <c r="B20" s="908" t="s">
        <v>2256</v>
      </c>
      <c r="C20" s="24">
        <f ca="1">ROUND(D20*E20/10000,0)</f>
        <v>537</v>
      </c>
      <c r="D20" s="954">
        <f ca="1">IF(C1="",'数据-汇总表'!E6,IF(INDIRECT("'数据-取费表'!c"&amp;$K$1)="住宅",INDIRECT("'数据-取费表'!s"&amp;$K$1),INDIRECT("'数据-取费表'!k"&amp;$K$1)+INDIRECT("'数据-取费表'!s"&amp;$K$1)))</f>
        <v>26834.3</v>
      </c>
      <c r="E20" s="24">
        <f>'数据-取费表'!B28</f>
        <v>200</v>
      </c>
      <c r="F20" s="912"/>
      <c r="G20" s="15"/>
      <c r="H20" s="917"/>
      <c r="I20" s="917"/>
      <c r="J20" s="917"/>
      <c r="K20" s="918"/>
    </row>
    <row r="21" spans="1:33" s="911" customFormat="1" ht="13.5" customHeight="1">
      <c r="A21" s="897" t="s">
        <v>802</v>
      </c>
      <c r="B21" s="921" t="s">
        <v>2257</v>
      </c>
      <c r="C21" s="922">
        <f ca="1">C16+C17+C18</f>
        <v>0</v>
      </c>
      <c r="D21" s="923"/>
      <c r="E21" s="287"/>
      <c r="F21" s="287"/>
      <c r="G21" s="136" t="s">
        <v>2258</v>
      </c>
      <c r="H21" s="915"/>
      <c r="I21" s="915"/>
      <c r="J21" s="915"/>
      <c r="K21" s="916"/>
    </row>
    <row r="22" spans="1:33" s="911" customFormat="1" ht="13.5" customHeight="1">
      <c r="A22" s="897" t="s">
        <v>2230</v>
      </c>
      <c r="B22" s="921" t="s">
        <v>2259</v>
      </c>
      <c r="C22" s="922">
        <f ca="1">ROUND(C21*F22,0)</f>
        <v>0</v>
      </c>
      <c r="D22" s="287"/>
      <c r="E22" s="287"/>
      <c r="F22" s="924">
        <f>'数据-取费表'!B37</f>
        <v>0.02</v>
      </c>
      <c r="G22" s="8" t="s">
        <v>2260</v>
      </c>
      <c r="H22" s="904"/>
      <c r="I22" s="904"/>
      <c r="J22" s="904"/>
      <c r="K22" s="905"/>
    </row>
    <row r="23" spans="1:33" s="911" customFormat="1" ht="13.5" customHeight="1">
      <c r="A23" s="897" t="s">
        <v>2232</v>
      </c>
      <c r="B23" s="921" t="s">
        <v>2261</v>
      </c>
      <c r="C23" s="922">
        <f ca="1">ROUND(C4*F23*F11,0)</f>
        <v>0</v>
      </c>
      <c r="D23" s="287"/>
      <c r="E23" s="287"/>
      <c r="F23" s="924">
        <f>'数据-取费表'!B38</f>
        <v>0.02</v>
      </c>
      <c r="G23" s="8" t="s">
        <v>2262</v>
      </c>
      <c r="H23" s="904"/>
      <c r="I23" s="904"/>
      <c r="J23" s="904"/>
      <c r="K23" s="905"/>
    </row>
    <row r="24" spans="1:33" s="911" customFormat="1" ht="13.5" customHeight="1">
      <c r="A24" s="897" t="s">
        <v>2263</v>
      </c>
      <c r="B24" s="921" t="s">
        <v>2264</v>
      </c>
      <c r="C24" s="286">
        <f>ROUND(F24/(1+'数据-取费表'!C42),4)</f>
        <v>2.9000000000000001E-2</v>
      </c>
      <c r="D24" s="287" t="s">
        <v>15</v>
      </c>
      <c r="E24" s="287"/>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7">
        <f ca="1">ROUND(IF('数据-取费表'!B22&lt;=1,(1+C24)*F25*'数据-取费表'!B24,(1+C24)*(POWER((1+F25),'数据-取费表'!B24)-1)),4)</f>
        <v>0</v>
      </c>
      <c r="D26" s="290"/>
      <c r="E26" s="291"/>
      <c r="F26" s="292"/>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8">
        <f ca="1">ROUND(IF('数据-取费表'!B22&lt;=1,(C21+C22+C23)*F25*'数据-取费表'!B24/2,(C21+C22+C23)*(POWER((1+F25),'数据-取费表'!B24/2)-1)),0)</f>
        <v>0</v>
      </c>
      <c r="D27" s="290"/>
      <c r="E27" s="291"/>
      <c r="F27" s="292"/>
      <c r="G27" s="2018" t="str">
        <f>IF('数据-取费表'!B22&lt;=1,"（1）-（3）项×年利率×建设期÷2","（1）-（3）项×((1+年利率)^(建设期÷2)-1)")</f>
        <v>（1）-（3）项×((1+年利率)^(建设期÷2)-1)</v>
      </c>
      <c r="H27" s="915"/>
      <c r="I27" s="915"/>
      <c r="J27" s="915"/>
      <c r="K27" s="916"/>
    </row>
    <row r="28" spans="1:33" s="295" customFormat="1" ht="13.5" customHeight="1">
      <c r="A28" s="897" t="s">
        <v>2270</v>
      </c>
      <c r="B28" s="2019" t="s">
        <v>2271</v>
      </c>
      <c r="C28" s="293">
        <f ca="1">C30</f>
        <v>0</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2272</v>
      </c>
      <c r="C29" s="290">
        <f ca="1">ROUND((1+C24)*F28*'数据-取费表'!B24/'数据-取费表'!B20,4)</f>
        <v>0</v>
      </c>
      <c r="D29" s="290"/>
      <c r="E29" s="291"/>
      <c r="F29" s="296"/>
      <c r="G29" s="136" t="s">
        <v>2273</v>
      </c>
      <c r="H29" s="915"/>
      <c r="I29" s="915"/>
      <c r="J29" s="915"/>
      <c r="K29" s="916"/>
    </row>
    <row r="30" spans="1:33" s="297" customFormat="1" ht="13.5" customHeight="1">
      <c r="A30" s="907" t="s">
        <v>804</v>
      </c>
      <c r="B30" s="930" t="s">
        <v>2274</v>
      </c>
      <c r="C30" s="298">
        <f ca="1">ROUND((C21+C22+C23)*F28,0)</f>
        <v>0</v>
      </c>
      <c r="D30" s="290"/>
      <c r="E30" s="291"/>
      <c r="F30" s="296"/>
      <c r="G30" s="136"/>
      <c r="H30" s="915"/>
      <c r="I30" s="915"/>
      <c r="J30" s="915"/>
      <c r="K30" s="916"/>
    </row>
    <row r="31" spans="1:33" s="911" customFormat="1" ht="13.5" customHeight="1" thickBot="1">
      <c r="A31" s="2020"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60" zoomScaleNormal="70" workbookViewId="0">
      <selection activeCell="M39" sqref="M3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1" t="s">
        <v>2447</v>
      </c>
      <c r="C1" s="1362" t="s">
        <v>2291</v>
      </c>
      <c r="D1" s="1363" t="s">
        <v>3137</v>
      </c>
      <c r="E1" s="1372"/>
      <c r="F1" s="2033" t="s">
        <v>3162</v>
      </c>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f>IF(C2="——",ROUND(C50*D3/10000,0),ROUND(C50*D3/10000,0)-D2)</f>
        <v>68411</v>
      </c>
      <c r="C2" s="2035" t="s">
        <v>70</v>
      </c>
      <c r="D2" s="1245" t="e">
        <f ca="1">SUMIF(INDIRECT("'"&amp;F2&amp;"'"&amp;"!A:A"),"承租人权益价值",INDIRECT("'"&amp;F2&amp;"'"&amp;"!c:c"))</f>
        <v>#REF!</v>
      </c>
      <c r="E2" s="2036" t="s">
        <v>2089</v>
      </c>
      <c r="F2" s="2037"/>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8" customFormat="1" ht="28.5" customHeight="1" thickBot="1">
      <c r="A3" s="209" t="s">
        <v>2090</v>
      </c>
      <c r="B3" s="566">
        <f>IF(C2="——",C50,ROUND(B2*10000/D3,0))</f>
        <v>28342</v>
      </c>
      <c r="C3" s="360" t="s">
        <v>2405</v>
      </c>
      <c r="D3" s="359">
        <f>'数据-汇总表'!F19</f>
        <v>24137.57</v>
      </c>
      <c r="E3" s="2108">
        <f>IF(D1="",'数据-汇总表'!E3,SUMIF('数据-汇总表'!$C19:$C33,D1,'数据-汇总表'!$E19:$E33))</f>
        <v>26834.3</v>
      </c>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ht="15">
      <c r="A4" s="361" t="s">
        <v>2406</v>
      </c>
      <c r="B4" s="362"/>
      <c r="C4" s="3442" t="s">
        <v>2407</v>
      </c>
      <c r="D4" s="3443"/>
      <c r="E4" s="3444" t="s">
        <v>2408</v>
      </c>
      <c r="F4" s="3445"/>
      <c r="G4" s="3442" t="s">
        <v>2409</v>
      </c>
      <c r="H4" s="3443"/>
      <c r="I4" s="3442" t="s">
        <v>2410</v>
      </c>
      <c r="J4" s="3443"/>
      <c r="K4" s="567" t="s">
        <v>2411</v>
      </c>
      <c r="L4" s="2911"/>
      <c r="M4" s="2912"/>
      <c r="N4" s="2912"/>
      <c r="O4" s="2912"/>
      <c r="P4" s="3446" t="s">
        <v>2412</v>
      </c>
      <c r="Q4" s="3447"/>
      <c r="R4" s="3425" t="s">
        <v>2408</v>
      </c>
      <c r="S4" s="3426"/>
      <c r="T4" s="3425" t="s">
        <v>2409</v>
      </c>
      <c r="U4" s="3426"/>
      <c r="V4" s="3454" t="s">
        <v>2410</v>
      </c>
      <c r="W4" s="3454"/>
      <c r="X4" s="2112"/>
      <c r="Y4" s="3425" t="s">
        <v>2412</v>
      </c>
      <c r="Z4" s="3426"/>
      <c r="AA4" s="3420" t="s">
        <v>2408</v>
      </c>
      <c r="AB4" s="3420" t="s">
        <v>2409</v>
      </c>
      <c r="AC4" s="3439" t="s">
        <v>2410</v>
      </c>
    </row>
    <row r="5" spans="1:29" ht="15">
      <c r="A5" s="364"/>
      <c r="B5" s="365"/>
      <c r="C5" s="3431" t="s">
        <v>2303</v>
      </c>
      <c r="D5" s="3432"/>
      <c r="E5" s="3429" t="s">
        <v>3171</v>
      </c>
      <c r="F5" s="3430"/>
      <c r="G5" s="3435" t="s">
        <v>3172</v>
      </c>
      <c r="H5" s="3432"/>
      <c r="I5" s="3435" t="s">
        <v>3173</v>
      </c>
      <c r="J5" s="3432"/>
      <c r="K5" s="567"/>
      <c r="L5" s="2911"/>
      <c r="M5" s="2912"/>
      <c r="N5" s="2912"/>
      <c r="O5" s="2912"/>
      <c r="P5" s="3448"/>
      <c r="Q5" s="3449"/>
      <c r="R5" s="3427"/>
      <c r="S5" s="3428"/>
      <c r="T5" s="3427"/>
      <c r="U5" s="3428"/>
      <c r="V5" s="3455"/>
      <c r="W5" s="3455"/>
      <c r="X5" s="1507"/>
      <c r="Y5" s="3427"/>
      <c r="Z5" s="3428"/>
      <c r="AA5" s="3421"/>
      <c r="AB5" s="3421"/>
      <c r="AC5" s="3440"/>
    </row>
    <row r="6" spans="1:29" ht="15.75" thickBot="1">
      <c r="A6" s="366"/>
      <c r="B6" s="367"/>
      <c r="C6" s="3433" t="s">
        <v>2307</v>
      </c>
      <c r="D6" s="3434"/>
      <c r="E6" s="3436" t="s">
        <v>2307</v>
      </c>
      <c r="F6" s="3437"/>
      <c r="G6" s="3433" t="s">
        <v>2307</v>
      </c>
      <c r="H6" s="3434"/>
      <c r="I6" s="3433" t="s">
        <v>2307</v>
      </c>
      <c r="J6" s="3434"/>
      <c r="K6" s="567" t="s">
        <v>2308</v>
      </c>
      <c r="L6" s="2911"/>
      <c r="M6" s="2912"/>
      <c r="N6" s="2912"/>
      <c r="O6" s="2912"/>
      <c r="P6" s="3450"/>
      <c r="Q6" s="3451"/>
      <c r="R6" s="3427"/>
      <c r="S6" s="3428"/>
      <c r="T6" s="3452"/>
      <c r="U6" s="3453"/>
      <c r="V6" s="3455"/>
      <c r="W6" s="3455"/>
      <c r="X6" s="1507"/>
      <c r="Y6" s="3452"/>
      <c r="Z6" s="3453"/>
      <c r="AA6" s="3422"/>
      <c r="AB6" s="3422"/>
      <c r="AC6" s="3441"/>
    </row>
    <row r="7" spans="1:29" s="113" customFormat="1" ht="15.75" thickBot="1">
      <c r="A7" s="368" t="s">
        <v>2309</v>
      </c>
      <c r="B7" s="369"/>
      <c r="C7" s="370">
        <f>'数据-取费表'!B2</f>
        <v>44645</v>
      </c>
      <c r="D7" s="371">
        <v>100</v>
      </c>
      <c r="E7" s="372">
        <v>44643</v>
      </c>
      <c r="F7" s="373">
        <f>SUMIF(59:59,YEAR(E7)&amp;"-"&amp;MONTH(E7),60:60)</f>
        <v>100</v>
      </c>
      <c r="G7" s="372">
        <v>44643</v>
      </c>
      <c r="H7" s="371">
        <f>SUMIF(59:59,YEAR(G7)&amp;"-"&amp;MONTH(G7),60:60)</f>
        <v>100</v>
      </c>
      <c r="I7" s="372">
        <v>44643</v>
      </c>
      <c r="J7" s="371">
        <f>SUMIF(59:59,YEAR(I7)&amp;"-"&amp;MONTH(I7),60:60)</f>
        <v>100</v>
      </c>
      <c r="K7" s="568"/>
      <c r="L7" s="2913"/>
      <c r="M7" s="2914"/>
      <c r="N7" s="2914"/>
      <c r="O7" s="2914"/>
      <c r="P7" s="3456" t="s">
        <v>2310</v>
      </c>
      <c r="Q7" s="3457"/>
      <c r="R7" s="709" t="s">
        <v>17</v>
      </c>
      <c r="S7" s="710">
        <f t="shared" ref="S7:S15" si="0">F7</f>
        <v>100</v>
      </c>
      <c r="T7" s="709" t="s">
        <v>17</v>
      </c>
      <c r="U7" s="710">
        <f t="shared" ref="U7:U15" si="1">H7</f>
        <v>100</v>
      </c>
      <c r="V7" s="709" t="s">
        <v>17</v>
      </c>
      <c r="W7" s="710">
        <f t="shared" ref="W7:W15" si="2">J7</f>
        <v>100</v>
      </c>
      <c r="X7" s="711"/>
      <c r="Y7" s="3423" t="s">
        <v>2310</v>
      </c>
      <c r="Z7" s="3424"/>
      <c r="AA7" s="712">
        <f>D7/F7</f>
        <v>1</v>
      </c>
      <c r="AB7" s="712">
        <f>D7/H7</f>
        <v>1</v>
      </c>
      <c r="AC7" s="2113">
        <f>D7/J7</f>
        <v>1</v>
      </c>
    </row>
    <row r="8" spans="1:29" s="113" customFormat="1" ht="15.75" thickBot="1">
      <c r="A8" s="368" t="s">
        <v>2311</v>
      </c>
      <c r="B8" s="369"/>
      <c r="C8" s="374" t="s">
        <v>2413</v>
      </c>
      <c r="D8" s="371">
        <v>100</v>
      </c>
      <c r="E8" s="3207" t="s">
        <v>3163</v>
      </c>
      <c r="F8" s="373">
        <f>SUMIF(62:62,E8,63:63)-SUMIF(62:62,C8,63:63)+100</f>
        <v>100</v>
      </c>
      <c r="G8" s="3207" t="s">
        <v>3163</v>
      </c>
      <c r="H8" s="371">
        <f>SUMIF(62:62,G8,63:63)-SUMIF(62:62,C8,63:63)+100</f>
        <v>100</v>
      </c>
      <c r="I8" s="3207" t="s">
        <v>3163</v>
      </c>
      <c r="J8" s="371">
        <f>SUMIF(62:62,I8,63:63)-SUMIF(62:62,C8,63:63)+100</f>
        <v>100</v>
      </c>
      <c r="K8" s="568"/>
      <c r="L8" s="2913"/>
      <c r="M8" s="2914"/>
      <c r="N8" s="2914"/>
      <c r="O8" s="2914"/>
      <c r="P8" s="3456" t="s">
        <v>2313</v>
      </c>
      <c r="Q8" s="3424"/>
      <c r="R8" s="709" t="s">
        <v>17</v>
      </c>
      <c r="S8" s="710">
        <f t="shared" si="0"/>
        <v>100</v>
      </c>
      <c r="T8" s="709" t="s">
        <v>17</v>
      </c>
      <c r="U8" s="710">
        <f t="shared" si="1"/>
        <v>100</v>
      </c>
      <c r="V8" s="709" t="s">
        <v>17</v>
      </c>
      <c r="W8" s="710">
        <f t="shared" si="2"/>
        <v>100</v>
      </c>
      <c r="X8" s="711"/>
      <c r="Y8" s="3423" t="s">
        <v>2313</v>
      </c>
      <c r="Z8" s="3424"/>
      <c r="AA8" s="712">
        <f t="shared" ref="AA8:AA47" si="3">D8/F8</f>
        <v>1</v>
      </c>
      <c r="AB8" s="712">
        <f t="shared" ref="AB8:AB47" si="4">D8/H8</f>
        <v>1</v>
      </c>
      <c r="AC8" s="2113">
        <f t="shared" ref="AC8:AC47" si="5">D8/J8</f>
        <v>1</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438" t="s">
        <v>2316</v>
      </c>
      <c r="Q9" s="1495" t="str">
        <f t="shared" ref="Q9:Q15" si="6">B9</f>
        <v>用途</v>
      </c>
      <c r="R9" s="709" t="s">
        <v>17</v>
      </c>
      <c r="S9" s="710">
        <f t="shared" si="0"/>
        <v>100</v>
      </c>
      <c r="T9" s="709" t="s">
        <v>17</v>
      </c>
      <c r="U9" s="710">
        <f t="shared" si="1"/>
        <v>100</v>
      </c>
      <c r="V9" s="709" t="s">
        <v>17</v>
      </c>
      <c r="W9" s="710">
        <f t="shared" si="2"/>
        <v>100</v>
      </c>
      <c r="X9" s="711"/>
      <c r="Y9" s="3393" t="s">
        <v>2317</v>
      </c>
      <c r="Z9" s="55" t="str">
        <f t="shared" ref="Z9:Z15" si="7">Q9</f>
        <v>用途</v>
      </c>
      <c r="AA9" s="712">
        <f t="shared" si="3"/>
        <v>1</v>
      </c>
      <c r="AB9" s="712">
        <f t="shared" si="4"/>
        <v>1</v>
      </c>
      <c r="AC9" s="2113">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438"/>
      <c r="Q10" s="1495"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2113">
        <f t="shared" si="5"/>
        <v>1</v>
      </c>
    </row>
    <row r="11" spans="1:29" ht="15">
      <c r="A11" s="387"/>
      <c r="B11" s="381" t="s">
        <v>2319</v>
      </c>
      <c r="C11" s="388"/>
      <c r="D11" s="132">
        <v>100</v>
      </c>
      <c r="E11" s="388"/>
      <c r="F11" s="132">
        <f>LOOKUP(E11,69:69,70:70)-LOOKUP(C11,69:69,70:70)+100</f>
        <v>100</v>
      </c>
      <c r="G11" s="389"/>
      <c r="H11" s="132">
        <f>LOOKUP(G11,69:69,70:70)-LOOKUP(C11,69:69,70:70)+100</f>
        <v>100</v>
      </c>
      <c r="I11" s="388"/>
      <c r="J11" s="132">
        <f>LOOKUP(I11,69:69,70:70)-LOOKUP(C11,69:69,70:70)+100</f>
        <v>100</v>
      </c>
      <c r="K11" s="569"/>
      <c r="L11" s="2917"/>
      <c r="M11" s="2912"/>
      <c r="N11" s="2912"/>
      <c r="O11" s="2912"/>
      <c r="P11" s="3438"/>
      <c r="Q11" s="1495" t="str">
        <f t="shared" si="6"/>
        <v>容积率</v>
      </c>
      <c r="R11" s="709" t="s">
        <v>17</v>
      </c>
      <c r="S11" s="710">
        <f t="shared" si="0"/>
        <v>100</v>
      </c>
      <c r="T11" s="709" t="s">
        <v>17</v>
      </c>
      <c r="U11" s="710">
        <f t="shared" si="1"/>
        <v>100</v>
      </c>
      <c r="V11" s="709" t="s">
        <v>17</v>
      </c>
      <c r="W11" s="710">
        <f t="shared" si="2"/>
        <v>100</v>
      </c>
      <c r="X11" s="711"/>
      <c r="Y11" s="3393"/>
      <c r="Z11" s="55" t="str">
        <f t="shared" si="7"/>
        <v>容积率</v>
      </c>
      <c r="AA11" s="712">
        <f t="shared" si="3"/>
        <v>1</v>
      </c>
      <c r="AB11" s="712">
        <f t="shared" si="4"/>
        <v>1</v>
      </c>
      <c r="AC11" s="2113">
        <f t="shared" si="5"/>
        <v>1</v>
      </c>
    </row>
    <row r="12" spans="1:29" s="113" customFormat="1" ht="15">
      <c r="A12" s="390"/>
      <c r="B12" s="2047">
        <v>111</v>
      </c>
      <c r="C12" s="391"/>
      <c r="D12" s="392">
        <v>100</v>
      </c>
      <c r="E12" s="391"/>
      <c r="F12" s="132">
        <f>SUMIF(71:71,E12,72:72)-SUMIF(71:71,C12,72:72)+100</f>
        <v>100</v>
      </c>
      <c r="G12" s="2114"/>
      <c r="H12" s="132">
        <f>SUMIF(71:71,G12,72:72)-SUMIF(71:71,C12,72:72)+100</f>
        <v>100</v>
      </c>
      <c r="I12" s="391"/>
      <c r="J12" s="132">
        <f>SUMIF(71:71,I12,72:72)-SUMIF(71:71,C12,72:72)+100</f>
        <v>100</v>
      </c>
      <c r="K12" s="570"/>
      <c r="L12" s="2913"/>
      <c r="M12" s="2914"/>
      <c r="N12" s="2914"/>
      <c r="O12" s="2914"/>
      <c r="P12" s="3438"/>
      <c r="Q12" s="1495">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2113">
        <f>D12/J12</f>
        <v>1</v>
      </c>
    </row>
    <row r="13" spans="1:29" ht="15">
      <c r="A13" s="387"/>
      <c r="B13" s="2047">
        <v>111</v>
      </c>
      <c r="C13" s="393"/>
      <c r="D13" s="394">
        <v>100</v>
      </c>
      <c r="E13" s="391"/>
      <c r="F13" s="132">
        <f>SUMIF(73:73,E13,74:74)-SUMIF(73:73,C13,74:74)+100</f>
        <v>100</v>
      </c>
      <c r="G13" s="2114"/>
      <c r="H13" s="394">
        <f>SUMIF(73:73,G13,74:74)-SUMIF(73:73,C13,74:74)+100</f>
        <v>100</v>
      </c>
      <c r="I13" s="391"/>
      <c r="J13" s="394">
        <f>SUMIF(73:73,I13,74:74)-SUMIF(73:73,C13,74:74)+100</f>
        <v>100</v>
      </c>
      <c r="K13" s="570"/>
      <c r="L13" s="2918"/>
      <c r="M13" s="2912"/>
      <c r="N13" s="2912"/>
      <c r="O13" s="2912"/>
      <c r="P13" s="3438"/>
      <c r="Q13" s="1495">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2113">
        <f t="shared" si="5"/>
        <v>1</v>
      </c>
    </row>
    <row r="14" spans="1:29" ht="15.75" thickBot="1">
      <c r="A14" s="395"/>
      <c r="B14" s="2049">
        <v>111</v>
      </c>
      <c r="C14" s="396"/>
      <c r="D14" s="397">
        <v>100</v>
      </c>
      <c r="E14" s="584"/>
      <c r="F14" s="397">
        <f>SUMIF(75:75,E14,76:76)-SUMIF(75:75,C14,76:76)+100</f>
        <v>100</v>
      </c>
      <c r="G14" s="2114"/>
      <c r="H14" s="397">
        <f>SUMIF(75:75,G14,76:76)-SUMIF(75:75,C14,76:76)+100</f>
        <v>100</v>
      </c>
      <c r="I14" s="391"/>
      <c r="J14" s="397">
        <f>SUMIF(75:75,I14,76:76)-SUMIF(75:75,C14,76:76)+100</f>
        <v>100</v>
      </c>
      <c r="K14" s="570"/>
      <c r="L14" s="2918"/>
      <c r="M14" s="2912"/>
      <c r="N14" s="2912"/>
      <c r="O14" s="2912"/>
      <c r="P14" s="3438"/>
      <c r="Q14" s="1495">
        <f t="shared" si="6"/>
        <v>111</v>
      </c>
      <c r="R14" s="709" t="s">
        <v>17</v>
      </c>
      <c r="S14" s="710">
        <f t="shared" si="0"/>
        <v>100</v>
      </c>
      <c r="T14" s="709" t="s">
        <v>17</v>
      </c>
      <c r="U14" s="710">
        <f t="shared" si="1"/>
        <v>100</v>
      </c>
      <c r="V14" s="709" t="s">
        <v>17</v>
      </c>
      <c r="W14" s="710">
        <f t="shared" si="2"/>
        <v>100</v>
      </c>
      <c r="X14" s="711"/>
      <c r="Y14" s="3393"/>
      <c r="Z14" s="55">
        <f t="shared" si="7"/>
        <v>111</v>
      </c>
      <c r="AA14" s="712">
        <f t="shared" si="3"/>
        <v>1</v>
      </c>
      <c r="AB14" s="712">
        <f t="shared" si="4"/>
        <v>1</v>
      </c>
      <c r="AC14" s="2113">
        <f t="shared" si="5"/>
        <v>1</v>
      </c>
    </row>
    <row r="15" spans="1:29" ht="71.25">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458" t="s">
        <v>2321</v>
      </c>
      <c r="Q15" s="1504" t="str">
        <f t="shared" si="6"/>
        <v>办公集聚程度</v>
      </c>
      <c r="R15" s="713" t="s">
        <v>17</v>
      </c>
      <c r="S15" s="714">
        <f t="shared" si="0"/>
        <v>100</v>
      </c>
      <c r="T15" s="713" t="s">
        <v>17</v>
      </c>
      <c r="U15" s="714">
        <f t="shared" si="1"/>
        <v>100</v>
      </c>
      <c r="V15" s="713" t="s">
        <v>17</v>
      </c>
      <c r="W15" s="714">
        <f t="shared" si="2"/>
        <v>100</v>
      </c>
      <c r="X15" s="1507"/>
      <c r="Y15" s="3460" t="s">
        <v>2321</v>
      </c>
      <c r="Z15" s="1508" t="str">
        <f t="shared" si="7"/>
        <v>办公集聚程度</v>
      </c>
      <c r="AA15" s="1505">
        <f t="shared" si="3"/>
        <v>1</v>
      </c>
      <c r="AB15" s="1505">
        <f t="shared" si="4"/>
        <v>1</v>
      </c>
      <c r="AC15" s="2116">
        <f t="shared" si="5"/>
        <v>1</v>
      </c>
    </row>
    <row r="16" spans="1:29" ht="15">
      <c r="A16" s="387"/>
      <c r="B16" s="586"/>
      <c r="C16" s="3208" t="s">
        <v>3164</v>
      </c>
      <c r="D16" s="407"/>
      <c r="E16" s="3209" t="s">
        <v>3164</v>
      </c>
      <c r="F16" s="407"/>
      <c r="G16" s="3208" t="s">
        <v>3164</v>
      </c>
      <c r="H16" s="409"/>
      <c r="I16" s="3209" t="s">
        <v>3164</v>
      </c>
      <c r="J16" s="407"/>
      <c r="K16" s="572"/>
      <c r="L16" s="2918"/>
      <c r="M16" s="2912"/>
      <c r="N16" s="2912"/>
      <c r="O16" s="2912"/>
      <c r="P16" s="3459"/>
      <c r="Q16" s="1504"/>
      <c r="R16" s="713"/>
      <c r="S16" s="714"/>
      <c r="T16" s="713"/>
      <c r="U16" s="714"/>
      <c r="V16" s="713"/>
      <c r="W16" s="714"/>
      <c r="X16" s="1507"/>
      <c r="Y16" s="3461"/>
      <c r="Z16" s="1508"/>
      <c r="AA16" s="1505">
        <v>1</v>
      </c>
      <c r="AB16" s="1505">
        <v>1</v>
      </c>
      <c r="AC16" s="2116">
        <v>1</v>
      </c>
    </row>
    <row r="17" spans="1:29" ht="71.25">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459"/>
      <c r="Q17" s="1504" t="str">
        <f>B17</f>
        <v>交通便捷度</v>
      </c>
      <c r="R17" s="713" t="s">
        <v>17</v>
      </c>
      <c r="S17" s="714">
        <f>F17</f>
        <v>100</v>
      </c>
      <c r="T17" s="713" t="s">
        <v>17</v>
      </c>
      <c r="U17" s="714">
        <f>H17</f>
        <v>100</v>
      </c>
      <c r="V17" s="713" t="s">
        <v>17</v>
      </c>
      <c r="W17" s="714">
        <f>J17</f>
        <v>100</v>
      </c>
      <c r="X17" s="1507"/>
      <c r="Y17" s="3461"/>
      <c r="Z17" s="1508" t="str">
        <f>Q17</f>
        <v>交通便捷度</v>
      </c>
      <c r="AA17" s="1505">
        <f t="shared" si="3"/>
        <v>1</v>
      </c>
      <c r="AB17" s="1505">
        <f t="shared" si="4"/>
        <v>1</v>
      </c>
      <c r="AC17" s="2116">
        <f t="shared" si="5"/>
        <v>1</v>
      </c>
    </row>
    <row r="18" spans="1:29" ht="15">
      <c r="A18" s="387"/>
      <c r="B18" s="588"/>
      <c r="C18" s="3210" t="s">
        <v>3164</v>
      </c>
      <c r="D18" s="409"/>
      <c r="E18" s="3211" t="s">
        <v>3164</v>
      </c>
      <c r="F18" s="409"/>
      <c r="G18" s="3212" t="s">
        <v>3164</v>
      </c>
      <c r="H18" s="407"/>
      <c r="I18" s="3212" t="s">
        <v>3164</v>
      </c>
      <c r="J18" s="407"/>
      <c r="K18" s="572"/>
      <c r="L18" s="2918"/>
      <c r="M18" s="2912"/>
      <c r="N18" s="2912"/>
      <c r="O18" s="2912"/>
      <c r="P18" s="3459"/>
      <c r="Q18" s="1504"/>
      <c r="R18" s="713"/>
      <c r="S18" s="714"/>
      <c r="T18" s="713"/>
      <c r="U18" s="714"/>
      <c r="V18" s="713"/>
      <c r="W18" s="714"/>
      <c r="X18" s="1507"/>
      <c r="Y18" s="3461"/>
      <c r="Z18" s="1508"/>
      <c r="AA18" s="1505">
        <v>1</v>
      </c>
      <c r="AB18" s="1505">
        <v>1</v>
      </c>
      <c r="AC18" s="2116">
        <v>1</v>
      </c>
    </row>
    <row r="19" spans="1:29" ht="42.75">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459"/>
      <c r="Q19" s="1504" t="str">
        <f>B19</f>
        <v>公共配套设施</v>
      </c>
      <c r="R19" s="713" t="s">
        <v>17</v>
      </c>
      <c r="S19" s="714">
        <f>F19</f>
        <v>100</v>
      </c>
      <c r="T19" s="713" t="s">
        <v>17</v>
      </c>
      <c r="U19" s="714">
        <f>H19</f>
        <v>100</v>
      </c>
      <c r="V19" s="713" t="s">
        <v>17</v>
      </c>
      <c r="W19" s="714">
        <f>J19</f>
        <v>100</v>
      </c>
      <c r="X19" s="1507"/>
      <c r="Y19" s="3461"/>
      <c r="Z19" s="1508" t="str">
        <f>Q19</f>
        <v>公共配套设施</v>
      </c>
      <c r="AA19" s="1505">
        <f t="shared" si="3"/>
        <v>1</v>
      </c>
      <c r="AB19" s="1505">
        <f t="shared" si="4"/>
        <v>1</v>
      </c>
      <c r="AC19" s="2116">
        <f t="shared" si="5"/>
        <v>1</v>
      </c>
    </row>
    <row r="20" spans="1:29" ht="15">
      <c r="A20" s="387"/>
      <c r="B20" s="588"/>
      <c r="C20" s="3208" t="s">
        <v>3164</v>
      </c>
      <c r="D20" s="407"/>
      <c r="E20" s="3213" t="s">
        <v>3164</v>
      </c>
      <c r="F20" s="407"/>
      <c r="G20" s="3214" t="s">
        <v>3164</v>
      </c>
      <c r="H20" s="407"/>
      <c r="I20" s="3214" t="s">
        <v>3164</v>
      </c>
      <c r="J20" s="407"/>
      <c r="K20" s="572"/>
      <c r="L20" s="2918"/>
      <c r="M20" s="2912"/>
      <c r="N20" s="2912"/>
      <c r="O20" s="2912"/>
      <c r="P20" s="3459"/>
      <c r="Q20" s="1504"/>
      <c r="R20" s="713"/>
      <c r="S20" s="714"/>
      <c r="T20" s="713"/>
      <c r="U20" s="714"/>
      <c r="V20" s="713"/>
      <c r="W20" s="714"/>
      <c r="X20" s="1507"/>
      <c r="Y20" s="3461"/>
      <c r="Z20" s="1508"/>
      <c r="AA20" s="1505">
        <v>1</v>
      </c>
      <c r="AB20" s="1505">
        <v>1</v>
      </c>
      <c r="AC20" s="2116">
        <v>1</v>
      </c>
    </row>
    <row r="21" spans="1:29" ht="28.5">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459"/>
      <c r="Q21" s="1504" t="str">
        <f>B21</f>
        <v>基础设施水平</v>
      </c>
      <c r="R21" s="713" t="s">
        <v>17</v>
      </c>
      <c r="S21" s="714">
        <f>F21</f>
        <v>100</v>
      </c>
      <c r="T21" s="713" t="s">
        <v>17</v>
      </c>
      <c r="U21" s="714">
        <f>H21</f>
        <v>100</v>
      </c>
      <c r="V21" s="713" t="s">
        <v>17</v>
      </c>
      <c r="W21" s="714">
        <f>J21</f>
        <v>100</v>
      </c>
      <c r="X21" s="1507"/>
      <c r="Y21" s="3461"/>
      <c r="Z21" s="1508" t="str">
        <f>Q21</f>
        <v>基础设施水平</v>
      </c>
      <c r="AA21" s="1505">
        <f t="shared" ref="AA21" si="8">D21/F21</f>
        <v>1</v>
      </c>
      <c r="AB21" s="1505">
        <f t="shared" ref="AB21" si="9">D21/H21</f>
        <v>1</v>
      </c>
      <c r="AC21" s="2116">
        <f t="shared" ref="AC21" si="10">D21/J21</f>
        <v>1</v>
      </c>
    </row>
    <row r="22" spans="1:29" ht="15">
      <c r="A22" s="387"/>
      <c r="B22" s="589"/>
      <c r="C22" s="3210" t="s">
        <v>3165</v>
      </c>
      <c r="D22" s="407"/>
      <c r="E22" s="3209" t="s">
        <v>3166</v>
      </c>
      <c r="F22" s="407"/>
      <c r="G22" s="3208" t="s">
        <v>3167</v>
      </c>
      <c r="H22" s="407"/>
      <c r="I22" s="3208" t="s">
        <v>3165</v>
      </c>
      <c r="J22" s="407"/>
      <c r="K22" s="1262"/>
      <c r="L22" s="2918"/>
      <c r="M22" s="2912"/>
      <c r="N22" s="2912"/>
      <c r="O22" s="2912"/>
      <c r="P22" s="3459"/>
      <c r="Q22" s="1504"/>
      <c r="R22" s="713"/>
      <c r="S22" s="714"/>
      <c r="T22" s="713"/>
      <c r="U22" s="714"/>
      <c r="V22" s="713"/>
      <c r="W22" s="714"/>
      <c r="X22" s="1507"/>
      <c r="Y22" s="3461"/>
      <c r="Z22" s="1508"/>
      <c r="AA22" s="1505">
        <v>1</v>
      </c>
      <c r="AB22" s="1505">
        <v>1</v>
      </c>
      <c r="AC22" s="2116">
        <v>1</v>
      </c>
    </row>
    <row r="23" spans="1:29" ht="42.75">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459"/>
      <c r="Q23" s="1504" t="str">
        <f>B23</f>
        <v>环境质量</v>
      </c>
      <c r="R23" s="713" t="s">
        <v>17</v>
      </c>
      <c r="S23" s="714">
        <f>F23</f>
        <v>100</v>
      </c>
      <c r="T23" s="713" t="s">
        <v>17</v>
      </c>
      <c r="U23" s="714">
        <f>H23</f>
        <v>100</v>
      </c>
      <c r="V23" s="713" t="s">
        <v>17</v>
      </c>
      <c r="W23" s="714">
        <f>J23</f>
        <v>100</v>
      </c>
      <c r="X23" s="1507"/>
      <c r="Y23" s="3461"/>
      <c r="Z23" s="1508" t="str">
        <f>Q23</f>
        <v>环境质量</v>
      </c>
      <c r="AA23" s="1505">
        <f t="shared" si="3"/>
        <v>1</v>
      </c>
      <c r="AB23" s="1505">
        <f t="shared" si="4"/>
        <v>1</v>
      </c>
      <c r="AC23" s="2116">
        <f t="shared" si="5"/>
        <v>1</v>
      </c>
    </row>
    <row r="24" spans="1:29" ht="15">
      <c r="A24" s="387"/>
      <c r="B24" s="589"/>
      <c r="C24" s="3208" t="s">
        <v>3164</v>
      </c>
      <c r="D24" s="407"/>
      <c r="E24" s="3213" t="s">
        <v>3164</v>
      </c>
      <c r="F24" s="407"/>
      <c r="G24" s="3214" t="s">
        <v>3164</v>
      </c>
      <c r="H24" s="407"/>
      <c r="I24" s="3214" t="s">
        <v>3164</v>
      </c>
      <c r="J24" s="407"/>
      <c r="K24" s="572"/>
      <c r="L24" s="2918"/>
      <c r="M24" s="2912"/>
      <c r="N24" s="2912"/>
      <c r="O24" s="2912"/>
      <c r="P24" s="3459"/>
      <c r="Q24" s="1504"/>
      <c r="R24" s="713"/>
      <c r="S24" s="714"/>
      <c r="T24" s="713"/>
      <c r="U24" s="714"/>
      <c r="V24" s="713"/>
      <c r="W24" s="714"/>
      <c r="X24" s="1507"/>
      <c r="Y24" s="3461"/>
      <c r="Z24" s="1508"/>
      <c r="AA24" s="1505">
        <v>1</v>
      </c>
      <c r="AB24" s="1505">
        <v>1</v>
      </c>
      <c r="AC24" s="2116">
        <v>1</v>
      </c>
    </row>
    <row r="25" spans="1:29" ht="27">
      <c r="A25" s="364"/>
      <c r="B25" s="587" t="s">
        <v>2452</v>
      </c>
      <c r="C25" s="2062"/>
      <c r="D25" s="394">
        <v>100</v>
      </c>
      <c r="E25" s="393"/>
      <c r="F25" s="394">
        <f>SUMIF(87:87,E26,88:88)-SUMIF(87:87,C26,88:88)+100</f>
        <v>100</v>
      </c>
      <c r="G25" s="2062"/>
      <c r="H25" s="394">
        <f>SUMIF(87:87,G26,88:88)-SUMIF(87:87,C26,88:88)+100</f>
        <v>100</v>
      </c>
      <c r="I25" s="393"/>
      <c r="J25" s="394">
        <f>SUMIF(87:87,I26,88:88)-SUMIF(87:87,C26,88:88)+100</f>
        <v>100</v>
      </c>
      <c r="K25" s="571"/>
      <c r="L25" s="2918"/>
      <c r="M25" s="2912"/>
      <c r="N25" s="2912"/>
      <c r="O25" s="2912"/>
      <c r="P25" s="3459"/>
      <c r="Q25" s="1504" t="str">
        <f>B25</f>
        <v>毗邻道路的类型与等级</v>
      </c>
      <c r="R25" s="713" t="s">
        <v>17</v>
      </c>
      <c r="S25" s="714">
        <f>F25</f>
        <v>100</v>
      </c>
      <c r="T25" s="713" t="s">
        <v>17</v>
      </c>
      <c r="U25" s="714">
        <f>H25</f>
        <v>100</v>
      </c>
      <c r="V25" s="713" t="s">
        <v>17</v>
      </c>
      <c r="W25" s="714">
        <f>J25</f>
        <v>100</v>
      </c>
      <c r="X25" s="1507"/>
      <c r="Y25" s="3461"/>
      <c r="Z25" s="1508" t="str">
        <f>Q25</f>
        <v>毗邻道路的类型与等级</v>
      </c>
      <c r="AA25" s="1505">
        <f t="shared" si="3"/>
        <v>1</v>
      </c>
      <c r="AB25" s="1505">
        <f t="shared" si="4"/>
        <v>1</v>
      </c>
      <c r="AC25" s="2116">
        <f t="shared" si="5"/>
        <v>1</v>
      </c>
    </row>
    <row r="26" spans="1:29" ht="15">
      <c r="A26" s="364"/>
      <c r="B26" s="588"/>
      <c r="C26" s="590"/>
      <c r="D26" s="394"/>
      <c r="E26" s="573"/>
      <c r="F26" s="394"/>
      <c r="G26" s="590"/>
      <c r="H26" s="394"/>
      <c r="I26" s="573"/>
      <c r="J26" s="394"/>
      <c r="K26" s="572"/>
      <c r="L26" s="2918"/>
      <c r="M26" s="2912"/>
      <c r="N26" s="2912"/>
      <c r="O26" s="2912"/>
      <c r="P26" s="3459"/>
      <c r="Q26" s="1504"/>
      <c r="R26" s="713"/>
      <c r="S26" s="714"/>
      <c r="T26" s="713"/>
      <c r="U26" s="714"/>
      <c r="V26" s="713"/>
      <c r="W26" s="714"/>
      <c r="X26" s="1507"/>
      <c r="Y26" s="3461"/>
      <c r="Z26" s="1508"/>
      <c r="AA26" s="1505">
        <v>1</v>
      </c>
      <c r="AB26" s="1505">
        <v>1</v>
      </c>
      <c r="AC26" s="2116">
        <v>1</v>
      </c>
    </row>
    <row r="27" spans="1:29" ht="15">
      <c r="A27" s="387"/>
      <c r="B27" s="588" t="s">
        <v>2420</v>
      </c>
      <c r="C27" s="3215" t="s">
        <v>3168</v>
      </c>
      <c r="D27" s="394">
        <v>100</v>
      </c>
      <c r="E27" s="3216" t="s">
        <v>3168</v>
      </c>
      <c r="F27" s="394">
        <f>SUMIF(89:89,E27,90:90)-SUMIF(89:89,C27,90:90)+100</f>
        <v>100</v>
      </c>
      <c r="G27" s="3215" t="s">
        <v>3169</v>
      </c>
      <c r="H27" s="394">
        <f>SUMIF(89:89,G27,90:90)-SUMIF(89:89,C27,90:90)+100</f>
        <v>105</v>
      </c>
      <c r="I27" s="3216" t="s">
        <v>3170</v>
      </c>
      <c r="J27" s="394">
        <f>SUMIF(89:89,I27,90:90)-SUMIF(89:89,C27,90:90)+100</f>
        <v>95</v>
      </c>
      <c r="K27" s="569">
        <v>5</v>
      </c>
      <c r="L27" s="2918"/>
      <c r="M27" s="2912"/>
      <c r="N27" s="2912"/>
      <c r="O27" s="2912"/>
      <c r="P27" s="3459"/>
      <c r="Q27" s="1504" t="str">
        <f t="shared" ref="Q27:Q47" si="11">B27</f>
        <v>楼层</v>
      </c>
      <c r="R27" s="713" t="s">
        <v>17</v>
      </c>
      <c r="S27" s="714">
        <f>F27</f>
        <v>100</v>
      </c>
      <c r="T27" s="713" t="s">
        <v>17</v>
      </c>
      <c r="U27" s="714">
        <f>H27</f>
        <v>105</v>
      </c>
      <c r="V27" s="713" t="s">
        <v>17</v>
      </c>
      <c r="W27" s="714">
        <f>J27</f>
        <v>95</v>
      </c>
      <c r="X27" s="1507"/>
      <c r="Y27" s="3461"/>
      <c r="Z27" s="1508" t="str">
        <f>Q27</f>
        <v>楼层</v>
      </c>
      <c r="AA27" s="1505">
        <f t="shared" si="3"/>
        <v>1</v>
      </c>
      <c r="AB27" s="1505">
        <f t="shared" si="4"/>
        <v>0.95238095238095233</v>
      </c>
      <c r="AC27" s="2116">
        <f t="shared" si="5"/>
        <v>1.0526315789473684</v>
      </c>
    </row>
    <row r="28" spans="1:29" s="113" customFormat="1" ht="15">
      <c r="A28" s="390"/>
      <c r="B28" s="587" t="s">
        <v>2453</v>
      </c>
      <c r="C28" s="2118"/>
      <c r="D28" s="421">
        <v>100</v>
      </c>
      <c r="E28" s="2110"/>
      <c r="F28" s="421">
        <f>SUMIF(91:91,E28,92:92)-SUMIF(91:91,C28,92:92)+100</f>
        <v>100</v>
      </c>
      <c r="G28" s="2118"/>
      <c r="H28" s="421">
        <f>SUMIF(91:91,G28,92:92)-SUMIF(91:91,C28,92:92)+100</f>
        <v>100</v>
      </c>
      <c r="I28" s="2110"/>
      <c r="J28" s="421">
        <f>SUMIF(91:91,I28,92:92)-SUMIF(91:91,C28,92:92)+100</f>
        <v>100</v>
      </c>
      <c r="K28" s="569"/>
      <c r="L28" s="2913"/>
      <c r="M28" s="2914"/>
      <c r="N28" s="2914"/>
      <c r="O28" s="2914"/>
      <c r="P28" s="3459"/>
      <c r="Q28" s="1495" t="str">
        <f t="shared" si="11"/>
        <v>朝向</v>
      </c>
      <c r="R28" s="709" t="s">
        <v>17</v>
      </c>
      <c r="S28" s="710">
        <f>F28</f>
        <v>100</v>
      </c>
      <c r="T28" s="709" t="s">
        <v>17</v>
      </c>
      <c r="U28" s="710">
        <f>H28</f>
        <v>100</v>
      </c>
      <c r="V28" s="709" t="s">
        <v>17</v>
      </c>
      <c r="W28" s="710">
        <f>J28</f>
        <v>100</v>
      </c>
      <c r="X28" s="711"/>
      <c r="Y28" s="3461"/>
      <c r="Z28" s="55" t="str">
        <f>Q28</f>
        <v>朝向</v>
      </c>
      <c r="AA28" s="1505">
        <f>D28/F28</f>
        <v>1</v>
      </c>
      <c r="AB28" s="1505">
        <f>D28/H28</f>
        <v>1</v>
      </c>
      <c r="AC28" s="2116">
        <f>D28/J28</f>
        <v>1</v>
      </c>
    </row>
    <row r="29" spans="1:29" ht="15">
      <c r="A29" s="387"/>
      <c r="B29" s="2119">
        <v>111</v>
      </c>
      <c r="C29" s="2062"/>
      <c r="D29" s="394">
        <v>100</v>
      </c>
      <c r="E29" s="391"/>
      <c r="F29" s="394">
        <f>SUMIF(93:93,E29,94:94)-SUMIF(93:93,C29,94:94)+100</f>
        <v>100</v>
      </c>
      <c r="G29" s="2114"/>
      <c r="H29" s="394">
        <f>SUMIF(93:93,G29,94:94)-SUMIF(93:93,C29,94:94)+100</f>
        <v>100</v>
      </c>
      <c r="I29" s="391"/>
      <c r="J29" s="394">
        <f>SUMIF(93:93,I29,94:94)-SUMIF(93:93,C29,94:94)+100</f>
        <v>100</v>
      </c>
      <c r="K29" s="570"/>
      <c r="L29" s="2918"/>
      <c r="M29" s="2912"/>
      <c r="N29" s="2912"/>
      <c r="O29" s="2912"/>
      <c r="P29" s="3459"/>
      <c r="Q29" s="1504">
        <f t="shared" si="11"/>
        <v>111</v>
      </c>
      <c r="R29" s="713" t="s">
        <v>17</v>
      </c>
      <c r="S29" s="714">
        <f t="shared" ref="S29:S47" si="12">F29</f>
        <v>100</v>
      </c>
      <c r="T29" s="713" t="s">
        <v>17</v>
      </c>
      <c r="U29" s="714">
        <f t="shared" ref="U29:U47" si="13">H29</f>
        <v>100</v>
      </c>
      <c r="V29" s="713" t="s">
        <v>17</v>
      </c>
      <c r="W29" s="714">
        <f t="shared" ref="W29:W47" si="14">J29</f>
        <v>100</v>
      </c>
      <c r="X29" s="1507"/>
      <c r="Y29" s="3461"/>
      <c r="Z29" s="1508">
        <f t="shared" ref="Z29:Z47" si="15">Q29</f>
        <v>111</v>
      </c>
      <c r="AA29" s="1505">
        <f t="shared" si="3"/>
        <v>1</v>
      </c>
      <c r="AB29" s="1505">
        <f t="shared" si="4"/>
        <v>1</v>
      </c>
      <c r="AC29" s="2116">
        <f t="shared" si="5"/>
        <v>1</v>
      </c>
    </row>
    <row r="30" spans="1:29" ht="15">
      <c r="A30" s="387"/>
      <c r="B30" s="2119">
        <v>111</v>
      </c>
      <c r="C30" s="2062"/>
      <c r="D30" s="394">
        <v>100</v>
      </c>
      <c r="E30" s="391"/>
      <c r="F30" s="394">
        <f>SUMIF(95:95,E30,96:96)-SUMIF(95:95,C30,96:96)+100</f>
        <v>100</v>
      </c>
      <c r="G30" s="2114"/>
      <c r="H30" s="394">
        <f>SUMIF(95:95,G30,96:96)-SUMIF(95:95,C30,96:96)+100</f>
        <v>100</v>
      </c>
      <c r="I30" s="391"/>
      <c r="J30" s="394">
        <f>SUMIF(95:95,I30,96:96)-SUMIF(95:95,C30,96:96)+100</f>
        <v>100</v>
      </c>
      <c r="K30" s="570"/>
      <c r="L30" s="2918"/>
      <c r="M30" s="2912"/>
      <c r="N30" s="2912"/>
      <c r="O30" s="2912"/>
      <c r="P30" s="3459"/>
      <c r="Q30" s="1504">
        <f t="shared" si="11"/>
        <v>111</v>
      </c>
      <c r="R30" s="713" t="s">
        <v>17</v>
      </c>
      <c r="S30" s="714">
        <f t="shared" si="12"/>
        <v>100</v>
      </c>
      <c r="T30" s="713" t="s">
        <v>17</v>
      </c>
      <c r="U30" s="714">
        <f t="shared" si="13"/>
        <v>100</v>
      </c>
      <c r="V30" s="713" t="s">
        <v>17</v>
      </c>
      <c r="W30" s="714">
        <f t="shared" si="14"/>
        <v>100</v>
      </c>
      <c r="X30" s="1507"/>
      <c r="Y30" s="3461"/>
      <c r="Z30" s="1508">
        <f t="shared" si="15"/>
        <v>111</v>
      </c>
      <c r="AA30" s="1505">
        <f t="shared" si="3"/>
        <v>1</v>
      </c>
      <c r="AB30" s="1505">
        <f t="shared" si="4"/>
        <v>1</v>
      </c>
      <c r="AC30" s="2116">
        <f t="shared" si="5"/>
        <v>1</v>
      </c>
    </row>
    <row r="31" spans="1:29" ht="15">
      <c r="A31" s="387"/>
      <c r="B31" s="2119">
        <v>111</v>
      </c>
      <c r="C31" s="2062"/>
      <c r="D31" s="394">
        <v>100</v>
      </c>
      <c r="E31" s="391"/>
      <c r="F31" s="394">
        <f>SUMIF(97:97,E31,98:98)-SUMIF(97:97,C31,98:98)+100</f>
        <v>100</v>
      </c>
      <c r="G31" s="2114"/>
      <c r="H31" s="394">
        <f>SUMIF(97:97,G31,98:98)-SUMIF(97:97,C31,98:98)+100</f>
        <v>100</v>
      </c>
      <c r="I31" s="391"/>
      <c r="J31" s="394">
        <f>SUMIF(97:97,I31,98:98)-SUMIF(97:97,C31,98:98)+100</f>
        <v>100</v>
      </c>
      <c r="K31" s="570"/>
      <c r="L31" s="2918"/>
      <c r="M31" s="2912"/>
      <c r="N31" s="2912"/>
      <c r="O31" s="2912"/>
      <c r="P31" s="3459"/>
      <c r="Q31" s="1504">
        <f t="shared" si="11"/>
        <v>111</v>
      </c>
      <c r="R31" s="713" t="s">
        <v>17</v>
      </c>
      <c r="S31" s="714">
        <f t="shared" si="12"/>
        <v>100</v>
      </c>
      <c r="T31" s="713" t="s">
        <v>17</v>
      </c>
      <c r="U31" s="714">
        <f t="shared" si="13"/>
        <v>100</v>
      </c>
      <c r="V31" s="713" t="s">
        <v>17</v>
      </c>
      <c r="W31" s="714">
        <f t="shared" si="14"/>
        <v>100</v>
      </c>
      <c r="X31" s="1507"/>
      <c r="Y31" s="3461"/>
      <c r="Z31" s="1508">
        <f t="shared" si="15"/>
        <v>111</v>
      </c>
      <c r="AA31" s="1505">
        <f t="shared" si="3"/>
        <v>1</v>
      </c>
      <c r="AB31" s="1505">
        <f t="shared" si="4"/>
        <v>1</v>
      </c>
      <c r="AC31" s="2116">
        <f t="shared" si="5"/>
        <v>1</v>
      </c>
    </row>
    <row r="32" spans="1:29" ht="15.75" thickBot="1">
      <c r="A32" s="395"/>
      <c r="B32" s="591">
        <v>111</v>
      </c>
      <c r="C32" s="2063"/>
      <c r="D32" s="397">
        <v>100</v>
      </c>
      <c r="E32" s="584"/>
      <c r="F32" s="397">
        <f>SUMIF(99:99,E32,100:100)-SUMIF(99:99,C32,100:100)+100</f>
        <v>100</v>
      </c>
      <c r="G32" s="2114"/>
      <c r="H32" s="397">
        <f>SUMIF(99:99,G32,100:100)-SUMIF(99:99,C32,100:100)+100</f>
        <v>100</v>
      </c>
      <c r="I32" s="391"/>
      <c r="J32" s="397">
        <f>SUMIF(99:99,I32,100:100)-SUMIF(99:99,C32,100:100)+100</f>
        <v>100</v>
      </c>
      <c r="K32" s="570"/>
      <c r="L32" s="2918"/>
      <c r="M32" s="2912"/>
      <c r="N32" s="2912"/>
      <c r="O32" s="2912"/>
      <c r="P32" s="3459"/>
      <c r="Q32" s="1504">
        <f t="shared" si="11"/>
        <v>111</v>
      </c>
      <c r="R32" s="713" t="s">
        <v>17</v>
      </c>
      <c r="S32" s="714">
        <f t="shared" si="12"/>
        <v>100</v>
      </c>
      <c r="T32" s="713" t="s">
        <v>17</v>
      </c>
      <c r="U32" s="714">
        <f t="shared" si="13"/>
        <v>100</v>
      </c>
      <c r="V32" s="713" t="s">
        <v>17</v>
      </c>
      <c r="W32" s="714">
        <f t="shared" si="14"/>
        <v>100</v>
      </c>
      <c r="X32" s="1507"/>
      <c r="Y32" s="3461"/>
      <c r="Z32" s="1508">
        <f t="shared" si="15"/>
        <v>111</v>
      </c>
      <c r="AA32" s="1505">
        <f t="shared" si="3"/>
        <v>1</v>
      </c>
      <c r="AB32" s="1505">
        <f t="shared" si="4"/>
        <v>1</v>
      </c>
      <c r="AC32" s="2116">
        <f t="shared" si="5"/>
        <v>1</v>
      </c>
    </row>
    <row r="33" spans="1:29" ht="15">
      <c r="A33" s="399" t="s">
        <v>2324</v>
      </c>
      <c r="B33" s="67" t="s">
        <v>2454</v>
      </c>
      <c r="C33" s="2120"/>
      <c r="D33" s="426">
        <v>100</v>
      </c>
      <c r="E33" s="2120"/>
      <c r="F33" s="420">
        <f>SUMIF(101:101,E33,102:102)-SUMIF(101:101,C33,102:102)+100</f>
        <v>100</v>
      </c>
      <c r="G33" s="2120"/>
      <c r="H33" s="394">
        <f>SUMIF(101:101,G33,102:102)-SUMIF(101:101,C33,102:102)+100</f>
        <v>100</v>
      </c>
      <c r="I33" s="2120"/>
      <c r="J33" s="426">
        <f>SUMIF(101:101,I33,102:102)-SUMIF(101:101,C33,102:102)+100</f>
        <v>100</v>
      </c>
      <c r="K33" s="569"/>
      <c r="L33" s="2918"/>
      <c r="M33" s="2912"/>
      <c r="N33" s="2912"/>
      <c r="O33" s="2912"/>
      <c r="P33" s="3462" t="s">
        <v>2326</v>
      </c>
      <c r="Q33" s="1504" t="str">
        <f t="shared" si="11"/>
        <v>建筑类型</v>
      </c>
      <c r="R33" s="713" t="s">
        <v>17</v>
      </c>
      <c r="S33" s="714">
        <f t="shared" si="12"/>
        <v>100</v>
      </c>
      <c r="T33" s="713" t="s">
        <v>17</v>
      </c>
      <c r="U33" s="714">
        <f t="shared" si="13"/>
        <v>100</v>
      </c>
      <c r="V33" s="713" t="s">
        <v>17</v>
      </c>
      <c r="W33" s="714">
        <f t="shared" si="14"/>
        <v>100</v>
      </c>
      <c r="X33" s="1507"/>
      <c r="Y33" s="3465" t="s">
        <v>2326</v>
      </c>
      <c r="Z33" s="1508" t="str">
        <f t="shared" si="15"/>
        <v>建筑类型</v>
      </c>
      <c r="AA33" s="1505">
        <f t="shared" si="3"/>
        <v>1</v>
      </c>
      <c r="AB33" s="1505">
        <f t="shared" si="4"/>
        <v>1</v>
      </c>
      <c r="AC33" s="2116">
        <f t="shared" si="5"/>
        <v>1</v>
      </c>
    </row>
    <row r="34" spans="1:29" s="430" customFormat="1" ht="15">
      <c r="A34" s="427"/>
      <c r="B34" s="381" t="s">
        <v>2327</v>
      </c>
      <c r="C34" s="428">
        <f>ROUND('数据-汇总表'!F19/22,2)</f>
        <v>1097.1600000000001</v>
      </c>
      <c r="D34" s="132">
        <v>100</v>
      </c>
      <c r="E34" s="389">
        <v>645</v>
      </c>
      <c r="F34" s="384">
        <f>LOOKUP(E34,104:104,105:105)-LOOKUP(C34,104:104,105:105)+100</f>
        <v>102</v>
      </c>
      <c r="G34" s="388">
        <v>800</v>
      </c>
      <c r="H34" s="132">
        <f>LOOKUP(G34,104:104,105:105)-LOOKUP(C34,104:104,105:105)+100</f>
        <v>102</v>
      </c>
      <c r="I34" s="388">
        <v>495</v>
      </c>
      <c r="J34" s="132">
        <f>LOOKUP(I34,104:104,105:105)-LOOKUP(C34,104:104,105:105)+100</f>
        <v>100</v>
      </c>
      <c r="K34" s="570"/>
      <c r="L34" s="2917"/>
      <c r="M34" s="2919"/>
      <c r="N34" s="2919"/>
      <c r="O34" s="2919"/>
      <c r="P34" s="3463"/>
      <c r="Q34" s="715" t="str">
        <f t="shared" si="11"/>
        <v>项目建筑规模</v>
      </c>
      <c r="R34" s="716" t="s">
        <v>17</v>
      </c>
      <c r="S34" s="717">
        <f t="shared" si="12"/>
        <v>102</v>
      </c>
      <c r="T34" s="716" t="s">
        <v>17</v>
      </c>
      <c r="U34" s="717">
        <f t="shared" si="13"/>
        <v>102</v>
      </c>
      <c r="V34" s="716" t="s">
        <v>17</v>
      </c>
      <c r="W34" s="717">
        <f t="shared" si="14"/>
        <v>100</v>
      </c>
      <c r="X34" s="718"/>
      <c r="Y34" s="3465"/>
      <c r="Z34" s="719" t="str">
        <f t="shared" si="15"/>
        <v>项目建筑规模</v>
      </c>
      <c r="AA34" s="1505">
        <f t="shared" si="3"/>
        <v>0.98039215686274506</v>
      </c>
      <c r="AB34" s="1505">
        <f t="shared" si="4"/>
        <v>0.98039215686274506</v>
      </c>
      <c r="AC34" s="2116">
        <f t="shared" si="5"/>
        <v>1</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463"/>
      <c r="Q35" s="1504" t="str">
        <f t="shared" si="11"/>
        <v>建筑结构</v>
      </c>
      <c r="R35" s="713" t="s">
        <v>17</v>
      </c>
      <c r="S35" s="714">
        <f t="shared" si="12"/>
        <v>100</v>
      </c>
      <c r="T35" s="713" t="s">
        <v>17</v>
      </c>
      <c r="U35" s="714">
        <f t="shared" si="13"/>
        <v>100</v>
      </c>
      <c r="V35" s="713" t="s">
        <v>17</v>
      </c>
      <c r="W35" s="714">
        <f t="shared" si="14"/>
        <v>100</v>
      </c>
      <c r="X35" s="1507"/>
      <c r="Y35" s="3465"/>
      <c r="Z35" s="1508" t="str">
        <f t="shared" si="15"/>
        <v>建筑结构</v>
      </c>
      <c r="AA35" s="1505">
        <f t="shared" si="3"/>
        <v>1</v>
      </c>
      <c r="AB35" s="1505">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463"/>
      <c r="Q36" s="1504" t="str">
        <f t="shared" si="11"/>
        <v>公共部分装修</v>
      </c>
      <c r="R36" s="713" t="s">
        <v>17</v>
      </c>
      <c r="S36" s="714">
        <f t="shared" si="12"/>
        <v>100</v>
      </c>
      <c r="T36" s="713" t="s">
        <v>17</v>
      </c>
      <c r="U36" s="714">
        <f t="shared" si="13"/>
        <v>100</v>
      </c>
      <c r="V36" s="713" t="s">
        <v>17</v>
      </c>
      <c r="W36" s="714">
        <f t="shared" si="14"/>
        <v>100</v>
      </c>
      <c r="X36" s="1507"/>
      <c r="Y36" s="3465"/>
      <c r="Z36" s="1508" t="str">
        <f t="shared" si="15"/>
        <v>公共部分装修</v>
      </c>
      <c r="AA36" s="1505">
        <f t="shared" si="3"/>
        <v>1</v>
      </c>
      <c r="AB36" s="1505">
        <f t="shared" si="4"/>
        <v>1</v>
      </c>
      <c r="AC36" s="2116">
        <f t="shared" si="5"/>
        <v>1</v>
      </c>
    </row>
    <row r="37" spans="1:29" ht="15">
      <c r="A37" s="431"/>
      <c r="B37" s="381" t="s">
        <v>2423</v>
      </c>
      <c r="C37" s="433">
        <f>'数据-取费表'!N6</f>
        <v>0.8</v>
      </c>
      <c r="D37" s="394">
        <v>100</v>
      </c>
      <c r="E37" s="433">
        <v>0.85</v>
      </c>
      <c r="F37" s="420">
        <f>LOOKUP(E37,111:111,112:112)-LOOKUP(C37,111:111,112:112)+100</f>
        <v>100</v>
      </c>
      <c r="G37" s="433">
        <v>0.83</v>
      </c>
      <c r="H37" s="420">
        <f>LOOKUP(G37,111:111,112:112)-LOOKUP(C37,111:111,112:112)+100</f>
        <v>100</v>
      </c>
      <c r="I37" s="433">
        <v>0.85</v>
      </c>
      <c r="J37" s="394">
        <f>LOOKUP(I37,111:111,112:112)-LOOKUP(C37,111:111,112:112)+100</f>
        <v>100</v>
      </c>
      <c r="K37" s="569"/>
      <c r="L37" s="2918"/>
      <c r="M37" s="2912"/>
      <c r="N37" s="2912"/>
      <c r="O37" s="2912"/>
      <c r="P37" s="3463"/>
      <c r="Q37" s="1504" t="str">
        <f t="shared" si="11"/>
        <v>成新度</v>
      </c>
      <c r="R37" s="713" t="s">
        <v>17</v>
      </c>
      <c r="S37" s="714">
        <f t="shared" si="12"/>
        <v>100</v>
      </c>
      <c r="T37" s="713" t="s">
        <v>17</v>
      </c>
      <c r="U37" s="714">
        <f t="shared" si="13"/>
        <v>100</v>
      </c>
      <c r="V37" s="713" t="s">
        <v>17</v>
      </c>
      <c r="W37" s="714">
        <f t="shared" si="14"/>
        <v>100</v>
      </c>
      <c r="X37" s="1507"/>
      <c r="Y37" s="3465"/>
      <c r="Z37" s="1508" t="str">
        <f t="shared" si="15"/>
        <v>成新度</v>
      </c>
      <c r="AA37" s="1505">
        <f t="shared" si="3"/>
        <v>1</v>
      </c>
      <c r="AB37" s="1505">
        <f t="shared" si="4"/>
        <v>1</v>
      </c>
      <c r="AC37" s="2116">
        <f t="shared" si="5"/>
        <v>1</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463"/>
      <c r="Q38" s="1495" t="str">
        <f t="shared" si="11"/>
        <v>写字楼等级</v>
      </c>
      <c r="R38" s="709" t="s">
        <v>17</v>
      </c>
      <c r="S38" s="710">
        <f t="shared" si="12"/>
        <v>100</v>
      </c>
      <c r="T38" s="709" t="s">
        <v>17</v>
      </c>
      <c r="U38" s="710">
        <f t="shared" si="13"/>
        <v>100</v>
      </c>
      <c r="V38" s="709" t="s">
        <v>17</v>
      </c>
      <c r="W38" s="710">
        <f t="shared" si="14"/>
        <v>100</v>
      </c>
      <c r="X38" s="711"/>
      <c r="Y38" s="3465"/>
      <c r="Z38" s="55" t="str">
        <f t="shared" si="15"/>
        <v>写字楼等级</v>
      </c>
      <c r="AA38" s="712">
        <f t="shared" si="3"/>
        <v>1</v>
      </c>
      <c r="AB38" s="712">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463" t="s">
        <v>2326</v>
      </c>
      <c r="Q39" s="1504" t="str">
        <f t="shared" si="11"/>
        <v>物业管理</v>
      </c>
      <c r="R39" s="713" t="s">
        <v>17</v>
      </c>
      <c r="S39" s="714">
        <f t="shared" si="12"/>
        <v>100</v>
      </c>
      <c r="T39" s="713" t="s">
        <v>17</v>
      </c>
      <c r="U39" s="714">
        <f t="shared" si="13"/>
        <v>100</v>
      </c>
      <c r="V39" s="713" t="s">
        <v>17</v>
      </c>
      <c r="W39" s="714">
        <f t="shared" si="14"/>
        <v>100</v>
      </c>
      <c r="X39" s="1507"/>
      <c r="Y39" s="3465" t="s">
        <v>2326</v>
      </c>
      <c r="Z39" s="1508" t="str">
        <f t="shared" si="15"/>
        <v>物业管理</v>
      </c>
      <c r="AA39" s="1505">
        <f t="shared" si="3"/>
        <v>1</v>
      </c>
      <c r="AB39" s="1505">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463"/>
      <c r="Q40" s="1504" t="str">
        <f t="shared" si="11"/>
        <v>市政基础设施</v>
      </c>
      <c r="R40" s="713" t="s">
        <v>17</v>
      </c>
      <c r="S40" s="714">
        <f t="shared" si="12"/>
        <v>100</v>
      </c>
      <c r="T40" s="713" t="s">
        <v>17</v>
      </c>
      <c r="U40" s="714">
        <f t="shared" si="13"/>
        <v>100</v>
      </c>
      <c r="V40" s="713" t="s">
        <v>17</v>
      </c>
      <c r="W40" s="714">
        <f t="shared" si="14"/>
        <v>100</v>
      </c>
      <c r="X40" s="1507"/>
      <c r="Y40" s="3465"/>
      <c r="Z40" s="1508" t="str">
        <f t="shared" si="15"/>
        <v>市政基础设施</v>
      </c>
      <c r="AA40" s="1505">
        <f t="shared" si="3"/>
        <v>1</v>
      </c>
      <c r="AB40" s="1505">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463"/>
      <c r="Q41" s="1504" t="str">
        <f t="shared" si="11"/>
        <v>层高</v>
      </c>
      <c r="R41" s="713" t="s">
        <v>17</v>
      </c>
      <c r="S41" s="714">
        <f t="shared" si="12"/>
        <v>100</v>
      </c>
      <c r="T41" s="713" t="s">
        <v>17</v>
      </c>
      <c r="U41" s="714">
        <f t="shared" si="13"/>
        <v>100</v>
      </c>
      <c r="V41" s="713" t="s">
        <v>17</v>
      </c>
      <c r="W41" s="714">
        <f t="shared" si="14"/>
        <v>100</v>
      </c>
      <c r="X41" s="1507"/>
      <c r="Y41" s="3465"/>
      <c r="Z41" s="1508" t="str">
        <f t="shared" si="15"/>
        <v>层高</v>
      </c>
      <c r="AA41" s="1505">
        <f t="shared" si="3"/>
        <v>1</v>
      </c>
      <c r="AB41" s="1505">
        <f t="shared" si="4"/>
        <v>1</v>
      </c>
      <c r="AC41" s="2116">
        <f t="shared" si="5"/>
        <v>1</v>
      </c>
    </row>
    <row r="42" spans="1:29" s="430" customFormat="1" ht="15">
      <c r="A42" s="427"/>
      <c r="B42" s="1506"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463"/>
      <c r="Q42" s="715" t="str">
        <f t="shared" si="11"/>
        <v>单套建筑面积</v>
      </c>
      <c r="R42" s="716" t="s">
        <v>17</v>
      </c>
      <c r="S42" s="717">
        <f t="shared" si="12"/>
        <v>100</v>
      </c>
      <c r="T42" s="716" t="s">
        <v>17</v>
      </c>
      <c r="U42" s="717">
        <f t="shared" si="13"/>
        <v>100</v>
      </c>
      <c r="V42" s="716" t="s">
        <v>17</v>
      </c>
      <c r="W42" s="717">
        <f t="shared" si="14"/>
        <v>100</v>
      </c>
      <c r="X42" s="718"/>
      <c r="Y42" s="3465"/>
      <c r="Z42" s="719" t="str">
        <f t="shared" si="15"/>
        <v>单套建筑面积</v>
      </c>
      <c r="AA42" s="1505">
        <f t="shared" si="3"/>
        <v>1</v>
      </c>
      <c r="AB42" s="1505">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463"/>
      <c r="Q43" s="1504" t="str">
        <f t="shared" si="11"/>
        <v>内部装修</v>
      </c>
      <c r="R43" s="713" t="s">
        <v>17</v>
      </c>
      <c r="S43" s="714">
        <f t="shared" si="12"/>
        <v>100</v>
      </c>
      <c r="T43" s="713" t="s">
        <v>17</v>
      </c>
      <c r="U43" s="714">
        <f t="shared" si="13"/>
        <v>100</v>
      </c>
      <c r="V43" s="713" t="s">
        <v>17</v>
      </c>
      <c r="W43" s="714">
        <f t="shared" si="14"/>
        <v>100</v>
      </c>
      <c r="X43" s="1507"/>
      <c r="Y43" s="3465"/>
      <c r="Z43" s="1508" t="str">
        <f t="shared" si="15"/>
        <v>内部装修</v>
      </c>
      <c r="AA43" s="1505">
        <f t="shared" si="3"/>
        <v>1</v>
      </c>
      <c r="AB43" s="1505">
        <f t="shared" si="4"/>
        <v>1</v>
      </c>
      <c r="AC43" s="2116">
        <f t="shared" si="5"/>
        <v>1</v>
      </c>
    </row>
    <row r="44" spans="1:29" ht="15">
      <c r="A44" s="431"/>
      <c r="B44" s="381" t="s">
        <v>2337</v>
      </c>
      <c r="C44" s="419"/>
      <c r="D44" s="394">
        <v>100</v>
      </c>
      <c r="E44" s="2060"/>
      <c r="F44" s="420">
        <f>SUMIF(125:125,E44,126:126)-SUMIF(125:125,C44,126:126)+100</f>
        <v>100</v>
      </c>
      <c r="G44" s="2060"/>
      <c r="H44" s="394">
        <f>SUMIF(125:125,G44,126:126)-SUMIF(125:125,C44,126:126)+100</f>
        <v>100</v>
      </c>
      <c r="I44" s="2060"/>
      <c r="J44" s="394">
        <f>SUMIF(125:125,I44,126:126)-SUMIF(125:125,C44,126:126)+100</f>
        <v>100</v>
      </c>
      <c r="K44" s="569"/>
      <c r="L44" s="2918"/>
      <c r="M44" s="2912"/>
      <c r="N44" s="2912"/>
      <c r="O44" s="2912"/>
      <c r="P44" s="3463"/>
      <c r="Q44" s="1504" t="str">
        <f t="shared" si="11"/>
        <v>内部装修维护情况</v>
      </c>
      <c r="R44" s="713" t="s">
        <v>17</v>
      </c>
      <c r="S44" s="714">
        <f t="shared" si="12"/>
        <v>100</v>
      </c>
      <c r="T44" s="713" t="s">
        <v>17</v>
      </c>
      <c r="U44" s="714">
        <f t="shared" si="13"/>
        <v>100</v>
      </c>
      <c r="V44" s="713" t="s">
        <v>17</v>
      </c>
      <c r="W44" s="714">
        <f t="shared" si="14"/>
        <v>100</v>
      </c>
      <c r="X44" s="1507"/>
      <c r="Y44" s="3465"/>
      <c r="Z44" s="1508" t="str">
        <f t="shared" si="15"/>
        <v>内部装修维护情况</v>
      </c>
      <c r="AA44" s="1505">
        <f t="shared" si="3"/>
        <v>1</v>
      </c>
      <c r="AB44" s="1505">
        <f t="shared" si="4"/>
        <v>1</v>
      </c>
      <c r="AC44" s="2116">
        <f t="shared" si="5"/>
        <v>1</v>
      </c>
    </row>
    <row r="45" spans="1:29" s="113" customFormat="1" ht="15">
      <c r="A45" s="432"/>
      <c r="B45" s="3218"/>
      <c r="C45" s="3219"/>
      <c r="D45" s="132">
        <v>100</v>
      </c>
      <c r="E45" s="3220"/>
      <c r="F45" s="384">
        <f>SUMIF(127:127,E45,128:128)-SUMIF(127:127,C45,128:128)+100</f>
        <v>100</v>
      </c>
      <c r="G45" s="3220"/>
      <c r="H45" s="132">
        <f>SUMIF(127:127,G45,128:128)-SUMIF(127:127,C45,128:128)+100</f>
        <v>100</v>
      </c>
      <c r="I45" s="3220"/>
      <c r="J45" s="132">
        <f>SUMIF(127:127,I45,128:128)-SUMIF(127:127,C45,128:128)+100</f>
        <v>100</v>
      </c>
      <c r="K45" s="570"/>
      <c r="L45" s="2913"/>
      <c r="M45" s="2914"/>
      <c r="N45" s="2914"/>
      <c r="O45" s="2914"/>
      <c r="P45" s="3463"/>
      <c r="Q45" s="1495">
        <f t="shared" si="11"/>
        <v>0</v>
      </c>
      <c r="R45" s="709" t="s">
        <v>17</v>
      </c>
      <c r="S45" s="710">
        <f t="shared" si="12"/>
        <v>100</v>
      </c>
      <c r="T45" s="709" t="s">
        <v>17</v>
      </c>
      <c r="U45" s="710">
        <f t="shared" si="13"/>
        <v>100</v>
      </c>
      <c r="V45" s="709" t="s">
        <v>17</v>
      </c>
      <c r="W45" s="710">
        <f t="shared" si="14"/>
        <v>100</v>
      </c>
      <c r="X45" s="711"/>
      <c r="Y45" s="3465"/>
      <c r="Z45" s="55">
        <f t="shared" si="15"/>
        <v>0</v>
      </c>
      <c r="AA45" s="712">
        <f t="shared" si="3"/>
        <v>1</v>
      </c>
      <c r="AB45" s="712">
        <f t="shared" si="4"/>
        <v>1</v>
      </c>
      <c r="AC45" s="2113">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463"/>
      <c r="Q46" s="1504">
        <f t="shared" si="11"/>
        <v>111</v>
      </c>
      <c r="R46" s="713" t="s">
        <v>17</v>
      </c>
      <c r="S46" s="714">
        <f t="shared" si="12"/>
        <v>100</v>
      </c>
      <c r="T46" s="713" t="s">
        <v>17</v>
      </c>
      <c r="U46" s="714">
        <f t="shared" si="13"/>
        <v>100</v>
      </c>
      <c r="V46" s="713" t="s">
        <v>17</v>
      </c>
      <c r="W46" s="714">
        <f t="shared" si="14"/>
        <v>100</v>
      </c>
      <c r="X46" s="1507"/>
      <c r="Y46" s="3465"/>
      <c r="Z46" s="1508">
        <f t="shared" si="15"/>
        <v>111</v>
      </c>
      <c r="AA46" s="1505">
        <f t="shared" si="3"/>
        <v>1</v>
      </c>
      <c r="AB46" s="1505">
        <f t="shared" si="4"/>
        <v>1</v>
      </c>
      <c r="AC46" s="2116">
        <f t="shared" si="5"/>
        <v>1</v>
      </c>
    </row>
    <row r="47" spans="1:29" ht="15.75" thickBot="1">
      <c r="A47" s="437"/>
      <c r="B47" s="204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f>[2]基准地价修正!$C$41</f>
        <v>1543</v>
      </c>
      <c r="N47" s="2912"/>
      <c r="O47" s="2912"/>
      <c r="P47" s="3464"/>
      <c r="Q47" s="1504">
        <f t="shared" si="11"/>
        <v>111</v>
      </c>
      <c r="R47" s="713" t="s">
        <v>17</v>
      </c>
      <c r="S47" s="714">
        <f t="shared" si="12"/>
        <v>100</v>
      </c>
      <c r="T47" s="713" t="s">
        <v>17</v>
      </c>
      <c r="U47" s="714">
        <f t="shared" si="13"/>
        <v>100</v>
      </c>
      <c r="V47" s="713" t="s">
        <v>17</v>
      </c>
      <c r="W47" s="714">
        <f t="shared" si="14"/>
        <v>100</v>
      </c>
      <c r="X47" s="1507"/>
      <c r="Y47" s="3466"/>
      <c r="Z47" s="1508">
        <f t="shared" si="15"/>
        <v>111</v>
      </c>
      <c r="AA47" s="1505">
        <f t="shared" si="3"/>
        <v>1</v>
      </c>
      <c r="AB47" s="1505">
        <f t="shared" si="4"/>
        <v>1</v>
      </c>
      <c r="AC47" s="2116">
        <f t="shared" si="5"/>
        <v>1</v>
      </c>
    </row>
    <row r="48" spans="1:29" ht="15">
      <c r="A48" s="438" t="s">
        <v>2338</v>
      </c>
      <c r="B48" s="439"/>
      <c r="C48" s="1286" t="s">
        <v>1</v>
      </c>
      <c r="D48" s="1287"/>
      <c r="E48" s="1288">
        <v>28000</v>
      </c>
      <c r="F48" s="1289"/>
      <c r="G48" s="1290">
        <v>29378</v>
      </c>
      <c r="H48" s="1291"/>
      <c r="I48" s="1288">
        <v>28638</v>
      </c>
      <c r="J48" s="444"/>
      <c r="K48" s="722"/>
      <c r="L48" s="2920"/>
      <c r="M48" s="2912">
        <f>[2]基准地价修正!$G$41</f>
        <v>386</v>
      </c>
      <c r="N48" s="2912"/>
      <c r="O48" s="2912"/>
      <c r="P48" s="3438" t="str">
        <f>A48</f>
        <v>成交单价（元/平方米）</v>
      </c>
      <c r="Q48" s="3467"/>
      <c r="R48" s="3468">
        <f>E48</f>
        <v>28000</v>
      </c>
      <c r="S48" s="3468"/>
      <c r="T48" s="3468">
        <f>G48</f>
        <v>29378</v>
      </c>
      <c r="U48" s="3468"/>
      <c r="V48" s="3468">
        <f>I48</f>
        <v>28638</v>
      </c>
      <c r="W48" s="3468"/>
      <c r="X48" s="405"/>
      <c r="Y48" s="720"/>
      <c r="Z48" s="405"/>
      <c r="AA48" s="405"/>
      <c r="AB48" s="405"/>
      <c r="AC48" s="586"/>
    </row>
    <row r="49" spans="1:29" ht="15.75" thickBot="1">
      <c r="A49" s="445" t="s">
        <v>2430</v>
      </c>
      <c r="B49" s="446"/>
      <c r="C49" s="1292">
        <f>R50</f>
        <v>28342</v>
      </c>
      <c r="D49" s="2505" t="s">
        <v>2819</v>
      </c>
      <c r="E49" s="1293">
        <f>R49</f>
        <v>27451</v>
      </c>
      <c r="F49" s="2506"/>
      <c r="G49" s="1292">
        <f>T49</f>
        <v>27430</v>
      </c>
      <c r="H49" s="2506"/>
      <c r="I49" s="1293">
        <f>V49</f>
        <v>30145</v>
      </c>
      <c r="J49" s="2506"/>
      <c r="K49" s="2508">
        <f>F49+H49+J49</f>
        <v>0</v>
      </c>
      <c r="L49" s="2920"/>
      <c r="M49" s="2912"/>
      <c r="N49" s="2912"/>
      <c r="O49" s="2912"/>
      <c r="P49" s="3438" t="str">
        <f>A49</f>
        <v>比较价值（元/平方米）</v>
      </c>
      <c r="Q49" s="3467"/>
      <c r="R49" s="3468">
        <f>IF(F1="售价",ROUND(PRODUCT(R48,AA7:AA47),0),ROUND(PRODUCT(R48,AA7:AA47),1))</f>
        <v>27451</v>
      </c>
      <c r="S49" s="3468"/>
      <c r="T49" s="3468">
        <f>IF(F1="售价",ROUND(PRODUCT(T48,AB7:AB47),0),ROUND(PRODUCT(T48,AB7:AB47),1))</f>
        <v>27430</v>
      </c>
      <c r="U49" s="3468"/>
      <c r="V49" s="3468">
        <f>IF(F1="售价",ROUND(PRODUCT(V48,AC7:AC47),0),ROUND(PRODUCT(V48,AC7:AC47),1))</f>
        <v>30145</v>
      </c>
      <c r="W49" s="3468"/>
      <c r="X49" s="405"/>
      <c r="Y49" s="405"/>
      <c r="Z49" s="405"/>
      <c r="AA49" s="405"/>
      <c r="AB49" s="405"/>
      <c r="AC49" s="586"/>
    </row>
    <row r="50" spans="1:29" ht="15.75" thickBot="1">
      <c r="A50" s="449" t="s">
        <v>2431</v>
      </c>
      <c r="B50" s="450"/>
      <c r="C50" s="1295">
        <f>R50</f>
        <v>28342</v>
      </c>
      <c r="D50" s="1295"/>
      <c r="E50" s="1295"/>
      <c r="F50" s="1295"/>
      <c r="G50" s="1295"/>
      <c r="H50" s="1295"/>
      <c r="I50" s="1295"/>
      <c r="J50" s="451"/>
      <c r="K50" s="723"/>
      <c r="L50" s="2920"/>
      <c r="M50" s="2912"/>
      <c r="N50" s="2912"/>
      <c r="O50" s="2912"/>
      <c r="P50" s="3469" t="str">
        <f>A50</f>
        <v>估价对象XX用房的比较价值（楼面单价，元/平方米）</v>
      </c>
      <c r="Q50" s="3470"/>
      <c r="R50" s="3471">
        <f>IF(F1="售价",ROUND(IF(D49="简单平均",AVERAGE(R49:V49),R49*F49+T49*H49+V49*J49),0),ROUND(IF(D49="简单平均",AVERAGE(R49:V49),R49*F49+T49*H49+V49*J49),1))</f>
        <v>28342</v>
      </c>
      <c r="S50" s="3471"/>
      <c r="T50" s="3471"/>
      <c r="U50" s="3471"/>
      <c r="V50" s="3471"/>
      <c r="W50" s="3471"/>
      <c r="X50" s="2100"/>
      <c r="Y50" s="2100"/>
      <c r="Z50" s="2100"/>
      <c r="AA50" s="2100"/>
      <c r="AB50" s="2100"/>
      <c r="AC50" s="2101"/>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f>IF(E48&lt;E49,E49/E48-1,E48/E49-1)</f>
        <v>1.9999271429091747E-2</v>
      </c>
      <c r="F53" s="457" t="str">
        <f>IF(OR(E53&gt;=0.3,E53&lt;=-0.3),"超过30%","")</f>
        <v/>
      </c>
      <c r="G53" s="456">
        <f>IF(G48&lt;G49,G49/G48-1,G48/G49-1)</f>
        <v>7.101713452424363E-2</v>
      </c>
      <c r="H53" s="457" t="str">
        <f>IF(OR(G53&gt;=0.3,G53&lt;=-0.3),"超过30%","")</f>
        <v/>
      </c>
      <c r="I53" s="456">
        <f>IF(I48&lt;I49,I49/I48-1,I48/I49-1)</f>
        <v>5.2622389831692207E-2</v>
      </c>
      <c r="J53" s="457" t="str">
        <f>IF(OR(I53&gt;=0.3,I53&lt;=-0.3),"超过30%","")</f>
        <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f>IF(E49&lt;G49,G49/E49-1,E49/G49-1)</f>
        <v>7.6558512577462601E-4</v>
      </c>
      <c r="F54" s="457" t="str">
        <f>IF(OR(E54&gt;=0.2,E54&lt;=-0.2),"超过20%","")</f>
        <v/>
      </c>
      <c r="G54" s="456">
        <f>IF(G49&lt;I49,I49/G49-1,G49/I49-1)</f>
        <v>9.8979219832300291E-2</v>
      </c>
      <c r="H54" s="457" t="str">
        <f>IF(OR(G54&gt;=0.2,G54&lt;=-0.2),"超过20%","")</f>
        <v/>
      </c>
      <c r="I54" s="456">
        <f>IF(I49&lt;E49,E49/I49-1,I49/E49-1)</f>
        <v>9.8138501329641858E-2</v>
      </c>
      <c r="J54" s="457" t="str">
        <f>IF(OR(I54&gt;=0.2,I54&lt;=-0.2),"超过20%","")</f>
        <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f>IF(E48&lt;G48,G48/E48-1,E48/G48-1)</f>
        <v>4.9214285714285655E-2</v>
      </c>
      <c r="F55" s="457" t="str">
        <f>IF(OR(E55&gt;=0.3,E55&lt;=-0.3),"超过30%","")</f>
        <v/>
      </c>
      <c r="G55" s="456">
        <f>IF(G48&lt;I48,I48/G48-1,G48/I48-1)</f>
        <v>2.5839793281653645E-2</v>
      </c>
      <c r="H55" s="457" t="str">
        <f>IF(OR(G55&gt;=0.3,G55&lt;=-0.3),"超过30%","")</f>
        <v/>
      </c>
      <c r="I55" s="456">
        <f>IF(I48&lt;E48,E48/I48-1,I48/E48-1)</f>
        <v>2.2785714285714187E-2</v>
      </c>
      <c r="J55" s="457" t="str">
        <f>IF(OR(I55&gt;=0.3,I55&lt;=-0.3),"超过30%","")</f>
        <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2" t="s">
        <v>2435</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5"/>
      <c r="Q59" s="2937"/>
      <c r="R59" s="2937"/>
      <c r="S59" s="2937"/>
      <c r="T59" s="2937"/>
      <c r="U59" s="2937"/>
      <c r="V59" s="2937"/>
      <c r="W59" s="2937"/>
      <c r="X59" s="2937"/>
      <c r="Y59" s="2937"/>
      <c r="Z59" s="2937"/>
      <c r="AA59" s="2937"/>
      <c r="AB59" s="2937"/>
      <c r="AC59" s="2937"/>
    </row>
    <row r="60" spans="1:29" s="113" customFormat="1" ht="15">
      <c r="A60" s="466"/>
      <c r="B60" s="467"/>
      <c r="C60" s="1315">
        <v>100</v>
      </c>
      <c r="D60" s="469"/>
      <c r="E60" s="469"/>
      <c r="F60" s="469"/>
      <c r="G60" s="469"/>
      <c r="H60" s="469"/>
      <c r="I60" s="469"/>
      <c r="J60" s="469"/>
      <c r="K60" s="469"/>
      <c r="L60" s="469"/>
      <c r="M60" s="470"/>
      <c r="N60" s="469"/>
      <c r="O60" s="470"/>
      <c r="P60" s="2956"/>
      <c r="Q60" s="2855"/>
      <c r="R60" s="2855"/>
      <c r="S60" s="2855"/>
      <c r="T60" s="2855"/>
      <c r="U60" s="2855"/>
      <c r="V60" s="2855"/>
      <c r="W60" s="2855"/>
      <c r="X60" s="2855"/>
      <c r="Y60" s="2855"/>
      <c r="Z60" s="2855"/>
      <c r="AA60" s="2855"/>
      <c r="AB60" s="2855"/>
      <c r="AC60" s="2855"/>
    </row>
    <row r="61" spans="1:29" s="113" customFormat="1" ht="15.75" thickBot="1">
      <c r="A61" s="472" t="s">
        <v>2346</v>
      </c>
      <c r="B61" s="473"/>
      <c r="C61" s="474"/>
      <c r="D61" s="475"/>
      <c r="E61" s="475"/>
      <c r="F61" s="475"/>
      <c r="G61" s="475"/>
      <c r="H61" s="475"/>
      <c r="I61" s="475"/>
      <c r="J61" s="475"/>
      <c r="K61" s="475"/>
      <c r="L61" s="475"/>
      <c r="M61" s="476"/>
      <c r="N61" s="475"/>
      <c r="O61" s="476"/>
      <c r="P61" s="2956"/>
      <c r="Q61" s="2935"/>
      <c r="R61" s="2855"/>
      <c r="S61" s="2855"/>
      <c r="T61" s="2855"/>
      <c r="U61" s="2855"/>
      <c r="V61" s="2855"/>
      <c r="W61" s="2855"/>
      <c r="X61" s="2855"/>
      <c r="Y61" s="2855"/>
      <c r="Z61" s="2855"/>
      <c r="AA61" s="2855"/>
      <c r="AB61" s="2855"/>
      <c r="AC61" s="2855"/>
    </row>
    <row r="62" spans="1:29" s="113" customFormat="1" ht="15">
      <c r="A62" s="478" t="s">
        <v>2311</v>
      </c>
      <c r="B62" s="467"/>
      <c r="C62" s="479" t="s">
        <v>2413</v>
      </c>
      <c r="D62" s="480"/>
      <c r="E62" s="480"/>
      <c r="F62" s="480"/>
      <c r="G62" s="480"/>
      <c r="H62" s="480"/>
      <c r="I62" s="480"/>
      <c r="J62" s="480"/>
      <c r="K62" s="480"/>
      <c r="L62" s="481"/>
      <c r="M62" s="482"/>
      <c r="N62" s="2948"/>
      <c r="O62" s="2948"/>
      <c r="P62" s="2957"/>
      <c r="Q62" s="2935"/>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5"/>
      <c r="S63" s="2855"/>
      <c r="T63" s="2855"/>
      <c r="U63" s="2855"/>
      <c r="V63" s="2855"/>
      <c r="W63" s="2855"/>
      <c r="X63" s="2855"/>
      <c r="Y63" s="2855"/>
      <c r="Z63" s="2855"/>
      <c r="AA63" s="2855"/>
      <c r="AB63" s="2855"/>
      <c r="AC63" s="2855"/>
    </row>
    <row r="64" spans="1:29">
      <c r="A64" s="484" t="s">
        <v>2349</v>
      </c>
      <c r="B64" s="485" t="s">
        <v>2315</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v>0</v>
      </c>
      <c r="D69" s="506">
        <v>1</v>
      </c>
      <c r="E69" s="506">
        <v>2</v>
      </c>
      <c r="F69" s="506">
        <v>3</v>
      </c>
      <c r="G69" s="506">
        <v>4</v>
      </c>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1"/>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6"/>
      <c r="B89" s="495" t="str">
        <f>B27</f>
        <v>楼层</v>
      </c>
      <c r="C89" s="3217" t="s">
        <v>3169</v>
      </c>
      <c r="D89" s="3217" t="s">
        <v>3168</v>
      </c>
      <c r="E89" s="3217" t="s">
        <v>3170</v>
      </c>
      <c r="F89" s="2081"/>
      <c r="G89" s="511"/>
      <c r="H89" s="511"/>
      <c r="I89" s="511"/>
      <c r="J89" s="511"/>
      <c r="K89" s="511"/>
      <c r="L89" s="511"/>
      <c r="M89" s="538"/>
      <c r="N89" s="2948"/>
      <c r="O89" s="2948"/>
      <c r="P89" s="2958"/>
      <c r="Q89" s="2935"/>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50"/>
      <c r="O90" s="2950"/>
      <c r="P90" s="2958"/>
      <c r="Q90" s="2935"/>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2"/>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29.25" thickTop="1">
      <c r="A103" s="491"/>
      <c r="B103" s="495" t="s">
        <v>2374</v>
      </c>
      <c r="C103" s="535" t="str">
        <f>C104&amp;"(含)"&amp;"-"&amp;D104</f>
        <v>0(含)-300</v>
      </c>
      <c r="D103" s="535" t="str">
        <f t="shared" ref="D103:L103" si="23">D104&amp;"(含)"&amp;"-"&amp;E104</f>
        <v>300(含)-500</v>
      </c>
      <c r="E103" s="535" t="str">
        <f t="shared" si="23"/>
        <v>500(含)-1000</v>
      </c>
      <c r="F103" s="535" t="str">
        <f t="shared" si="23"/>
        <v>1000(含)-2000</v>
      </c>
      <c r="G103" s="535" t="str">
        <f t="shared" si="23"/>
        <v>2000(含)-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v>0</v>
      </c>
      <c r="D104" s="552">
        <v>300</v>
      </c>
      <c r="E104" s="552">
        <v>500</v>
      </c>
      <c r="F104" s="552">
        <v>1000</v>
      </c>
      <c r="G104" s="552">
        <v>2000</v>
      </c>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v>96</v>
      </c>
      <c r="D105" s="493">
        <v>98</v>
      </c>
      <c r="E105" s="493">
        <v>100</v>
      </c>
      <c r="F105" s="493">
        <v>98</v>
      </c>
      <c r="G105" s="493">
        <v>94</v>
      </c>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540"/>
      <c r="D119" s="540"/>
      <c r="E119" s="540"/>
      <c r="F119" s="540"/>
      <c r="G119" s="540"/>
      <c r="H119" s="540"/>
      <c r="I119" s="540"/>
      <c r="J119" s="540"/>
      <c r="K119" s="540"/>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0</v>
      </c>
      <c r="C127" s="3217" t="s">
        <v>3174</v>
      </c>
      <c r="D127" s="3217" t="s">
        <v>3175</v>
      </c>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v>100</v>
      </c>
      <c r="D128" s="493">
        <v>97</v>
      </c>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2"/>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J37" sqref="J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1"/>
      <c r="C1" s="1531" t="s">
        <v>3137</v>
      </c>
      <c r="D1" s="1514" t="s">
        <v>70</v>
      </c>
      <c r="E1" s="1515" t="s">
        <v>1292</v>
      </c>
      <c r="F1" s="1191">
        <f ca="1">J53</f>
        <v>30.72</v>
      </c>
      <c r="G1" s="1530">
        <f>MATCH(C1,'数据-取费表'!A6:A16,0)+5</f>
        <v>6</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63101</v>
      </c>
      <c r="C2" s="1539" t="s">
        <v>1421</v>
      </c>
      <c r="D2" s="1539"/>
      <c r="E2" s="1540"/>
      <c r="F2" s="1541"/>
      <c r="G2" s="2902"/>
      <c r="H2" s="2891"/>
      <c r="I2" s="2891"/>
      <c r="J2" s="2891"/>
      <c r="K2" s="2892"/>
      <c r="L2" s="2891"/>
      <c r="M2" s="2891"/>
    </row>
    <row r="3" spans="1:37" ht="18" customHeight="1" thickBot="1">
      <c r="A3" s="1542" t="s">
        <v>1422</v>
      </c>
      <c r="B3" s="1543">
        <f ca="1">IF(ISERROR(B2*10000/F43),0,ROUND(B2*10000/F43,0))</f>
        <v>23515</v>
      </c>
      <c r="C3" s="1539" t="s">
        <v>1423</v>
      </c>
      <c r="D3" s="1539"/>
      <c r="E3" s="1540"/>
      <c r="F3" s="1541"/>
      <c r="G3" s="2902"/>
      <c r="H3" s="691"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3972</v>
      </c>
      <c r="D5" s="1516" t="s">
        <v>1307</v>
      </c>
      <c r="E5" s="1201"/>
      <c r="F5" s="1202"/>
      <c r="G5" s="1536"/>
      <c r="H5" s="305">
        <v>1</v>
      </c>
      <c r="I5" s="306" t="s">
        <v>1306</v>
      </c>
      <c r="J5" s="1200">
        <f ca="1">J6+J10+J12</f>
        <v>0</v>
      </c>
      <c r="K5" s="1516" t="s">
        <v>1307</v>
      </c>
      <c r="L5" s="1201"/>
      <c r="M5" s="1202"/>
    </row>
    <row r="6" spans="1:37" ht="18" customHeight="1">
      <c r="A6" s="1199" t="s">
        <v>1003</v>
      </c>
      <c r="B6" s="3474" t="s">
        <v>1308</v>
      </c>
      <c r="C6" s="1204">
        <f ca="1">ROUND(F6*F8*F7*(1-F9)/10000,0)</f>
        <v>3967</v>
      </c>
      <c r="D6" s="160" t="s">
        <v>2789</v>
      </c>
      <c r="E6" s="308" t="s">
        <v>1310</v>
      </c>
      <c r="F6" s="309">
        <f ca="1">INDIRECT("'数据-取费表'!u"&amp;$G$1)</f>
        <v>4.5</v>
      </c>
      <c r="G6" s="1536"/>
      <c r="H6" s="1199" t="s">
        <v>1003</v>
      </c>
      <c r="I6" s="3474" t="s">
        <v>1308</v>
      </c>
      <c r="J6" s="307">
        <f ca="1">ROUND(M6*M8*M7*(1-M9)/10000,0)</f>
        <v>0</v>
      </c>
      <c r="K6" s="160" t="s">
        <v>2788</v>
      </c>
      <c r="L6" s="308" t="s">
        <v>1310</v>
      </c>
      <c r="M6" s="309">
        <f ca="1">INDIRECT("'数据-取费表'!z"&amp;$G$1)</f>
        <v>0</v>
      </c>
    </row>
    <row r="7" spans="1:37" ht="18" customHeight="1">
      <c r="A7" s="1203"/>
      <c r="B7" s="3475"/>
      <c r="C7" s="1205"/>
      <c r="D7" s="313"/>
      <c r="E7" s="1206" t="s">
        <v>1311</v>
      </c>
      <c r="F7" s="309">
        <f ca="1">IF(INDIRECT("'数据-取费表'!ah"&amp;$G$1)="",INDIRECT("'数据-取费表'!k"&amp;$G$1),INDIRECT("'数据-取费表'!ah"&amp;$G$1))</f>
        <v>26834.3</v>
      </c>
      <c r="G7" s="1536"/>
      <c r="H7" s="310"/>
      <c r="I7" s="3475"/>
      <c r="J7" s="312"/>
      <c r="K7" s="313"/>
      <c r="L7" s="308" t="s">
        <v>1311</v>
      </c>
      <c r="M7" s="309">
        <f ca="1">F7</f>
        <v>26834.3</v>
      </c>
    </row>
    <row r="8" spans="1:37" ht="18" customHeight="1">
      <c r="A8" s="310"/>
      <c r="B8" s="3475"/>
      <c r="C8" s="312"/>
      <c r="D8" s="313"/>
      <c r="E8" s="308" t="s">
        <v>1312</v>
      </c>
      <c r="F8" s="309">
        <f ca="1">INDIRECT("'数据-取费表'!ai"&amp;$G$1)</f>
        <v>365</v>
      </c>
      <c r="G8" s="1536"/>
      <c r="H8" s="310"/>
      <c r="I8" s="3475"/>
      <c r="J8" s="312"/>
      <c r="K8" s="313"/>
      <c r="L8" s="308" t="s">
        <v>1312</v>
      </c>
      <c r="M8" s="309">
        <f ca="1">INDIRECT("'数据-取费表'!ai"&amp;$G$1)</f>
        <v>365</v>
      </c>
    </row>
    <row r="9" spans="1:37" ht="18" customHeight="1">
      <c r="A9" s="310"/>
      <c r="B9" s="3476"/>
      <c r="C9" s="312"/>
      <c r="D9" s="313"/>
      <c r="E9" s="308" t="s">
        <v>1313</v>
      </c>
      <c r="F9" s="318">
        <f ca="1">INDIRECT("'数据-取费表'!w"&amp;$G$1)</f>
        <v>0.1</v>
      </c>
      <c r="G9" s="1536"/>
      <c r="H9" s="310"/>
      <c r="I9" s="3476"/>
      <c r="J9" s="312"/>
      <c r="K9" s="313"/>
      <c r="L9" s="319" t="s">
        <v>1313</v>
      </c>
      <c r="M9" s="320">
        <f ca="1">INDIRECT("'数据-取费表'!ab"&amp;$G$1)</f>
        <v>0</v>
      </c>
    </row>
    <row r="10" spans="1:37" ht="18" customHeight="1">
      <c r="A10" s="1199" t="s">
        <v>1007</v>
      </c>
      <c r="B10" s="1517" t="s">
        <v>1314</v>
      </c>
      <c r="C10" s="322">
        <f ca="1">ROUND(IF(F10="押一",C6/12*F11,IF(F10="押二",C6/12*2*F11,IF(F10="押三",C6/12*3*F11,C11*F11))),0)</f>
        <v>5</v>
      </c>
      <c r="D10" s="1518" t="s">
        <v>2797</v>
      </c>
      <c r="E10" s="319" t="s">
        <v>1315</v>
      </c>
      <c r="F10" s="1246" t="s">
        <v>3141</v>
      </c>
      <c r="G10" s="1536"/>
      <c r="H10" s="1199" t="s">
        <v>1007</v>
      </c>
      <c r="I10" s="1517" t="s">
        <v>1314</v>
      </c>
      <c r="J10" s="307">
        <f ca="1">ROUND(IF(M10="押一",J6/12*M11,IF(M10="押二",J6/12*2*M11,IF(M10="押三",J6/12*3*M11,J11*M11))),0)</f>
        <v>0</v>
      </c>
      <c r="K10" s="1518" t="s">
        <v>2796</v>
      </c>
      <c r="L10" s="319" t="s">
        <v>1315</v>
      </c>
      <c r="M10" s="1246" t="s">
        <v>1316</v>
      </c>
    </row>
    <row r="11" spans="1:37" ht="18" customHeight="1">
      <c r="A11" s="314"/>
      <c r="B11" s="1519" t="s">
        <v>1293</v>
      </c>
      <c r="C11" s="1089"/>
      <c r="D11" s="1520"/>
      <c r="E11" s="319" t="s">
        <v>1317</v>
      </c>
      <c r="F11" s="320">
        <f ca="1">'数据-取费表'!B39</f>
        <v>1.4999999999999999E-2</v>
      </c>
      <c r="G11" s="1536"/>
      <c r="H11" s="1207"/>
      <c r="I11" s="1519" t="s">
        <v>1293</v>
      </c>
      <c r="J11" s="1089"/>
      <c r="K11" s="692"/>
      <c r="L11" s="319" t="s">
        <v>1317</v>
      </c>
      <c r="M11" s="970">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12080</v>
      </c>
      <c r="D13" s="1211" t="s">
        <v>1320</v>
      </c>
      <c r="E13" s="1211" t="s">
        <v>1321</v>
      </c>
      <c r="F13" s="1212">
        <f ca="1">INDIRECT("'数据-取费表'!y"&amp;$G$1)</f>
        <v>0.8</v>
      </c>
      <c r="G13" s="1536"/>
      <c r="H13" s="1209">
        <v>2</v>
      </c>
      <c r="I13" s="1210" t="s">
        <v>1319</v>
      </c>
      <c r="J13" s="1198">
        <f ca="1">ROUND(J14*J15,0)</f>
        <v>0</v>
      </c>
      <c r="K13" s="1217" t="s">
        <v>1320</v>
      </c>
      <c r="L13" s="1544"/>
      <c r="M13" s="1545"/>
    </row>
    <row r="14" spans="1:37" ht="18" customHeight="1">
      <c r="A14" s="1112" t="s">
        <v>1002</v>
      </c>
      <c r="B14" s="308" t="s">
        <v>1322</v>
      </c>
      <c r="C14" s="324">
        <f ca="1">INDIRECT("'数据-取费表'!m"&amp;$G$1)+INDIRECT("'数据-取费表'!t"&amp;$G$1)</f>
        <v>10465</v>
      </c>
      <c r="D14" s="1497" t="s">
        <v>1323</v>
      </c>
      <c r="E14" s="1494"/>
      <c r="F14" s="325"/>
      <c r="G14" s="1536"/>
      <c r="H14" s="1112" t="s">
        <v>1003</v>
      </c>
      <c r="I14" s="308" t="s">
        <v>1324</v>
      </c>
      <c r="J14" s="24">
        <f ca="1">C29</f>
        <v>15100</v>
      </c>
      <c r="K14" s="15"/>
      <c r="L14" s="915"/>
      <c r="M14" s="916"/>
    </row>
    <row r="15" spans="1:37" s="1549" customFormat="1" ht="18" customHeight="1" thickBot="1">
      <c r="A15" s="1112" t="s">
        <v>1004</v>
      </c>
      <c r="B15" s="308" t="s">
        <v>1325</v>
      </c>
      <c r="C15" s="24">
        <f ca="1">ROUND(C14*F15,0)</f>
        <v>314</v>
      </c>
      <c r="D15" s="326" t="s">
        <v>1326</v>
      </c>
      <c r="E15" s="32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355</v>
      </c>
      <c r="K16" s="1217" t="s">
        <v>1330</v>
      </c>
      <c r="L16" s="1218"/>
      <c r="M16" s="1202"/>
    </row>
    <row r="17" spans="1:37" s="1549" customFormat="1" ht="18" customHeight="1">
      <c r="A17" s="1112" t="s">
        <v>1295</v>
      </c>
      <c r="B17" s="308" t="s">
        <v>1331</v>
      </c>
      <c r="C17" s="24">
        <f ca="1">ROUND(F17*(F43+INDIRECT("'数据-取费表'!S"&amp;$G$1))/10000,0)</f>
        <v>537</v>
      </c>
      <c r="D17" s="308" t="s">
        <v>1332</v>
      </c>
      <c r="E17" s="308" t="s">
        <v>1333</v>
      </c>
      <c r="F17" s="26">
        <f>'数据-取费表'!B35</f>
        <v>200</v>
      </c>
      <c r="G17" s="1548"/>
      <c r="H17" s="1112" t="s">
        <v>1003</v>
      </c>
      <c r="I17" s="308" t="s">
        <v>1334</v>
      </c>
      <c r="J17" s="2501">
        <f ca="1">ROUND(IF(AND(项目基本情况!B11="自然人",项目基本情况!B10="北京市"),J6*M17/(1+'数据-取费表'!C42),J18+J19+J20),0)</f>
        <v>128</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8" t="s">
        <v>1337</v>
      </c>
      <c r="C18" s="24">
        <f ca="1">ROUND(C14*F18,0)</f>
        <v>157</v>
      </c>
      <c r="D18" s="308" t="s">
        <v>1326</v>
      </c>
      <c r="E18" s="308" t="s">
        <v>1327</v>
      </c>
      <c r="F18" s="328">
        <f>'数据-取费表'!B36</f>
        <v>1.4999999999999999E-2</v>
      </c>
      <c r="G18" s="1548"/>
      <c r="H18" s="1112" t="s">
        <v>1002</v>
      </c>
      <c r="I18" s="308" t="s">
        <v>1338</v>
      </c>
      <c r="J18" s="24">
        <f ca="1">ROUND(J6*M18/(1+'数据-取费表'!C42),2)</f>
        <v>0</v>
      </c>
      <c r="K18" s="1496" t="s">
        <v>1339</v>
      </c>
      <c r="L18" s="308" t="s">
        <v>1327</v>
      </c>
      <c r="M18" s="328">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8" t="s">
        <v>1340</v>
      </c>
      <c r="C19" s="24">
        <f ca="1">SUM(C14:C18)</f>
        <v>11473</v>
      </c>
      <c r="D19" s="136" t="s">
        <v>1341</v>
      </c>
      <c r="E19" s="1512"/>
      <c r="F19" s="26"/>
      <c r="G19" s="1536"/>
      <c r="H19" s="1112" t="s">
        <v>1004</v>
      </c>
      <c r="I19" s="308" t="s">
        <v>1342</v>
      </c>
      <c r="J19" s="24">
        <f ca="1">IF(K19="按租金收入计税",ROUND(J6*M19/(1+'数据-取费表'!C42),2),ROUND(C29*M19*0.7,2))</f>
        <v>126.84</v>
      </c>
      <c r="K19" s="1522" t="s">
        <v>1343</v>
      </c>
      <c r="L19" s="308" t="s">
        <v>1327</v>
      </c>
      <c r="M19" s="328">
        <f>IF(K19="按租金收入计税",'数据-取费表'!B51,'数据-取费表'!B50)</f>
        <v>1.2E-2</v>
      </c>
    </row>
    <row r="20" spans="1:37" s="1549" customFormat="1" ht="18" customHeight="1">
      <c r="A20" s="1112" t="s">
        <v>1007</v>
      </c>
      <c r="B20" s="308" t="s">
        <v>1344</v>
      </c>
      <c r="C20" s="24">
        <f ca="1">ROUND(C19*F20,0)</f>
        <v>229</v>
      </c>
      <c r="D20" s="329" t="s">
        <v>1345</v>
      </c>
      <c r="E20" s="308" t="s">
        <v>1327</v>
      </c>
      <c r="F20" s="328">
        <f>'数据-取费表'!B37</f>
        <v>0.02</v>
      </c>
      <c r="G20" s="1548"/>
      <c r="H20" s="1112" t="s">
        <v>1294</v>
      </c>
      <c r="I20" s="160" t="s">
        <v>1346</v>
      </c>
      <c r="J20" s="25">
        <f ca="1">ROUND(M20*M21/10000,2)</f>
        <v>1.01</v>
      </c>
      <c r="K20" s="330" t="s">
        <v>1347</v>
      </c>
      <c r="L20" s="308" t="s">
        <v>1348</v>
      </c>
      <c r="M20" s="331">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6706.16</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2"/>
      <c r="F22" s="26"/>
      <c r="G22" s="1536"/>
      <c r="H22" s="1112" t="s">
        <v>1007</v>
      </c>
      <c r="I22" s="308" t="s">
        <v>1354</v>
      </c>
      <c r="J22" s="24">
        <f ca="1">ROUND(J14*M22,1)</f>
        <v>226.5</v>
      </c>
      <c r="K22" s="1496" t="s">
        <v>1355</v>
      </c>
      <c r="L22" s="308" t="s">
        <v>1327</v>
      </c>
      <c r="M22" s="334">
        <f ca="1">INDIRECT("'数据-取费表'!Ak"&amp;$G$1)</f>
        <v>1.4999999999999999E-2</v>
      </c>
    </row>
    <row r="23" spans="1:37" s="1549" customFormat="1" ht="18" customHeight="1">
      <c r="A23" s="1112" t="s">
        <v>1002</v>
      </c>
      <c r="B23" s="308" t="s">
        <v>1356</v>
      </c>
      <c r="C23" s="24">
        <f ca="1">IF('数据-取费表'!B22&lt;=1,ROUND(C19*F24*F23/2,0)+ROUND(C20*F24*F23/2,0),ROUND(C19*(POWER((1+F24),F23/2)-1),0)+ROUND(C20*(POWER((1+F24),F23/2)-1),0))</f>
        <v>492</v>
      </c>
      <c r="D23" s="335" t="str">
        <f>IF(F23&lt;=1,"(建造成本+管理费用)×利率×(建设周期÷2)","(建造成本+管理费用)×((1+利率)^(建设周期÷2)-1)")</f>
        <v>(建造成本+管理费用)×((1+利率)^(建设周期÷2)-1)</v>
      </c>
      <c r="E23" s="308" t="s">
        <v>1357</v>
      </c>
      <c r="F23" s="331">
        <f>'数据-取费表'!B20</f>
        <v>2</v>
      </c>
      <c r="G23" s="1548"/>
      <c r="H23" s="1112"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ROUND(J5*M24,1)</f>
        <v>0</v>
      </c>
      <c r="K24" s="1222" t="s">
        <v>1364</v>
      </c>
      <c r="L24" s="1220" t="s">
        <v>1360</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8" t="s">
        <v>1366</v>
      </c>
      <c r="C25" s="24"/>
      <c r="D25" s="136" t="s">
        <v>1367</v>
      </c>
      <c r="E25" s="1512"/>
      <c r="F25" s="26"/>
      <c r="G25" s="1536"/>
      <c r="H25" s="1209" t="s">
        <v>999</v>
      </c>
      <c r="I25" s="1224" t="s">
        <v>1368</v>
      </c>
      <c r="J25" s="316">
        <f ca="1">J5-J16</f>
        <v>-355</v>
      </c>
      <c r="K25" s="1225" t="s">
        <v>1369</v>
      </c>
      <c r="L25" s="1226"/>
      <c r="M25" s="1227"/>
    </row>
    <row r="26" spans="1:37">
      <c r="A26" s="1112" t="s">
        <v>1002</v>
      </c>
      <c r="B26" s="308" t="s">
        <v>1370</v>
      </c>
      <c r="C26" s="24">
        <f ca="1">ROUND((C19+C20)*F26,0)</f>
        <v>1755</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3.0000000000000001E-3</v>
      </c>
      <c r="D27" s="329" t="s">
        <v>1377</v>
      </c>
      <c r="E27" s="326"/>
      <c r="F27" s="327"/>
      <c r="G27" s="1536"/>
      <c r="H27" s="310"/>
      <c r="I27" s="311"/>
      <c r="J27" s="312"/>
      <c r="K27" s="338" t="s">
        <v>1378</v>
      </c>
      <c r="L27" s="308" t="s">
        <v>1379</v>
      </c>
      <c r="M27" s="339">
        <f ca="1">INDIRECT("'数据-取费表'!ag"&amp;$G$1)</f>
        <v>0</v>
      </c>
    </row>
    <row r="28" spans="1:37" s="1549" customFormat="1" ht="18" customHeight="1">
      <c r="A28" s="1112" t="s">
        <v>1005</v>
      </c>
      <c r="B28" s="308" t="s">
        <v>1380</v>
      </c>
      <c r="C28" s="24">
        <f>ROUND(F28/(1+'数据-取费表'!C42),4)</f>
        <v>5.2400000000000002E-2</v>
      </c>
      <c r="D28" s="329" t="s">
        <v>1381</v>
      </c>
      <c r="E28" s="308" t="s">
        <v>1327</v>
      </c>
      <c r="F28" s="328">
        <f>'数据-取费表'!B41</f>
        <v>5.5000000000000007E-2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15100</v>
      </c>
      <c r="D29" s="1222"/>
      <c r="E29" s="1220"/>
      <c r="F29" s="1223"/>
      <c r="G29" s="1548"/>
      <c r="H29" s="340" t="s">
        <v>1001</v>
      </c>
      <c r="I29" s="341" t="s">
        <v>1384</v>
      </c>
      <c r="J29" s="342">
        <f ca="1">ROUND(J26/(1+F40)^F41,0)</f>
        <v>0</v>
      </c>
      <c r="K29" s="343" t="s">
        <v>1385</v>
      </c>
      <c r="L29" s="344"/>
      <c r="M29" s="345">
        <f ca="1">INDIRECT("'数据-取费表'!k"&amp;$G$1)</f>
        <v>26834.3</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946</v>
      </c>
      <c r="D30" s="1217" t="s">
        <v>1330</v>
      </c>
      <c r="E30" s="1218"/>
      <c r="F30" s="1202"/>
      <c r="G30" s="1536"/>
      <c r="H30" s="2893"/>
      <c r="I30" s="1550"/>
      <c r="J30" s="1551"/>
      <c r="K30" s="2668"/>
      <c r="L30" s="2894"/>
      <c r="M30" s="2895"/>
    </row>
    <row r="31" spans="1:37" ht="18" customHeight="1">
      <c r="A31" s="1112" t="s">
        <v>1003</v>
      </c>
      <c r="B31" s="308" t="s">
        <v>1334</v>
      </c>
      <c r="C31" s="2501">
        <f ca="1">ROUND(IF(AND(项目基本情况!B11="自然人",项目基本情况!B10="北京市"),C6*F31/(1+'数据-取费表'!C42),C32+C33+C34),0)</f>
        <v>662</v>
      </c>
      <c r="D31" s="1497" t="s">
        <v>1335</v>
      </c>
      <c r="E31" s="1496" t="s">
        <v>1386</v>
      </c>
      <c r="F31" s="2500" t="str">
        <f>IF(项目基本情况!B11="企业","——",IF('数据-取费表'!B10="住宅",IF(F6*F7*F8/12/(1+'数据-取费表'!F30)&gt;100000,4%,2.5%),IF(F6*F7*F8/12/(1+'数据-取费表'!F30)&gt;100000,12%,7%)))</f>
        <v>——</v>
      </c>
      <c r="G31" s="1536"/>
      <c r="H31" s="3006" t="s">
        <v>2996</v>
      </c>
      <c r="I31" s="1550"/>
      <c r="J31" s="1551"/>
      <c r="K31" s="2668"/>
      <c r="L31" s="2894"/>
      <c r="M31" s="2895"/>
    </row>
    <row r="32" spans="1:37" ht="18" customHeight="1">
      <c r="A32" s="1112" t="s">
        <v>1002</v>
      </c>
      <c r="B32" s="308" t="s">
        <v>1338</v>
      </c>
      <c r="C32" s="24">
        <f ca="1">IF(项目基本情况!B11="自然人","——",ROUND(C6*F32/(1+'数据-取费表'!C42),2))</f>
        <v>207.8</v>
      </c>
      <c r="D32" s="1496" t="s">
        <v>1339</v>
      </c>
      <c r="E32" s="308" t="s">
        <v>1327</v>
      </c>
      <c r="F32" s="337">
        <f>'数据-取费表'!B41</f>
        <v>5.5000000000000007E-2</v>
      </c>
      <c r="G32" s="1536"/>
      <c r="H32" s="2893"/>
      <c r="I32" s="1550"/>
      <c r="J32" s="1551"/>
      <c r="K32" s="2668"/>
      <c r="L32" s="2894"/>
      <c r="M32" s="2895"/>
    </row>
    <row r="33" spans="1:18" ht="18" customHeight="1">
      <c r="A33" s="1112" t="s">
        <v>1004</v>
      </c>
      <c r="B33" s="308" t="s">
        <v>1342</v>
      </c>
      <c r="C33" s="24">
        <f ca="1">IF(项目基本情况!B11="自然人","——",IF(D33="按租金收入计税",ROUND(C6*F33/(1+'数据-取费表'!C42),2),IF(D33="按房产原值计税",ROUND(C29*F33*0.7,2),INDIRECT("'数据-取费表'!Aj"&amp;$G$1))))</f>
        <v>453.37</v>
      </c>
      <c r="D33" s="1522" t="s">
        <v>3142</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1.01</v>
      </c>
      <c r="D34" s="330" t="s">
        <v>1347</v>
      </c>
      <c r="E34" s="308" t="s">
        <v>1348</v>
      </c>
      <c r="F34" s="331">
        <f>'数据-取费表'!B52</f>
        <v>1.5</v>
      </c>
      <c r="G34" s="1536"/>
      <c r="H34" s="2893"/>
      <c r="I34" s="1550"/>
      <c r="J34" s="1551"/>
      <c r="K34" s="2898"/>
      <c r="L34" s="2899"/>
      <c r="M34" s="2899"/>
    </row>
    <row r="35" spans="1:18" ht="18" customHeight="1">
      <c r="A35" s="1233"/>
      <c r="B35" s="1231"/>
      <c r="C35" s="29"/>
      <c r="D35" s="333"/>
      <c r="E35" s="308" t="s">
        <v>1352</v>
      </c>
      <c r="F35" s="309">
        <f ca="1">INDIRECT("'数据-取费表'!r"&amp;$G$1)</f>
        <v>6706.16</v>
      </c>
      <c r="G35" s="1536"/>
      <c r="H35" s="2893"/>
      <c r="I35" s="1550"/>
      <c r="J35" s="1551"/>
      <c r="K35" s="2897"/>
      <c r="L35" s="2896"/>
      <c r="M35" s="2896"/>
    </row>
    <row r="36" spans="1:18" ht="18" customHeight="1">
      <c r="A36" s="1232" t="s">
        <v>1007</v>
      </c>
      <c r="B36" s="308" t="s">
        <v>1354</v>
      </c>
      <c r="C36" s="24">
        <f ca="1">ROUND(C29*F36,1)</f>
        <v>226.5</v>
      </c>
      <c r="D36" s="1496" t="s">
        <v>1387</v>
      </c>
      <c r="E36" s="308" t="s">
        <v>1327</v>
      </c>
      <c r="F36" s="334">
        <f ca="1">INDIRECT("'数据-取费表'!Ak"&amp;$G$1)</f>
        <v>1.4999999999999999E-2</v>
      </c>
      <c r="G36" s="1536"/>
      <c r="H36" s="2896"/>
      <c r="I36" s="1550"/>
      <c r="J36" s="1551"/>
      <c r="K36" s="2737"/>
      <c r="L36" s="2896"/>
      <c r="M36" s="2896"/>
    </row>
    <row r="37" spans="1:18" ht="18" customHeight="1">
      <c r="A37" s="1112" t="s">
        <v>1043</v>
      </c>
      <c r="B37" s="308" t="s">
        <v>1358</v>
      </c>
      <c r="C37" s="24">
        <f ca="1">ROUND(C13*F37,1)</f>
        <v>18.100000000000001</v>
      </c>
      <c r="D37" s="1496" t="s">
        <v>1359</v>
      </c>
      <c r="E37" s="308" t="s">
        <v>1360</v>
      </c>
      <c r="F37" s="336">
        <f ca="1">INDIRECT("'数据-取费表'!Al"&amp;$G$1)</f>
        <v>1.5E-3</v>
      </c>
      <c r="G37" s="1536"/>
      <c r="H37" s="2896"/>
      <c r="I37" s="1550"/>
      <c r="J37" s="1551"/>
      <c r="K37" s="2737"/>
      <c r="L37" s="2896"/>
      <c r="M37" s="2896"/>
    </row>
    <row r="38" spans="1:18" ht="18" customHeight="1" thickBot="1">
      <c r="A38" s="1219" t="s">
        <v>1298</v>
      </c>
      <c r="B38" s="1220" t="s">
        <v>1344</v>
      </c>
      <c r="C38" s="1221">
        <f ca="1">ROUND(C5*F38,1)</f>
        <v>39.700000000000003</v>
      </c>
      <c r="D38" s="1222" t="s">
        <v>1364</v>
      </c>
      <c r="E38" s="1220" t="s">
        <v>1360</v>
      </c>
      <c r="F38" s="1216">
        <f ca="1">INDIRECT("'数据-取费表'!Am"&amp;$G$1)</f>
        <v>0.01</v>
      </c>
      <c r="G38" s="1536"/>
      <c r="H38" s="2896"/>
      <c r="I38" s="1550"/>
      <c r="J38" s="1551"/>
      <c r="K38" s="2900"/>
      <c r="L38" s="2896"/>
      <c r="M38" s="2896"/>
    </row>
    <row r="39" spans="1:18" ht="24.6" customHeight="1" thickTop="1">
      <c r="A39" s="1209" t="s">
        <v>999</v>
      </c>
      <c r="B39" s="1224" t="s">
        <v>1388</v>
      </c>
      <c r="C39" s="316">
        <f ca="1">C5-C30</f>
        <v>3026</v>
      </c>
      <c r="D39" s="1225" t="s">
        <v>1389</v>
      </c>
      <c r="E39" s="1226"/>
      <c r="F39" s="1227"/>
      <c r="G39" s="1536"/>
      <c r="H39" s="2896"/>
      <c r="I39" s="1550"/>
      <c r="J39" s="1551"/>
      <c r="K39" s="2900"/>
      <c r="L39" s="2896"/>
      <c r="M39" s="2896"/>
    </row>
    <row r="40" spans="1:18" ht="18" customHeight="1">
      <c r="A40" s="305" t="s">
        <v>1000</v>
      </c>
      <c r="B40" s="306" t="s">
        <v>1390</v>
      </c>
      <c r="C40" s="307">
        <f ca="1">ROUND(C39*(1-((1+F42)/(1+F40))^F41)/(F40-F42),0)</f>
        <v>63101</v>
      </c>
      <c r="D40" s="330" t="s">
        <v>1374</v>
      </c>
      <c r="E40" s="308" t="s">
        <v>1375</v>
      </c>
      <c r="F40" s="318">
        <f ca="1">INDIRECT("'数据-取费表'!I"&amp;$G$1)</f>
        <v>5.5E-2</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30.72</v>
      </c>
      <c r="G41" s="1536"/>
      <c r="H41" s="1323"/>
      <c r="I41" s="1550"/>
      <c r="J41" s="1551"/>
      <c r="K41" s="2737"/>
      <c r="L41" s="1323"/>
      <c r="M41" s="1323"/>
    </row>
    <row r="42" spans="1:18" ht="18" customHeight="1">
      <c r="A42" s="314"/>
      <c r="B42" s="315"/>
      <c r="C42" s="316"/>
      <c r="D42" s="333"/>
      <c r="E42" s="308" t="s">
        <v>1382</v>
      </c>
      <c r="F42" s="318">
        <f ca="1">INDIRECT("'数据-取费表'!v"&amp;$G$1)</f>
        <v>0.03</v>
      </c>
      <c r="G42" s="1536"/>
      <c r="H42" s="1323"/>
      <c r="I42" s="1550"/>
      <c r="J42" s="1551"/>
      <c r="K42" s="2737"/>
      <c r="L42" s="1323"/>
      <c r="M42" s="1323"/>
    </row>
    <row r="43" spans="1:18" ht="18" customHeight="1" thickBot="1">
      <c r="A43" s="340" t="s">
        <v>1001</v>
      </c>
      <c r="B43" s="341" t="s">
        <v>1392</v>
      </c>
      <c r="C43" s="342">
        <f ca="1">ROUND(C40*10000/F43,0)</f>
        <v>23515</v>
      </c>
      <c r="D43" s="343" t="s">
        <v>1393</v>
      </c>
      <c r="E43" s="344" t="s">
        <v>1394</v>
      </c>
      <c r="F43" s="345">
        <f ca="1">INDIRECT("'数据-取费表'!k"&amp;$G$1)</f>
        <v>26834.3</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1" t="s">
        <v>1424</v>
      </c>
      <c r="P45" s="1613"/>
      <c r="Q45" s="1613"/>
      <c r="R45" s="1613"/>
    </row>
    <row r="46" spans="1:18" s="1536" customFormat="1" ht="13.5" thickBot="1">
      <c r="A46" s="1556" t="s">
        <v>1425</v>
      </c>
      <c r="C46" s="1557">
        <f ca="1">C68-C40</f>
        <v>-85314</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247" t="s">
        <v>1303</v>
      </c>
      <c r="D47" s="1108" t="s">
        <v>1304</v>
      </c>
      <c r="E47" s="1187" t="s">
        <v>1305</v>
      </c>
      <c r="F47" s="1188"/>
      <c r="G47" s="730"/>
      <c r="I47" s="1566" t="s">
        <v>1431</v>
      </c>
      <c r="J47" s="1567" t="s">
        <v>3143</v>
      </c>
      <c r="K47" s="1568" t="s">
        <v>1432</v>
      </c>
      <c r="L47" s="1569">
        <f ca="1">INDIRECT("'数据-取费表'!d"&amp;$G$1)</f>
        <v>50</v>
      </c>
      <c r="M47" s="1532" t="str">
        <f>IF(ISNUMBER(FIND("住宅",C1)),"住宅","非住宅")</f>
        <v>非住宅</v>
      </c>
      <c r="O47" s="1570" t="s">
        <v>1008</v>
      </c>
      <c r="P47" s="1571" t="s">
        <v>1433</v>
      </c>
      <c r="Q47" s="1572">
        <f ca="1">C40+J29</f>
        <v>63101</v>
      </c>
      <c r="R47" s="1572" t="s">
        <v>1434</v>
      </c>
    </row>
    <row r="48" spans="1:18" s="1536" customFormat="1" ht="28.5" thickBot="1">
      <c r="A48" s="1240" t="s">
        <v>1044</v>
      </c>
      <c r="B48" s="306" t="s">
        <v>1306</v>
      </c>
      <c r="C48" s="1511">
        <f ca="1">C49+C53+C55</f>
        <v>0</v>
      </c>
      <c r="D48" s="1242"/>
      <c r="E48" s="1243"/>
      <c r="F48" s="1092"/>
      <c r="G48" s="730"/>
      <c r="H48" s="731"/>
      <c r="I48" s="1573" t="s">
        <v>1435</v>
      </c>
      <c r="J48" s="1574" t="s">
        <v>3144</v>
      </c>
      <c r="K48" s="1575" t="s">
        <v>1436</v>
      </c>
      <c r="L48" s="1576">
        <f ca="1">INDIRECT("'数据-取费表'!f"&amp;$G$1)</f>
        <v>30.72</v>
      </c>
      <c r="O48" s="1570" t="s">
        <v>1009</v>
      </c>
      <c r="P48" s="1571" t="s">
        <v>1437</v>
      </c>
      <c r="Q48" s="1572" t="str">
        <f ca="1">J60</f>
        <v>0</v>
      </c>
      <c r="R48" s="1572" t="s">
        <v>1438</v>
      </c>
    </row>
    <row r="49" spans="1:18" s="1536" customFormat="1" ht="13.5" thickBot="1">
      <c r="A49" s="1105" t="s">
        <v>1045</v>
      </c>
      <c r="B49" s="1523" t="s">
        <v>1395</v>
      </c>
      <c r="C49" s="1244">
        <f ca="1">ROUND(F49*F51*F50*(1-F52)/10000,0)</f>
        <v>0</v>
      </c>
      <c r="D49" s="1184" t="s">
        <v>2790</v>
      </c>
      <c r="E49" s="1524" t="s">
        <v>1396</v>
      </c>
      <c r="F49" s="1189"/>
      <c r="G49" s="1577"/>
      <c r="H49" s="731"/>
      <c r="I49" s="1573" t="s">
        <v>1439</v>
      </c>
      <c r="J49" s="1578">
        <f>'数据-取费表'!N21</f>
        <v>2004</v>
      </c>
      <c r="K49" s="1575" t="s">
        <v>1440</v>
      </c>
      <c r="L49" s="1579"/>
      <c r="O49" s="1580" t="s">
        <v>1010</v>
      </c>
      <c r="P49" s="1571" t="s">
        <v>1441</v>
      </c>
      <c r="Q49" s="1572">
        <f ca="1">C29</f>
        <v>15100</v>
      </c>
      <c r="R49" s="1572" t="s">
        <v>1434</v>
      </c>
    </row>
    <row r="50" spans="1:18" s="1536" customFormat="1" ht="13.5" thickBot="1">
      <c r="A50" s="1106"/>
      <c r="B50" s="1109"/>
      <c r="C50" s="1248"/>
      <c r="D50" s="1083"/>
      <c r="E50" s="1185" t="s">
        <v>1311</v>
      </c>
      <c r="F50" s="1186">
        <f ca="1">F7</f>
        <v>26834.3</v>
      </c>
      <c r="H50" s="731"/>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9">
        <f ca="1">F8</f>
        <v>365</v>
      </c>
      <c r="I51" s="1584" t="s">
        <v>1445</v>
      </c>
      <c r="J51" s="1585">
        <f>IF(J49="",J50,J49+J50-YEAR('数据-取费表'!B2))</f>
        <v>42</v>
      </c>
      <c r="K51" s="1586" t="s">
        <v>1446</v>
      </c>
      <c r="L51" s="1587">
        <f ca="1">ROUND(-PV(INDIRECT("'数据-取费表'!h"&amp;$G$1),J51,(C39-C13*C76),0),0)</f>
        <v>37990</v>
      </c>
      <c r="M51" s="1588"/>
      <c r="O51" s="1580" t="s">
        <v>1012</v>
      </c>
      <c r="P51" s="1571" t="s">
        <v>1447</v>
      </c>
      <c r="Q51" s="1583">
        <f>J52</f>
        <v>7.4999999999999997E-2</v>
      </c>
      <c r="R51" s="1572"/>
    </row>
    <row r="52" spans="1:18" s="1536" customFormat="1" ht="13.5" thickBot="1">
      <c r="A52" s="1107"/>
      <c r="B52" s="1109"/>
      <c r="C52" s="1110"/>
      <c r="D52" s="1083"/>
      <c r="E52" s="1111" t="s">
        <v>1313</v>
      </c>
      <c r="F52" s="1183"/>
      <c r="I52" s="1589" t="s">
        <v>1448</v>
      </c>
      <c r="J52" s="1590">
        <v>7.4999999999999997E-2</v>
      </c>
      <c r="K52" s="1589" t="s">
        <v>1449</v>
      </c>
      <c r="L52" s="1590"/>
      <c r="O52" s="1580" t="s">
        <v>1013</v>
      </c>
      <c r="P52" s="1571" t="s">
        <v>1450</v>
      </c>
      <c r="Q52" s="1572">
        <f ca="1">J53</f>
        <v>30.72</v>
      </c>
      <c r="R52" s="1572" t="s">
        <v>1451</v>
      </c>
    </row>
    <row r="53" spans="1:18" s="1536" customFormat="1" ht="24.75" thickBot="1">
      <c r="A53" s="1284" t="s">
        <v>1046</v>
      </c>
      <c r="B53" s="1525" t="s">
        <v>1314</v>
      </c>
      <c r="C53" s="322">
        <f ca="1">ROUND(IF(F53="押一",C49/12*F11,IF(F53="押二",C49/12*2*F11,IF(F53="押三",C49/12*3*F11,C54*F11))),0)</f>
        <v>0</v>
      </c>
      <c r="D53" s="1518" t="s">
        <v>2796</v>
      </c>
      <c r="E53" s="319" t="s">
        <v>1315</v>
      </c>
      <c r="F53" s="1246"/>
      <c r="I53" s="1591" t="s">
        <v>1452</v>
      </c>
      <c r="J53" s="2353">
        <f ca="1">IF(M47="住宅",IF(D1="——",MAX(J51,L48),MAX(J51,L48-'数据-取费表'!B24)),IF(D1="——",MIN(J51,L48),MIN(J51,L48-'数据-取费表'!B24)))</f>
        <v>30.72</v>
      </c>
      <c r="K53" s="3472" t="s">
        <v>1453</v>
      </c>
      <c r="L53" s="3473"/>
      <c r="O53" s="1570" t="s">
        <v>1014</v>
      </c>
      <c r="P53" s="1571" t="s">
        <v>1454</v>
      </c>
      <c r="Q53" s="1572">
        <f ca="1">Q47+Q48</f>
        <v>63101</v>
      </c>
      <c r="R53" s="1572" t="s">
        <v>1015</v>
      </c>
    </row>
    <row r="54" spans="1:18" s="1536" customFormat="1" ht="13.5" thickBot="1">
      <c r="A54" s="1285"/>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7">
        <v>2</v>
      </c>
      <c r="B56" s="1088" t="s">
        <v>1319</v>
      </c>
      <c r="C56" s="238">
        <f ca="1">C13</f>
        <v>12080</v>
      </c>
      <c r="D56" s="1599"/>
      <c r="E56" s="1600"/>
      <c r="F56" s="1592"/>
      <c r="I56" s="1601" t="s">
        <v>1459</v>
      </c>
      <c r="J56" s="1602" t="s">
        <v>3133</v>
      </c>
      <c r="K56" s="1573" t="s">
        <v>1460</v>
      </c>
      <c r="L56" s="1576" t="str">
        <f ca="1">IF(L48&lt;J51,"——",L48-J53)</f>
        <v>——</v>
      </c>
      <c r="O56" s="1570" t="s">
        <v>1008</v>
      </c>
      <c r="P56" s="1571" t="s">
        <v>1433</v>
      </c>
      <c r="Q56" s="1572">
        <f ca="1">C40+J29</f>
        <v>63101</v>
      </c>
      <c r="R56" s="1572" t="s">
        <v>1434</v>
      </c>
    </row>
    <row r="57" spans="1:18" s="1536" customFormat="1" ht="24.75" thickBot="1">
      <c r="A57" s="1603"/>
      <c r="B57" s="1080" t="s">
        <v>1383</v>
      </c>
      <c r="C57" s="244">
        <f ca="1">C29</f>
        <v>15100</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8" t="s">
        <v>1329</v>
      </c>
      <c r="C58" s="322">
        <f ca="1">ROUND(C59+C64+C65+C66,0)</f>
        <v>1514</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1269</v>
      </c>
      <c r="D59" s="1093" t="s">
        <v>1335</v>
      </c>
      <c r="E59" s="1094"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IF(项目基本情况!B11="自然人","——",IF(D61="按租金收入计税",ROUND(C49*F61/(1+'数据-取费表'!C42),2),IF(D61="按房产原值计税",ROUND(C57*F61*0.7,2),INDIRECT("'数据-取费表'!Aj"&amp;$G$1))))</f>
        <v>1268.4000000000001</v>
      </c>
      <c r="D61" s="1522" t="s">
        <v>1343</v>
      </c>
      <c r="E61" s="1080" t="s">
        <v>1399</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1401</v>
      </c>
      <c r="C62" s="25">
        <f ca="1">IF(项目基本情况!B11="自然人","——",ROUND(F62*F63/10000,2))</f>
        <v>1.01</v>
      </c>
      <c r="D62" s="1095" t="s">
        <v>1402</v>
      </c>
      <c r="E62" s="1080" t="s">
        <v>1403</v>
      </c>
      <c r="F62" s="331">
        <f t="shared" si="0"/>
        <v>1.5</v>
      </c>
      <c r="I62" s="1614" t="s">
        <v>1475</v>
      </c>
      <c r="J62" s="1615" t="s">
        <v>1476</v>
      </c>
      <c r="K62" s="1615" t="s">
        <v>1477</v>
      </c>
      <c r="L62" s="1615" t="s">
        <v>1478</v>
      </c>
      <c r="M62" s="1616" t="s">
        <v>1479</v>
      </c>
      <c r="O62" s="1570" t="s">
        <v>1014</v>
      </c>
      <c r="P62" s="1571" t="s">
        <v>1480</v>
      </c>
      <c r="Q62" s="1572">
        <f ca="1">Q56+Q57</f>
        <v>63101</v>
      </c>
      <c r="R62" s="1572" t="s">
        <v>1015</v>
      </c>
    </row>
    <row r="63" spans="1:18" s="1536" customFormat="1" ht="13.5" thickBot="1">
      <c r="A63" s="332"/>
      <c r="B63" s="1086"/>
      <c r="C63" s="29"/>
      <c r="D63" s="1096"/>
      <c r="E63" s="1080" t="s">
        <v>1404</v>
      </c>
      <c r="F63" s="309">
        <f t="shared" ca="1" si="0"/>
        <v>6706.16</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ROUND(C57*F64,1)</f>
        <v>226.5</v>
      </c>
      <c r="D64" s="1094" t="s">
        <v>1407</v>
      </c>
      <c r="E64" s="1080" t="s">
        <v>1399</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18.100000000000001</v>
      </c>
      <c r="D65" s="1094" t="s">
        <v>1359</v>
      </c>
      <c r="E65" s="1080" t="s">
        <v>1360</v>
      </c>
      <c r="F65" s="336">
        <f t="shared" ca="1" si="0"/>
        <v>1.5E-3</v>
      </c>
      <c r="I65" s="1614" t="s">
        <v>1484</v>
      </c>
      <c r="J65" s="1615">
        <v>40</v>
      </c>
      <c r="K65" s="1615">
        <v>30</v>
      </c>
      <c r="L65" s="1615">
        <v>50</v>
      </c>
      <c r="M65" s="1617">
        <v>0.02</v>
      </c>
      <c r="O65" s="1570" t="s">
        <v>1008</v>
      </c>
      <c r="P65" s="1571" t="s">
        <v>1485</v>
      </c>
      <c r="Q65" s="1572">
        <f ca="1">C40+J29</f>
        <v>63101</v>
      </c>
      <c r="R65" s="1572" t="s">
        <v>1434</v>
      </c>
    </row>
    <row r="66" spans="1:18" s="1536" customFormat="1" ht="16.5" thickBot="1">
      <c r="A66" s="1112" t="s">
        <v>1409</v>
      </c>
      <c r="B66" s="1080" t="s">
        <v>1344</v>
      </c>
      <c r="C66" s="24">
        <f ca="1">ROUND(C48*F66,1)</f>
        <v>0</v>
      </c>
      <c r="D66" s="1094" t="s">
        <v>1410</v>
      </c>
      <c r="E66" s="1080" t="s">
        <v>1327</v>
      </c>
      <c r="F66" s="318">
        <f t="shared" ca="1" si="0"/>
        <v>0.01</v>
      </c>
      <c r="O66" s="1570" t="s">
        <v>1009</v>
      </c>
      <c r="P66" s="1571" t="s">
        <v>1463</v>
      </c>
      <c r="Q66" s="1572">
        <f ca="1">L60</f>
        <v>0</v>
      </c>
      <c r="R66" s="1572" t="s">
        <v>1486</v>
      </c>
    </row>
    <row r="67" spans="1:18" s="1536" customFormat="1" ht="16.5" thickBot="1">
      <c r="A67" s="1087" t="s">
        <v>999</v>
      </c>
      <c r="B67" s="1097" t="s">
        <v>1368</v>
      </c>
      <c r="C67" s="322">
        <f ca="1">C48-C58</f>
        <v>-1514</v>
      </c>
      <c r="D67" s="1093" t="s">
        <v>1369</v>
      </c>
      <c r="E67" s="1098"/>
      <c r="F67" s="1099"/>
      <c r="O67" s="1580" t="s">
        <v>1010</v>
      </c>
      <c r="P67" s="1571" t="s">
        <v>1467</v>
      </c>
      <c r="Q67" s="1618">
        <f ca="1">L51</f>
        <v>37990</v>
      </c>
      <c r="R67" s="1572" t="s">
        <v>1487</v>
      </c>
    </row>
    <row r="68" spans="1:18" s="1536" customFormat="1" ht="16.5" thickBot="1">
      <c r="A68" s="1077" t="s">
        <v>1000</v>
      </c>
      <c r="B68" s="1078" t="s">
        <v>1390</v>
      </c>
      <c r="C68" s="307">
        <f ca="1">ROUND(C67*(1-((1+F70)/(1+F68))^F69)/(F68-F70),0)</f>
        <v>-22213</v>
      </c>
      <c r="D68" s="1095" t="s">
        <v>1374</v>
      </c>
      <c r="E68" s="1080" t="s">
        <v>1375</v>
      </c>
      <c r="F68" s="318">
        <f ca="1">F40</f>
        <v>5.5E-2</v>
      </c>
      <c r="O68" s="1580" t="s">
        <v>1011</v>
      </c>
      <c r="P68" s="1619" t="s">
        <v>1488</v>
      </c>
      <c r="Q68" s="1572">
        <f ca="1">ROUND(Q69-Q70*Q71,0)</f>
        <v>2180</v>
      </c>
      <c r="R68" s="1572" t="s">
        <v>1019</v>
      </c>
    </row>
    <row r="69" spans="1:18" s="1536" customFormat="1" ht="13.5" thickBot="1">
      <c r="A69" s="1081"/>
      <c r="B69" s="1082"/>
      <c r="C69" s="312"/>
      <c r="D69" s="1100" t="s">
        <v>1378</v>
      </c>
      <c r="E69" s="1080" t="s">
        <v>1379</v>
      </c>
      <c r="F69" s="339">
        <f ca="1">F41</f>
        <v>30.72</v>
      </c>
      <c r="O69" s="1580" t="s">
        <v>1016</v>
      </c>
      <c r="P69" s="1619" t="s">
        <v>1489</v>
      </c>
      <c r="Q69" s="1572">
        <f ca="1">C39</f>
        <v>3026</v>
      </c>
      <c r="R69" s="1572" t="s">
        <v>1434</v>
      </c>
    </row>
    <row r="70" spans="1:18" s="1536" customFormat="1" ht="13.5" thickBot="1">
      <c r="A70" s="1084"/>
      <c r="B70" s="1085"/>
      <c r="C70" s="316"/>
      <c r="D70" s="1096"/>
      <c r="E70" s="1080" t="s">
        <v>1382</v>
      </c>
      <c r="F70" s="1183"/>
      <c r="O70" s="1580" t="s">
        <v>1017</v>
      </c>
      <c r="P70" s="1619" t="s">
        <v>1490</v>
      </c>
      <c r="Q70" s="1572">
        <f ca="1">C13</f>
        <v>12080</v>
      </c>
      <c r="R70" s="1572" t="s">
        <v>1434</v>
      </c>
    </row>
    <row r="71" spans="1:18" s="1536" customFormat="1" ht="13.5" thickBot="1">
      <c r="A71" s="1101" t="s">
        <v>1001</v>
      </c>
      <c r="B71" s="1102" t="s">
        <v>1392</v>
      </c>
      <c r="C71" s="342">
        <f ca="1">ROUND(C68*10000/F71,0)</f>
        <v>-8278</v>
      </c>
      <c r="D71" s="1103" t="s">
        <v>1393</v>
      </c>
      <c r="E71" s="1104" t="s">
        <v>1394</v>
      </c>
      <c r="F71" s="345">
        <f ca="1">F43</f>
        <v>26834.3</v>
      </c>
      <c r="O71" s="1580" t="s">
        <v>1018</v>
      </c>
      <c r="P71" s="1619" t="s">
        <v>1491</v>
      </c>
      <c r="Q71" s="1583">
        <f ca="1">C76</f>
        <v>7.0000000000000007E-2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846</v>
      </c>
      <c r="D75" s="1536"/>
      <c r="E75" s="1536"/>
      <c r="F75" s="1536"/>
      <c r="K75" s="1554"/>
      <c r="L75" s="1536"/>
      <c r="O75" s="1570" t="s">
        <v>1014</v>
      </c>
      <c r="P75" s="1571" t="s">
        <v>1454</v>
      </c>
      <c r="Q75" s="1572">
        <f ca="1">Q65+Q66</f>
        <v>63101</v>
      </c>
      <c r="R75" s="1572" t="s">
        <v>1015</v>
      </c>
    </row>
    <row r="76" spans="1:18">
      <c r="B76" s="348" t="s">
        <v>1412</v>
      </c>
      <c r="C76" s="349">
        <f ca="1">INDIRECT("'数据-取费表'!j"&amp;$G$1)</f>
        <v>7.0000000000000007E-2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0.72</v>
      </c>
    </row>
    <row r="80" spans="1:18">
      <c r="B80" s="346" t="s">
        <v>1416</v>
      </c>
      <c r="C80" s="280">
        <f ca="1">ROUND(C75/C39,3)</f>
        <v>0.28000000000000003</v>
      </c>
    </row>
    <row r="81" spans="2:3">
      <c r="B81" s="276" t="s">
        <v>1417</v>
      </c>
      <c r="C81" s="244"/>
    </row>
    <row r="82" spans="2:3">
      <c r="B82" s="279" t="s">
        <v>1418</v>
      </c>
      <c r="C82" s="281">
        <f ca="1">1-C83</f>
        <v>0.80899999999999994</v>
      </c>
    </row>
    <row r="83" spans="2:3">
      <c r="B83" s="279" t="s">
        <v>1419</v>
      </c>
      <c r="C83" s="280">
        <f ca="1">ROUND(C13/C40,3)</f>
        <v>0.191</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1"/>
      <c r="C1" s="1531"/>
      <c r="D1" s="1514"/>
      <c r="E1" s="1515" t="s">
        <v>1292</v>
      </c>
      <c r="F1" s="1191">
        <f ca="1">J53</f>
        <v>0</v>
      </c>
      <c r="G1" s="1530">
        <f>MATCH(C1,'数据-取费表'!A6:A16,0)+5</f>
        <v>7</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c r="A3" s="1542" t="s">
        <v>1498</v>
      </c>
      <c r="B3" s="1543">
        <f ca="1">IF(ISERROR(D2/F43),0,ROUND(D2/F43,0))</f>
        <v>0</v>
      </c>
      <c r="C3" s="1539" t="s">
        <v>1499</v>
      </c>
      <c r="D3" s="1539"/>
      <c r="E3" s="1540"/>
      <c r="F3" s="1541"/>
      <c r="G3" s="2902"/>
      <c r="H3" s="691"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0">
        <f ca="1">C6+C10+C12</f>
        <v>0</v>
      </c>
      <c r="D5" s="1516" t="s">
        <v>1506</v>
      </c>
      <c r="E5" s="1201"/>
      <c r="F5" s="1202"/>
      <c r="G5" s="1536"/>
      <c r="H5" s="305">
        <v>1</v>
      </c>
      <c r="I5" s="306" t="s">
        <v>1505</v>
      </c>
      <c r="J5" s="1200">
        <f ca="1">J6+J10+J12</f>
        <v>0</v>
      </c>
      <c r="K5" s="1516" t="s">
        <v>1506</v>
      </c>
      <c r="L5" s="1201"/>
      <c r="M5" s="1202"/>
    </row>
    <row r="6" spans="1:37" ht="18" customHeight="1">
      <c r="A6" s="1199" t="s">
        <v>1003</v>
      </c>
      <c r="B6" s="3474" t="s">
        <v>1308</v>
      </c>
      <c r="C6" s="1204">
        <f ca="1">ROUND(F6*F8*F7*(1-F9),0)</f>
        <v>0</v>
      </c>
      <c r="D6" s="160" t="s">
        <v>2786</v>
      </c>
      <c r="E6" s="308" t="s">
        <v>1310</v>
      </c>
      <c r="F6" s="309">
        <f ca="1">INDIRECT("'数据-取费表'!u"&amp;$G$1)</f>
        <v>0</v>
      </c>
      <c r="G6" s="1536"/>
      <c r="H6" s="1199" t="s">
        <v>1003</v>
      </c>
      <c r="I6" s="3474" t="s">
        <v>1308</v>
      </c>
      <c r="J6" s="307">
        <f ca="1">ROUND(M6*M8*M7*(1-M9),0)</f>
        <v>0</v>
      </c>
      <c r="K6" s="1528" t="s">
        <v>2787</v>
      </c>
      <c r="L6" s="308" t="s">
        <v>1310</v>
      </c>
      <c r="M6" s="309">
        <f ca="1">INDIRECT("'数据-取费表'!z"&amp;$G$1)</f>
        <v>0</v>
      </c>
    </row>
    <row r="7" spans="1:37" ht="18" customHeight="1">
      <c r="A7" s="1203"/>
      <c r="B7" s="3475"/>
      <c r="C7" s="1205"/>
      <c r="D7" s="313"/>
      <c r="E7" s="1206" t="s">
        <v>1311</v>
      </c>
      <c r="F7" s="309">
        <f ca="1">IF(INDIRECT("'数据-取费表'!ah"&amp;$G$1)="",INDIRECT("'数据-取费表'!k"&amp;$G$1),INDIRECT("'数据-取费表'!ah"&amp;$G$1))</f>
        <v>0</v>
      </c>
      <c r="G7" s="1536"/>
      <c r="H7" s="310"/>
      <c r="I7" s="3475"/>
      <c r="J7" s="312"/>
      <c r="K7" s="313"/>
      <c r="L7" s="308" t="s">
        <v>1311</v>
      </c>
      <c r="M7" s="309">
        <f ca="1">F7</f>
        <v>0</v>
      </c>
    </row>
    <row r="8" spans="1:37" ht="18" customHeight="1">
      <c r="A8" s="310"/>
      <c r="B8" s="3475"/>
      <c r="C8" s="312"/>
      <c r="D8" s="313"/>
      <c r="E8" s="308" t="s">
        <v>1312</v>
      </c>
      <c r="F8" s="309">
        <f ca="1">INDIRECT("'数据-取费表'!ai"&amp;$G$1)</f>
        <v>0</v>
      </c>
      <c r="G8" s="1536"/>
      <c r="H8" s="310"/>
      <c r="I8" s="3475"/>
      <c r="J8" s="312"/>
      <c r="K8" s="313"/>
      <c r="L8" s="308" t="s">
        <v>1312</v>
      </c>
      <c r="M8" s="309">
        <f ca="1">INDIRECT("'数据-取费表'!ai"&amp;$G$1)</f>
        <v>0</v>
      </c>
    </row>
    <row r="9" spans="1:37" ht="18" customHeight="1">
      <c r="A9" s="310"/>
      <c r="B9" s="3476"/>
      <c r="C9" s="312"/>
      <c r="D9" s="313"/>
      <c r="E9" s="308" t="s">
        <v>1313</v>
      </c>
      <c r="F9" s="318">
        <f ca="1">INDIRECT("'数据-取费表'!w"&amp;$G$1)</f>
        <v>0</v>
      </c>
      <c r="G9" s="1536"/>
      <c r="H9" s="310"/>
      <c r="I9" s="3476"/>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2796</v>
      </c>
      <c r="E10" s="319" t="s">
        <v>1315</v>
      </c>
      <c r="F10" s="1246"/>
      <c r="G10" s="1536"/>
      <c r="H10" s="1199" t="s">
        <v>1007</v>
      </c>
      <c r="I10" s="1517" t="s">
        <v>1314</v>
      </c>
      <c r="J10" s="307">
        <f ca="1">ROUND(IF(M10="押一",J6/12*M11,IF(M10="押二",J6/12*2*M11,IF(M10="押三",J6/12*3*M11,J11*M11))),0)</f>
        <v>0</v>
      </c>
      <c r="K10" s="1529" t="s">
        <v>2798</v>
      </c>
      <c r="L10" s="319" t="s">
        <v>1315</v>
      </c>
      <c r="M10" s="1246"/>
    </row>
    <row r="11" spans="1:37" ht="18" customHeight="1">
      <c r="A11" s="314"/>
      <c r="B11" s="1519" t="s">
        <v>1507</v>
      </c>
      <c r="C11" s="1089"/>
      <c r="D11" s="313"/>
      <c r="E11" s="319" t="s">
        <v>1317</v>
      </c>
      <c r="F11" s="320">
        <f ca="1">'数据-取费表'!B39</f>
        <v>1.4999999999999999E-2</v>
      </c>
      <c r="G11" s="1536"/>
      <c r="H11" s="1207"/>
      <c r="I11" s="1519" t="s">
        <v>1508</v>
      </c>
      <c r="J11" s="1089"/>
      <c r="K11" s="692"/>
      <c r="L11" s="319" t="s">
        <v>1317</v>
      </c>
      <c r="M11" s="970">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2" t="s">
        <v>1002</v>
      </c>
      <c r="B14" s="308" t="s">
        <v>1322</v>
      </c>
      <c r="C14" s="324">
        <f ca="1">ROUND(INDIRECT("'数据-取费表'!l"&amp;$G$1)*F43+'数据-取费表'!L14*INDIRECT("'数据-取费表'!S"&amp;$G$1),0)</f>
        <v>0</v>
      </c>
      <c r="D14" s="1497" t="s">
        <v>1323</v>
      </c>
      <c r="E14" s="1494"/>
      <c r="F14" s="325"/>
      <c r="G14" s="1536"/>
      <c r="H14" s="1112" t="s">
        <v>1003</v>
      </c>
      <c r="I14" s="308" t="s">
        <v>1324</v>
      </c>
      <c r="J14" s="24">
        <f ca="1">C29</f>
        <v>0</v>
      </c>
      <c r="K14" s="15"/>
      <c r="L14" s="915"/>
      <c r="M14" s="916"/>
    </row>
    <row r="15" spans="1:37" s="1549" customFormat="1" ht="18" customHeight="1" thickBot="1">
      <c r="A15" s="1112" t="s">
        <v>1004</v>
      </c>
      <c r="B15" s="308" t="s">
        <v>1325</v>
      </c>
      <c r="C15" s="24">
        <f ca="1">ROUND(C14*F15,0)</f>
        <v>0</v>
      </c>
      <c r="D15" s="326" t="s">
        <v>1326</v>
      </c>
      <c r="E15" s="32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8" t="s">
        <v>1328</v>
      </c>
      <c r="C16" s="24">
        <f ca="1">ROUND(INDIRECT("'数据-取费表'!l"&amp;$G$1)*F43*F16,0)</f>
        <v>0</v>
      </c>
      <c r="D16" s="308" t="s">
        <v>1326</v>
      </c>
      <c r="E16" s="308" t="s">
        <v>1327</v>
      </c>
      <c r="F16" s="328">
        <f ca="1">IF(INDIRECT("'数据-取费表'!c"&amp;$G$1)="住宅",'数据-取费表'!B34,0)</f>
        <v>0</v>
      </c>
      <c r="G16" s="1536"/>
      <c r="H16" s="1209" t="s">
        <v>998</v>
      </c>
      <c r="I16" s="1210" t="s">
        <v>1329</v>
      </c>
      <c r="J16" s="316">
        <f ca="1">ROUND(J17+J22+J23+J24,0)</f>
        <v>0</v>
      </c>
      <c r="K16" s="1217" t="s">
        <v>1330</v>
      </c>
      <c r="L16" s="1218"/>
      <c r="M16" s="1202"/>
    </row>
    <row r="17" spans="1:37" s="1549" customFormat="1" ht="18" customHeight="1">
      <c r="A17" s="1112" t="s">
        <v>1295</v>
      </c>
      <c r="B17" s="308" t="s">
        <v>1331</v>
      </c>
      <c r="C17" s="24">
        <f ca="1">ROUND(F17*(F43+INDIRECT("'数据-取费表'!S"&amp;$G$1)),0)</f>
        <v>0</v>
      </c>
      <c r="D17" s="308" t="s">
        <v>1332</v>
      </c>
      <c r="E17" s="308" t="s">
        <v>1333</v>
      </c>
      <c r="F17" s="26">
        <f>'数据-取费表'!B35</f>
        <v>200</v>
      </c>
      <c r="G17" s="1548"/>
      <c r="H17" s="1112" t="s">
        <v>1003</v>
      </c>
      <c r="I17" s="308"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8" t="s">
        <v>1337</v>
      </c>
      <c r="C18" s="24">
        <f ca="1">ROUND(C14*F18,0)</f>
        <v>0</v>
      </c>
      <c r="D18" s="308" t="s">
        <v>1326</v>
      </c>
      <c r="E18" s="308" t="s">
        <v>1327</v>
      </c>
      <c r="F18" s="328">
        <f>'数据-取费表'!B36</f>
        <v>1.4999999999999999E-2</v>
      </c>
      <c r="G18" s="1548"/>
      <c r="H18" s="1112" t="s">
        <v>1002</v>
      </c>
      <c r="I18" s="308" t="s">
        <v>1338</v>
      </c>
      <c r="J18" s="24">
        <f ca="1">ROUND(J6*M18/(1+'数据-取费表'!C42),0)</f>
        <v>0</v>
      </c>
      <c r="K18" s="1496" t="s">
        <v>1339</v>
      </c>
      <c r="L18" s="308" t="s">
        <v>1327</v>
      </c>
      <c r="M18" s="328">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8" t="s">
        <v>1340</v>
      </c>
      <c r="C19" s="24">
        <f ca="1">SUM(C14:C18)</f>
        <v>0</v>
      </c>
      <c r="D19" s="136" t="s">
        <v>1341</v>
      </c>
      <c r="E19" s="1512"/>
      <c r="F19" s="26"/>
      <c r="G19" s="1536"/>
      <c r="H19" s="1112"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2" t="s">
        <v>1007</v>
      </c>
      <c r="B20" s="308" t="s">
        <v>1344</v>
      </c>
      <c r="C20" s="24">
        <f ca="1">ROUND(C19*F20,0)</f>
        <v>0</v>
      </c>
      <c r="D20" s="329" t="s">
        <v>1345</v>
      </c>
      <c r="E20" s="308" t="s">
        <v>1327</v>
      </c>
      <c r="F20" s="328">
        <f>'数据-取费表'!B37</f>
        <v>0.02</v>
      </c>
      <c r="G20" s="1548"/>
      <c r="H20" s="1112" t="s">
        <v>1294</v>
      </c>
      <c r="I20" s="160" t="s">
        <v>1346</v>
      </c>
      <c r="J20" s="25">
        <f ca="1">ROUND(M20*M21,0)</f>
        <v>0</v>
      </c>
      <c r="K20" s="330" t="s">
        <v>1347</v>
      </c>
      <c r="L20" s="308" t="s">
        <v>1348</v>
      </c>
      <c r="M20" s="331">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8" t="s">
        <v>1349</v>
      </c>
      <c r="C21" s="24" t="s">
        <v>1</v>
      </c>
      <c r="D21" s="329" t="s">
        <v>1350</v>
      </c>
      <c r="E21" s="308" t="s">
        <v>1351</v>
      </c>
      <c r="F21" s="328">
        <f>'数据-取费表'!B38</f>
        <v>0.02</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2"/>
      <c r="F22" s="26"/>
      <c r="G22" s="1536"/>
      <c r="H22" s="1112" t="s">
        <v>1007</v>
      </c>
      <c r="I22" s="308" t="s">
        <v>1354</v>
      </c>
      <c r="J22" s="24">
        <f ca="1">ROUND(J14*M22,0)</f>
        <v>0</v>
      </c>
      <c r="K22" s="1496" t="s">
        <v>1355</v>
      </c>
      <c r="L22" s="308" t="s">
        <v>1327</v>
      </c>
      <c r="M22" s="334">
        <f ca="1">INDIRECT("'数据-取费表'!Ak"&amp;$G$1)</f>
        <v>0</v>
      </c>
    </row>
    <row r="23" spans="1:37" s="1549" customFormat="1" ht="18" customHeight="1">
      <c r="A23" s="1112"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8"/>
      <c r="H23" s="1112"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8" t="s">
        <v>1366</v>
      </c>
      <c r="C25" s="24"/>
      <c r="D25" s="136" t="s">
        <v>1367</v>
      </c>
      <c r="E25" s="1512"/>
      <c r="F25" s="26"/>
      <c r="G25" s="1536"/>
      <c r="H25" s="1209" t="s">
        <v>999</v>
      </c>
      <c r="I25" s="1224" t="s">
        <v>1368</v>
      </c>
      <c r="J25" s="316">
        <f ca="1">J5-J16</f>
        <v>0</v>
      </c>
      <c r="K25" s="1225" t="s">
        <v>1369</v>
      </c>
      <c r="L25" s="1226"/>
      <c r="M25" s="1227"/>
    </row>
    <row r="26" spans="1:37" ht="18" customHeight="1">
      <c r="A26" s="1112"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2"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2" t="s">
        <v>1005</v>
      </c>
      <c r="B28" s="308" t="s">
        <v>1380</v>
      </c>
      <c r="C28" s="24">
        <f>ROUND(F28/(1+'数据-取费表'!C42),4)</f>
        <v>5.2400000000000002E-2</v>
      </c>
      <c r="D28" s="329" t="s">
        <v>1381</v>
      </c>
      <c r="E28" s="308" t="s">
        <v>1327</v>
      </c>
      <c r="F28" s="328">
        <f>'数据-取费表'!B41</f>
        <v>5.5000000000000007E-2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0</v>
      </c>
      <c r="D30" s="1217" t="s">
        <v>1330</v>
      </c>
      <c r="E30" s="1218"/>
      <c r="F30" s="1202"/>
      <c r="G30" s="1536"/>
      <c r="H30" s="2893"/>
      <c r="I30" s="1550"/>
      <c r="J30" s="1551"/>
      <c r="K30" s="2668"/>
      <c r="L30" s="2894"/>
      <c r="M30" s="2895"/>
    </row>
    <row r="31" spans="1:37" ht="18" customHeight="1">
      <c r="A31" s="1112" t="s">
        <v>1003</v>
      </c>
      <c r="B31" s="308"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2996</v>
      </c>
      <c r="I31" s="1550"/>
      <c r="J31" s="1551"/>
      <c r="K31" s="2668"/>
      <c r="L31" s="2894"/>
      <c r="M31" s="2895"/>
    </row>
    <row r="32" spans="1:37" ht="18" customHeight="1">
      <c r="A32" s="1112" t="s">
        <v>1002</v>
      </c>
      <c r="B32" s="308" t="s">
        <v>1338</v>
      </c>
      <c r="C32" s="24">
        <f ca="1">IF(项目基本情况!B11="自然人","——",ROUND(C6*F32/(1+'数据-取费表'!C42),0))</f>
        <v>0</v>
      </c>
      <c r="D32" s="1496" t="s">
        <v>1339</v>
      </c>
      <c r="E32" s="308" t="s">
        <v>1327</v>
      </c>
      <c r="F32" s="337">
        <f>'数据-取费表'!B41</f>
        <v>5.5000000000000007E-2</v>
      </c>
      <c r="G32" s="1536"/>
      <c r="H32" s="2893"/>
      <c r="I32" s="1550"/>
      <c r="J32" s="1551"/>
      <c r="K32" s="2668"/>
      <c r="L32" s="2894"/>
      <c r="M32" s="2895"/>
    </row>
    <row r="33" spans="1:18" ht="18" customHeight="1">
      <c r="A33" s="1112"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6"/>
      <c r="I33" s="1550"/>
      <c r="J33" s="1551"/>
      <c r="K33" s="2897"/>
      <c r="L33" s="2896"/>
      <c r="M33" s="2896"/>
    </row>
    <row r="34" spans="1:18" ht="18" customHeight="1">
      <c r="A34" s="1199" t="s">
        <v>1294</v>
      </c>
      <c r="B34" s="160" t="s">
        <v>1346</v>
      </c>
      <c r="C34" s="25">
        <f ca="1">IF(项目基本情况!B11="自然人","——",ROUND(F34*F35,))</f>
        <v>0</v>
      </c>
      <c r="D34" s="330" t="s">
        <v>1347</v>
      </c>
      <c r="E34" s="308" t="s">
        <v>1348</v>
      </c>
      <c r="F34" s="331">
        <f>'数据-取费表'!B52</f>
        <v>1.5</v>
      </c>
      <c r="G34" s="1536"/>
      <c r="H34" s="2893"/>
      <c r="I34" s="1550"/>
      <c r="J34" s="1551"/>
      <c r="K34" s="2898"/>
      <c r="L34" s="2899"/>
      <c r="M34" s="2899"/>
    </row>
    <row r="35" spans="1:18" ht="18" customHeight="1">
      <c r="A35" s="1233"/>
      <c r="B35" s="1231"/>
      <c r="C35" s="29"/>
      <c r="D35" s="333"/>
      <c r="E35" s="308" t="s">
        <v>1352</v>
      </c>
      <c r="F35" s="309">
        <f ca="1">INDIRECT("'数据-取费表'!r"&amp;$G$1)</f>
        <v>0</v>
      </c>
      <c r="G35" s="1536"/>
      <c r="H35" s="2893"/>
      <c r="I35" s="1550"/>
      <c r="J35" s="1551"/>
      <c r="K35" s="2897"/>
      <c r="L35" s="2896"/>
      <c r="M35" s="2896"/>
    </row>
    <row r="36" spans="1:18" ht="18" customHeight="1">
      <c r="A36" s="1232" t="s">
        <v>1007</v>
      </c>
      <c r="B36" s="308" t="s">
        <v>1354</v>
      </c>
      <c r="C36" s="24">
        <f ca="1">ROUND(C29*F36,0)</f>
        <v>0</v>
      </c>
      <c r="D36" s="1496" t="s">
        <v>1387</v>
      </c>
      <c r="E36" s="308" t="s">
        <v>1327</v>
      </c>
      <c r="F36" s="334">
        <f ca="1">INDIRECT("'数据-取费表'!Ak"&amp;$G$1)</f>
        <v>0</v>
      </c>
      <c r="G36" s="1536"/>
      <c r="H36" s="2896"/>
      <c r="I36" s="1550"/>
      <c r="J36" s="1551"/>
      <c r="K36" s="2737"/>
      <c r="L36" s="2896"/>
      <c r="M36" s="2896"/>
    </row>
    <row r="37" spans="1:18" ht="18" customHeight="1">
      <c r="A37" s="1112" t="s">
        <v>1043</v>
      </c>
      <c r="B37" s="308" t="s">
        <v>1358</v>
      </c>
      <c r="C37" s="24">
        <f ca="1">ROUND(C13*F37,0)</f>
        <v>0</v>
      </c>
      <c r="D37" s="1496" t="s">
        <v>1359</v>
      </c>
      <c r="E37" s="308" t="s">
        <v>1360</v>
      </c>
      <c r="F37" s="336">
        <f ca="1">INDIRECT("'数据-取费表'!Al"&amp;$G$1)</f>
        <v>0</v>
      </c>
      <c r="G37" s="1536"/>
      <c r="H37" s="2896"/>
      <c r="I37" s="1550"/>
      <c r="J37" s="1551"/>
      <c r="K37" s="2737"/>
      <c r="L37" s="2896"/>
      <c r="M37" s="2896"/>
    </row>
    <row r="38" spans="1:18" ht="18" customHeight="1" thickBot="1">
      <c r="A38" s="1219" t="s">
        <v>1298</v>
      </c>
      <c r="B38" s="1220" t="s">
        <v>1344</v>
      </c>
      <c r="C38" s="1221">
        <f ca="1">ROUND(C5*F38,1)</f>
        <v>0</v>
      </c>
      <c r="D38" s="1222" t="s">
        <v>1364</v>
      </c>
      <c r="E38" s="1220" t="s">
        <v>1360</v>
      </c>
      <c r="F38" s="1216">
        <f ca="1">INDIRECT("'数据-取费表'!Am"&amp;$G$1)</f>
        <v>0</v>
      </c>
      <c r="G38" s="1536"/>
      <c r="H38" s="2896"/>
      <c r="I38" s="1550"/>
      <c r="J38" s="1551"/>
      <c r="K38" s="2900"/>
      <c r="L38" s="2896"/>
      <c r="M38" s="2896"/>
    </row>
    <row r="39" spans="1:18" ht="24.6" customHeight="1" thickTop="1">
      <c r="A39" s="1209" t="s">
        <v>999</v>
      </c>
      <c r="B39" s="1224" t="s">
        <v>1388</v>
      </c>
      <c r="C39" s="316">
        <f ca="1">C5-C30</f>
        <v>0</v>
      </c>
      <c r="D39" s="1225" t="s">
        <v>1389</v>
      </c>
      <c r="E39" s="1226"/>
      <c r="F39" s="1227"/>
      <c r="G39" s="1536"/>
      <c r="H39" s="2896"/>
      <c r="I39" s="1550"/>
      <c r="J39" s="1551"/>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7"/>
      <c r="L41" s="1323"/>
      <c r="M41" s="1323"/>
    </row>
    <row r="42" spans="1:18" ht="18" customHeight="1">
      <c r="A42" s="314"/>
      <c r="B42" s="315"/>
      <c r="C42" s="316"/>
      <c r="D42" s="333"/>
      <c r="E42" s="308" t="s">
        <v>1382</v>
      </c>
      <c r="F42" s="318">
        <f ca="1">INDIRECT("'数据-取费表'!v"&amp;$G$1)</f>
        <v>0</v>
      </c>
      <c r="G42" s="1536"/>
      <c r="H42" s="1323"/>
      <c r="I42" s="1550"/>
      <c r="J42" s="1551"/>
      <c r="K42" s="2737"/>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6" t="s">
        <v>1301</v>
      </c>
      <c r="B47" s="1108" t="s">
        <v>1302</v>
      </c>
      <c r="C47" s="1108" t="s">
        <v>1303</v>
      </c>
      <c r="D47" s="1108" t="s">
        <v>1304</v>
      </c>
      <c r="E47" s="1187" t="s">
        <v>1305</v>
      </c>
      <c r="F47" s="1188"/>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6" t="s">
        <v>1306</v>
      </c>
      <c r="C48" s="1511">
        <f ca="1">C49+C53+C55</f>
        <v>0</v>
      </c>
      <c r="D48" s="1242"/>
      <c r="E48" s="1243"/>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5" t="s">
        <v>1045</v>
      </c>
      <c r="B49" s="1523" t="s">
        <v>1395</v>
      </c>
      <c r="C49" s="1244">
        <f ca="1">ROUND(F49*F51*F50*(1-F52),0)</f>
        <v>0</v>
      </c>
      <c r="D49" s="1184" t="s">
        <v>1309</v>
      </c>
      <c r="E49" s="1524" t="s">
        <v>1396</v>
      </c>
      <c r="F49" s="1189"/>
      <c r="G49" s="1577"/>
      <c r="H49" s="731"/>
      <c r="I49" s="1573" t="s">
        <v>1439</v>
      </c>
      <c r="J49" s="1578"/>
      <c r="K49" s="1575" t="s">
        <v>1440</v>
      </c>
      <c r="L49" s="1579"/>
      <c r="O49" s="1580" t="s">
        <v>1010</v>
      </c>
      <c r="P49" s="1571" t="s">
        <v>1441</v>
      </c>
      <c r="Q49" s="1572">
        <f ca="1">C29</f>
        <v>0</v>
      </c>
      <c r="R49" s="1572" t="s">
        <v>1434</v>
      </c>
    </row>
    <row r="50" spans="1:18" s="1536" customFormat="1" ht="13.5" thickBot="1">
      <c r="A50" s="1106"/>
      <c r="B50" s="1109"/>
      <c r="C50" s="1110"/>
      <c r="D50" s="1083"/>
      <c r="E50" s="1185" t="s">
        <v>1311</v>
      </c>
      <c r="F50" s="1186">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7"/>
      <c r="B51" s="1109"/>
      <c r="C51" s="1110"/>
      <c r="D51" s="1083"/>
      <c r="E51" s="1111"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7"/>
      <c r="B52" s="1109"/>
      <c r="C52" s="1110"/>
      <c r="D52" s="1083"/>
      <c r="E52" s="1111"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9" t="s">
        <v>1314</v>
      </c>
      <c r="C53" s="322">
        <f ca="1">ROUND(IF(F53="押一",C49/12*F11,IF(F53="押二",C49/12*2*F11,IF(F53="押三",C49/12*3*F11,C54*F11))),0)</f>
        <v>0</v>
      </c>
      <c r="D53" s="1518" t="s">
        <v>2799</v>
      </c>
      <c r="E53" s="319" t="s">
        <v>1315</v>
      </c>
      <c r="F53" s="1246"/>
      <c r="I53" s="1591" t="s">
        <v>1452</v>
      </c>
      <c r="J53" s="2353">
        <f ca="1">IF(M47="住宅",IF(D1="——",MAX(J51,L48),MAX(J51,L48-'数据-取费表'!B24)),IF(D1="——",MIN(J51,L48),MIN(J51,L48-'数据-取费表'!B24)))</f>
        <v>0</v>
      </c>
      <c r="K53" s="3472" t="s">
        <v>1453</v>
      </c>
      <c r="L53" s="3473"/>
      <c r="O53" s="1570" t="s">
        <v>1014</v>
      </c>
      <c r="P53" s="1571" t="s">
        <v>1454</v>
      </c>
      <c r="Q53" s="1572" t="e">
        <f ca="1">Q47+Q48</f>
        <v>#DIV/0!</v>
      </c>
      <c r="R53" s="1572" t="s">
        <v>1015</v>
      </c>
    </row>
    <row r="54" spans="1:18" s="1536" customFormat="1" ht="13.5"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7">
        <v>2</v>
      </c>
      <c r="B56" s="1088"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80"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1" t="s">
        <v>998</v>
      </c>
      <c r="B58" s="1088" t="s">
        <v>1329</v>
      </c>
      <c r="C58" s="322">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1">
        <f ca="1">ROUND(IF(AND(项目基本情况!B11="自然人",项目基本情况!B10="北京市"),C49*F59/(1+'数据-取费表'!C42),C60+C61+C62),0)</f>
        <v>0</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IF(项目基本情况!B11="自然人","——",ROUND(C48*F60/(1+'数据-取费表'!C42),0))</f>
        <v>0</v>
      </c>
      <c r="D60" s="1094" t="s">
        <v>1339</v>
      </c>
      <c r="E60" s="1080" t="s">
        <v>1327</v>
      </c>
      <c r="F60" s="337">
        <f t="shared" ref="F60:F66" si="0">F32</f>
        <v>5.5000000000000007E-2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IF(项目基本情况!B11="自然人","——",ROUND(F62*F63,0))</f>
        <v>0</v>
      </c>
      <c r="D62" s="1095" t="s">
        <v>1402</v>
      </c>
      <c r="E62" s="1080" t="s">
        <v>1403</v>
      </c>
      <c r="F62" s="331">
        <f t="shared" si="0"/>
        <v>1.5</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2"/>
      <c r="B63" s="1086"/>
      <c r="C63" s="29"/>
      <c r="D63" s="1096"/>
      <c r="E63" s="1080" t="s">
        <v>1404</v>
      </c>
      <c r="F63" s="309">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ROUND(C57*F64,0)</f>
        <v>0</v>
      </c>
      <c r="D64" s="1094" t="s">
        <v>1407</v>
      </c>
      <c r="E64" s="1080"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ROUND(C56*F65,0)</f>
        <v>0</v>
      </c>
      <c r="D65" s="1094" t="s">
        <v>1359</v>
      </c>
      <c r="E65" s="1080"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2" t="s">
        <v>1409</v>
      </c>
      <c r="B66" s="1080" t="s">
        <v>1344</v>
      </c>
      <c r="C66" s="24">
        <f ca="1">ROUND(C48*F66,0)</f>
        <v>0</v>
      </c>
      <c r="D66" s="1094" t="s">
        <v>1410</v>
      </c>
      <c r="E66" s="1080" t="s">
        <v>1327</v>
      </c>
      <c r="F66" s="318">
        <f t="shared" ca="1" si="0"/>
        <v>0</v>
      </c>
      <c r="O66" s="1570" t="s">
        <v>1009</v>
      </c>
      <c r="P66" s="1571" t="s">
        <v>1463</v>
      </c>
      <c r="Q66" s="1572" t="e">
        <f ca="1">L60</f>
        <v>#DIV/0!</v>
      </c>
      <c r="R66" s="1572" t="s">
        <v>1486</v>
      </c>
    </row>
    <row r="67" spans="1:18" s="1536" customFormat="1" ht="16.5" thickBot="1">
      <c r="A67" s="1087" t="s">
        <v>999</v>
      </c>
      <c r="B67" s="1097" t="s">
        <v>1368</v>
      </c>
      <c r="C67" s="322">
        <f ca="1">C48-C58</f>
        <v>0</v>
      </c>
      <c r="D67" s="1093" t="s">
        <v>1369</v>
      </c>
      <c r="E67" s="1098"/>
      <c r="F67" s="1099"/>
      <c r="O67" s="1580" t="s">
        <v>1010</v>
      </c>
      <c r="P67" s="1571" t="s">
        <v>1467</v>
      </c>
      <c r="Q67" s="1618">
        <f ca="1">L51</f>
        <v>0</v>
      </c>
      <c r="R67" s="1572" t="s">
        <v>1487</v>
      </c>
    </row>
    <row r="68" spans="1:18" s="1536" customFormat="1" ht="16.5" thickBot="1">
      <c r="A68" s="1077" t="s">
        <v>1000</v>
      </c>
      <c r="B68" s="1078" t="s">
        <v>1390</v>
      </c>
      <c r="C68" s="307" t="e">
        <f ca="1">ROUND(C67*(1-((1+F70)/(1+F68))^F69)/(F68-F70),0)</f>
        <v>#DIV/0!</v>
      </c>
      <c r="D68" s="1095" t="s">
        <v>1374</v>
      </c>
      <c r="E68" s="1080" t="s">
        <v>1375</v>
      </c>
      <c r="F68" s="318">
        <f ca="1">F40</f>
        <v>0</v>
      </c>
      <c r="O68" s="1580" t="s">
        <v>1011</v>
      </c>
      <c r="P68" s="1619" t="s">
        <v>1488</v>
      </c>
      <c r="Q68" s="1572">
        <f ca="1">ROUND(Q69-Q70*Q71,0)</f>
        <v>0</v>
      </c>
      <c r="R68" s="1572" t="s">
        <v>1019</v>
      </c>
    </row>
    <row r="69" spans="1:18" s="1536" customFormat="1" ht="13.5" thickBot="1">
      <c r="A69" s="1081"/>
      <c r="B69" s="1082"/>
      <c r="C69" s="312"/>
      <c r="D69" s="1100" t="s">
        <v>1378</v>
      </c>
      <c r="E69" s="1080" t="s">
        <v>1379</v>
      </c>
      <c r="F69" s="339">
        <f ca="1">F41</f>
        <v>0</v>
      </c>
      <c r="O69" s="1580" t="s">
        <v>1016</v>
      </c>
      <c r="P69" s="1619" t="s">
        <v>1489</v>
      </c>
      <c r="Q69" s="1572">
        <f ca="1">C39</f>
        <v>0</v>
      </c>
      <c r="R69" s="1572" t="s">
        <v>1434</v>
      </c>
    </row>
    <row r="70" spans="1:18" s="1536" customFormat="1" ht="13.5" thickBot="1">
      <c r="A70" s="1084"/>
      <c r="B70" s="1085"/>
      <c r="C70" s="316"/>
      <c r="D70" s="1096"/>
      <c r="E70" s="1080" t="s">
        <v>1382</v>
      </c>
      <c r="F70" s="1183">
        <f ca="1">F42</f>
        <v>0</v>
      </c>
      <c r="O70" s="1580" t="s">
        <v>1017</v>
      </c>
      <c r="P70" s="1619" t="s">
        <v>1490</v>
      </c>
      <c r="Q70" s="1572">
        <f ca="1">C13</f>
        <v>0</v>
      </c>
      <c r="R70" s="1572" t="s">
        <v>1434</v>
      </c>
    </row>
    <row r="71" spans="1:18" s="1536" customFormat="1" ht="13.5" thickBot="1">
      <c r="A71" s="1101" t="s">
        <v>1001</v>
      </c>
      <c r="B71" s="1102" t="s">
        <v>1392</v>
      </c>
      <c r="C71" s="342" t="e">
        <f ca="1">ROUND(C68/F71,0)</f>
        <v>#DIV/0!</v>
      </c>
      <c r="D71" s="1103" t="s">
        <v>1393</v>
      </c>
      <c r="E71" s="1104" t="s">
        <v>1394</v>
      </c>
      <c r="F71" s="345">
        <f ca="1">F43</f>
        <v>0</v>
      </c>
      <c r="O71" s="1580" t="s">
        <v>1018</v>
      </c>
      <c r="P71" s="1619" t="s">
        <v>1491</v>
      </c>
      <c r="Q71" s="1583">
        <f ca="1">C76</f>
        <v>0</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3124</v>
      </c>
      <c r="B1" s="3030"/>
      <c r="C1" s="3042"/>
      <c r="D1" s="3042"/>
      <c r="E1" s="3031"/>
      <c r="F1" s="3032"/>
      <c r="G1" s="3033"/>
      <c r="J1" s="3036" t="s">
        <v>3003</v>
      </c>
      <c r="K1" s="3037"/>
      <c r="L1" s="3037"/>
      <c r="M1" s="3037"/>
      <c r="N1" s="3037"/>
      <c r="O1" s="3037"/>
      <c r="P1" s="3037"/>
      <c r="Q1" s="3037"/>
      <c r="R1" s="3038"/>
      <c r="S1" s="3039"/>
      <c r="T1" s="3039"/>
      <c r="U1" s="3039"/>
    </row>
    <row r="2" spans="1:22" s="3051" customFormat="1" ht="13.15" customHeight="1">
      <c r="A2" s="1537" t="s">
        <v>3004</v>
      </c>
      <c r="B2" s="3041" t="e">
        <f>C40</f>
        <v>#DIV/0!</v>
      </c>
      <c r="C2" s="3042" t="s">
        <v>3005</v>
      </c>
      <c r="D2" s="3042"/>
      <c r="E2" s="3043"/>
      <c r="F2" s="3044"/>
      <c r="G2" s="3045"/>
      <c r="H2" s="3046"/>
      <c r="I2" s="3047"/>
      <c r="J2" s="3477" t="s">
        <v>3006</v>
      </c>
      <c r="K2" s="3478"/>
      <c r="L2" s="3048" t="s">
        <v>3007</v>
      </c>
      <c r="M2" s="3048" t="s">
        <v>3008</v>
      </c>
      <c r="N2" s="3048" t="s">
        <v>3009</v>
      </c>
      <c r="O2" s="3048" t="s">
        <v>3010</v>
      </c>
      <c r="P2" s="3048" t="s">
        <v>3011</v>
      </c>
      <c r="Q2" s="3049" t="s">
        <v>3012</v>
      </c>
      <c r="R2" s="3050" t="s">
        <v>3013</v>
      </c>
      <c r="S2" s="3039"/>
      <c r="T2" s="3039"/>
      <c r="U2" s="3039"/>
      <c r="V2" s="3047"/>
    </row>
    <row r="3" spans="1:22" s="3051" customFormat="1" ht="13.15" customHeight="1">
      <c r="A3" s="3052" t="s">
        <v>3014</v>
      </c>
      <c r="B3" s="3053" t="e">
        <f>ROUND(B2*10000/B4,0)</f>
        <v>#DIV/0!</v>
      </c>
      <c r="C3" s="3042" t="s">
        <v>3015</v>
      </c>
      <c r="D3" s="3042"/>
      <c r="E3" s="3043"/>
      <c r="F3" s="3044"/>
      <c r="G3" s="3045"/>
      <c r="H3" s="3046"/>
      <c r="I3" s="3047"/>
      <c r="J3" s="3479" t="s">
        <v>3016</v>
      </c>
      <c r="K3" s="3480"/>
      <c r="L3" s="3054"/>
      <c r="M3" s="3054"/>
      <c r="N3" s="3054"/>
      <c r="O3" s="3054"/>
      <c r="P3" s="3054"/>
      <c r="Q3" s="3055"/>
      <c r="R3" s="3056">
        <f>SUM(L3:Q3)</f>
        <v>0</v>
      </c>
      <c r="S3" s="3039"/>
      <c r="T3" s="3039"/>
      <c r="U3" s="3039"/>
      <c r="V3" s="3047"/>
    </row>
    <row r="4" spans="1:22" s="3051" customFormat="1" ht="13.15" customHeight="1">
      <c r="A4" s="3057" t="s">
        <v>3017</v>
      </c>
      <c r="B4" s="3058"/>
      <c r="C4" s="3042"/>
      <c r="D4" s="3042"/>
      <c r="E4" s="3043"/>
      <c r="F4" s="3044"/>
      <c r="G4" s="3045"/>
      <c r="H4" s="3046"/>
      <c r="I4" s="3047"/>
      <c r="J4" s="3479" t="s">
        <v>3018</v>
      </c>
      <c r="K4" s="3480"/>
      <c r="L4" s="3059"/>
      <c r="M4" s="3059"/>
      <c r="N4" s="3059"/>
      <c r="O4" s="3059"/>
      <c r="P4" s="3059"/>
      <c r="Q4" s="3060"/>
      <c r="R4" s="3061">
        <f>SUM(L4:Q4)</f>
        <v>0</v>
      </c>
      <c r="S4" s="3039"/>
      <c r="T4" s="3039"/>
      <c r="U4" s="3039"/>
      <c r="V4" s="3047"/>
    </row>
    <row r="5" spans="1:22" s="3051" customFormat="1" ht="13.15" customHeight="1" thickBot="1">
      <c r="A5" s="3062" t="s">
        <v>3019</v>
      </c>
      <c r="B5" s="3063"/>
      <c r="C5" s="3042"/>
      <c r="D5" s="3064"/>
      <c r="E5" s="3044"/>
      <c r="F5" s="3044"/>
      <c r="G5" s="3045"/>
      <c r="H5" s="3046"/>
      <c r="I5" s="3047"/>
      <c r="J5" s="3065" t="s">
        <v>3020</v>
      </c>
      <c r="K5" s="3066"/>
      <c r="L5" s="3066"/>
      <c r="M5" s="3067"/>
      <c r="N5" s="3067"/>
      <c r="O5" s="3067"/>
      <c r="P5" s="3067"/>
      <c r="Q5" s="3067"/>
      <c r="R5" s="3050">
        <f>SUM(R14,R19,R24,R25,R27,R28)</f>
        <v>0</v>
      </c>
      <c r="S5" s="3039"/>
      <c r="T5" s="3039" t="s">
        <v>3021</v>
      </c>
      <c r="U5" s="3039" t="e">
        <f>ROUND(R5*10000/365/R3,1)</f>
        <v>#DIV/0!</v>
      </c>
      <c r="V5" s="3047"/>
    </row>
    <row r="6" spans="1:22" s="3051" customFormat="1" ht="13.15" customHeight="1" thickBot="1">
      <c r="A6" s="3481" t="s">
        <v>3022</v>
      </c>
      <c r="B6" s="3482"/>
      <c r="C6" s="3483"/>
      <c r="D6" s="3068"/>
      <c r="E6" s="3069"/>
      <c r="F6" s="3070"/>
      <c r="G6" s="3071"/>
      <c r="H6" s="3046"/>
      <c r="I6" s="3047"/>
      <c r="J6" s="3484">
        <v>1</v>
      </c>
      <c r="K6" s="3485" t="s">
        <v>3023</v>
      </c>
      <c r="L6" s="3072" t="s">
        <v>3024</v>
      </c>
      <c r="M6" s="3073" t="s">
        <v>3025</v>
      </c>
      <c r="N6" s="3073" t="s">
        <v>3026</v>
      </c>
      <c r="O6" s="3073" t="s">
        <v>3027</v>
      </c>
      <c r="P6" s="3073" t="s">
        <v>3028</v>
      </c>
      <c r="Q6" s="3073" t="s">
        <v>3029</v>
      </c>
      <c r="R6" s="3056" t="s">
        <v>3030</v>
      </c>
      <c r="S6" s="3039"/>
      <c r="T6" s="3039" t="s">
        <v>3031</v>
      </c>
      <c r="U6" s="3039"/>
      <c r="V6" s="3047"/>
    </row>
    <row r="7" spans="1:22" s="3051" customFormat="1" ht="13.15" customHeight="1">
      <c r="A7" s="3074" t="s">
        <v>3032</v>
      </c>
      <c r="B7" s="3075"/>
      <c r="C7" s="3076"/>
      <c r="D7" s="3077">
        <f>SUM(D9,D10,D11,D17,0)</f>
        <v>0</v>
      </c>
      <c r="E7" s="3078" t="e">
        <f>E9+E10+E11+E17</f>
        <v>#DIV/0!</v>
      </c>
      <c r="F7" s="3079"/>
      <c r="G7" s="3080"/>
      <c r="H7" s="3046"/>
      <c r="I7" s="3047"/>
      <c r="J7" s="3484"/>
      <c r="K7" s="3486"/>
      <c r="L7" s="3081" t="s">
        <v>3033</v>
      </c>
      <c r="M7" s="3082"/>
      <c r="N7" s="3058"/>
      <c r="O7" s="3083"/>
      <c r="P7" s="3083"/>
      <c r="Q7" s="3084">
        <v>365</v>
      </c>
      <c r="R7" s="3085">
        <f>ROUND(M7*N7*O7*P7*Q7/10000,0)</f>
        <v>0</v>
      </c>
      <c r="S7" s="3039"/>
      <c r="T7" s="3039" t="s">
        <v>3034</v>
      </c>
      <c r="U7" s="3039"/>
      <c r="V7" s="3047"/>
    </row>
    <row r="8" spans="1:22" s="3051" customFormat="1" ht="13.15" customHeight="1">
      <c r="A8" s="3086" t="s">
        <v>3035</v>
      </c>
      <c r="B8" s="3488" t="s">
        <v>3036</v>
      </c>
      <c r="C8" s="3489"/>
      <c r="D8" s="3087" t="s">
        <v>3037</v>
      </c>
      <c r="E8" s="3088" t="s">
        <v>3038</v>
      </c>
      <c r="F8" s="3089" t="s">
        <v>3039</v>
      </c>
      <c r="G8" s="3090"/>
      <c r="H8" s="3046"/>
      <c r="I8" s="3047"/>
      <c r="J8" s="3484"/>
      <c r="K8" s="3486"/>
      <c r="L8" s="3081" t="s">
        <v>3040</v>
      </c>
      <c r="M8" s="3082"/>
      <c r="N8" s="3058"/>
      <c r="O8" s="3083"/>
      <c r="P8" s="3083"/>
      <c r="Q8" s="3084">
        <v>365</v>
      </c>
      <c r="R8" s="3085">
        <f t="shared" ref="R8:R13" si="0">ROUND(M8*N8*O8*P8*Q8/10000,0)</f>
        <v>0</v>
      </c>
      <c r="S8" s="3039"/>
      <c r="T8" s="3039" t="s">
        <v>3041</v>
      </c>
      <c r="U8" s="3039"/>
      <c r="V8" s="3047"/>
    </row>
    <row r="9" spans="1:22" s="3051" customFormat="1" ht="13.15" customHeight="1">
      <c r="A9" s="3086">
        <v>1</v>
      </c>
      <c r="B9" s="3488" t="s">
        <v>3042</v>
      </c>
      <c r="C9" s="3489"/>
      <c r="D9" s="3087">
        <f>ROUND(D6*E9,0)</f>
        <v>0</v>
      </c>
      <c r="E9" s="3091"/>
      <c r="F9" s="3092" t="s">
        <v>3043</v>
      </c>
      <c r="G9" s="3071"/>
      <c r="H9" s="3046"/>
      <c r="I9" s="3047"/>
      <c r="J9" s="3484"/>
      <c r="K9" s="3486"/>
      <c r="L9" s="3081" t="s">
        <v>3044</v>
      </c>
      <c r="M9" s="3082"/>
      <c r="N9" s="3058"/>
      <c r="O9" s="3083"/>
      <c r="P9" s="3083"/>
      <c r="Q9" s="3084">
        <v>365</v>
      </c>
      <c r="R9" s="3085">
        <f t="shared" si="0"/>
        <v>0</v>
      </c>
      <c r="S9" s="3039"/>
      <c r="T9" s="3039"/>
      <c r="U9" s="3039"/>
      <c r="V9" s="3047"/>
    </row>
    <row r="10" spans="1:22" s="3051" customFormat="1" ht="13.15" customHeight="1">
      <c r="A10" s="3086">
        <v>2</v>
      </c>
      <c r="B10" s="3488" t="s">
        <v>3045</v>
      </c>
      <c r="C10" s="3489"/>
      <c r="D10" s="3087">
        <f>ROUND(D6*E10,0)</f>
        <v>0</v>
      </c>
      <c r="E10" s="3091"/>
      <c r="F10" s="3092" t="s">
        <v>3046</v>
      </c>
      <c r="G10" s="3071"/>
      <c r="H10" s="3046"/>
      <c r="I10" s="3047"/>
      <c r="J10" s="3484"/>
      <c r="K10" s="3486"/>
      <c r="L10" s="3081" t="s">
        <v>3047</v>
      </c>
      <c r="M10" s="3082"/>
      <c r="N10" s="3058"/>
      <c r="O10" s="3083"/>
      <c r="P10" s="3083"/>
      <c r="Q10" s="3084">
        <v>365</v>
      </c>
      <c r="R10" s="3085">
        <f t="shared" si="0"/>
        <v>0</v>
      </c>
      <c r="S10" s="3039"/>
      <c r="T10" s="3039"/>
      <c r="U10" s="3039"/>
      <c r="V10" s="3047"/>
    </row>
    <row r="11" spans="1:22" s="3051" customFormat="1" ht="13.15" customHeight="1">
      <c r="A11" s="3086">
        <v>3</v>
      </c>
      <c r="B11" s="3488" t="s">
        <v>3048</v>
      </c>
      <c r="C11" s="3489"/>
      <c r="D11" s="3087">
        <f>D12+D14+D15+D16</f>
        <v>0</v>
      </c>
      <c r="E11" s="3093" t="e">
        <f>D11/D6</f>
        <v>#DIV/0!</v>
      </c>
      <c r="F11" s="3089"/>
      <c r="G11" s="3090"/>
      <c r="H11" s="3046"/>
      <c r="I11" s="3047"/>
      <c r="J11" s="3484"/>
      <c r="K11" s="3486"/>
      <c r="L11" s="3081" t="s">
        <v>3049</v>
      </c>
      <c r="M11" s="3082"/>
      <c r="N11" s="3058"/>
      <c r="O11" s="3083"/>
      <c r="P11" s="3083"/>
      <c r="Q11" s="3084">
        <v>365</v>
      </c>
      <c r="R11" s="3085">
        <f t="shared" si="0"/>
        <v>0</v>
      </c>
      <c r="S11" s="3039"/>
      <c r="T11" s="3039"/>
      <c r="U11" s="3039"/>
      <c r="V11" s="3047"/>
    </row>
    <row r="12" spans="1:22" s="3051" customFormat="1" ht="13.15" customHeight="1">
      <c r="A12" s="3094" t="s">
        <v>3050</v>
      </c>
      <c r="B12" s="3490" t="s">
        <v>3051</v>
      </c>
      <c r="C12" s="3491"/>
      <c r="D12" s="3095">
        <f>ROUND(D13*1.2%*(1-30%),0)</f>
        <v>0</v>
      </c>
      <c r="E12" s="3096">
        <v>1.2E-2</v>
      </c>
      <c r="F12" s="3089" t="s">
        <v>3052</v>
      </c>
      <c r="G12" s="3090"/>
      <c r="H12" s="3046"/>
      <c r="I12" s="3047"/>
      <c r="J12" s="3484"/>
      <c r="K12" s="3486"/>
      <c r="L12" s="3081" t="s">
        <v>3053</v>
      </c>
      <c r="M12" s="3082"/>
      <c r="N12" s="3058"/>
      <c r="O12" s="3083"/>
      <c r="P12" s="3083"/>
      <c r="Q12" s="3084">
        <v>365</v>
      </c>
      <c r="R12" s="3085">
        <f t="shared" si="0"/>
        <v>0</v>
      </c>
      <c r="S12" s="3039"/>
      <c r="T12" s="3039"/>
      <c r="U12" s="3039"/>
      <c r="V12" s="3047"/>
    </row>
    <row r="13" spans="1:22" s="3051" customFormat="1" ht="13.15" customHeight="1">
      <c r="A13" s="3094"/>
      <c r="B13" s="3097"/>
      <c r="C13" s="3098" t="s">
        <v>3054</v>
      </c>
      <c r="D13" s="3099"/>
      <c r="E13" s="3100"/>
      <c r="F13" s="3089"/>
      <c r="G13" s="3090"/>
      <c r="H13" s="3046"/>
      <c r="I13" s="3047"/>
      <c r="J13" s="3484"/>
      <c r="K13" s="3486"/>
      <c r="L13" s="3081" t="s">
        <v>3055</v>
      </c>
      <c r="M13" s="3082"/>
      <c r="N13" s="3058"/>
      <c r="O13" s="3083"/>
      <c r="P13" s="3083"/>
      <c r="Q13" s="3084">
        <v>365</v>
      </c>
      <c r="R13" s="3085">
        <f t="shared" si="0"/>
        <v>0</v>
      </c>
      <c r="S13" s="3039"/>
      <c r="T13" s="3039"/>
      <c r="U13" s="3039"/>
      <c r="V13" s="3047"/>
    </row>
    <row r="14" spans="1:22" s="3051" customFormat="1" ht="13.15" customHeight="1">
      <c r="A14" s="3094" t="s">
        <v>3056</v>
      </c>
      <c r="B14" s="3490" t="s">
        <v>3057</v>
      </c>
      <c r="C14" s="3491"/>
      <c r="D14" s="3095">
        <f>ROUND(E14*B5/10000,0)</f>
        <v>0</v>
      </c>
      <c r="E14" s="3084"/>
      <c r="F14" s="3089" t="s">
        <v>3058</v>
      </c>
      <c r="G14" s="3090"/>
      <c r="H14" s="3046"/>
      <c r="I14" s="3047"/>
      <c r="J14" s="3484"/>
      <c r="K14" s="3487"/>
      <c r="L14" s="3101" t="s">
        <v>3059</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3060</v>
      </c>
      <c r="B15" s="3490" t="s">
        <v>3061</v>
      </c>
      <c r="C15" s="3491"/>
      <c r="D15" s="3095">
        <f>ROUND(D6*E15,0)</f>
        <v>0</v>
      </c>
      <c r="E15" s="3096">
        <v>5.5E-2</v>
      </c>
      <c r="F15" s="3089" t="s">
        <v>3062</v>
      </c>
      <c r="G15" s="3071"/>
      <c r="H15" s="3046"/>
      <c r="I15" s="3047"/>
      <c r="J15" s="3484">
        <v>2</v>
      </c>
      <c r="K15" s="3485" t="s">
        <v>3063</v>
      </c>
      <c r="L15" s="3081" t="s">
        <v>3064</v>
      </c>
      <c r="M15" s="3082" t="s">
        <v>3065</v>
      </c>
      <c r="N15" s="3082" t="s">
        <v>3066</v>
      </c>
      <c r="O15" s="3083" t="s">
        <v>3067</v>
      </c>
      <c r="P15" s="3083" t="s">
        <v>3029</v>
      </c>
      <c r="Q15" s="3058" t="s">
        <v>3068</v>
      </c>
      <c r="R15" s="3105" t="s">
        <v>3030</v>
      </c>
      <c r="S15" s="3039"/>
      <c r="T15" s="3039"/>
      <c r="U15" s="3039"/>
      <c r="V15" s="3047"/>
    </row>
    <row r="16" spans="1:22" s="3051" customFormat="1" ht="13.15" customHeight="1">
      <c r="A16" s="3094" t="s">
        <v>3069</v>
      </c>
      <c r="B16" s="3490" t="s">
        <v>3070</v>
      </c>
      <c r="C16" s="3491"/>
      <c r="D16" s="3106">
        <f>D6*E16</f>
        <v>0</v>
      </c>
      <c r="E16" s="3107"/>
      <c r="F16" s="3092" t="s">
        <v>3071</v>
      </c>
      <c r="G16" s="3071"/>
      <c r="H16" s="3046"/>
      <c r="I16" s="3047"/>
      <c r="J16" s="3484"/>
      <c r="K16" s="3486"/>
      <c r="L16" s="3081" t="s">
        <v>3072</v>
      </c>
      <c r="M16" s="3082"/>
      <c r="N16" s="3082"/>
      <c r="O16" s="3083"/>
      <c r="P16" s="3084">
        <v>365</v>
      </c>
      <c r="Q16" s="3058"/>
      <c r="R16" s="3105">
        <f>ROUND(M16*N16*O16*P16/10000,0)</f>
        <v>0</v>
      </c>
      <c r="S16" s="3039"/>
      <c r="T16" s="3039"/>
      <c r="U16" s="3039"/>
      <c r="V16" s="3047"/>
    </row>
    <row r="17" spans="1:22" s="3051" customFormat="1" ht="13.15" customHeight="1" thickBot="1">
      <c r="A17" s="3108">
        <v>4</v>
      </c>
      <c r="B17" s="3492" t="s">
        <v>3073</v>
      </c>
      <c r="C17" s="3493"/>
      <c r="D17" s="3109">
        <f>ROUND(D6*E17,0)</f>
        <v>0</v>
      </c>
      <c r="E17" s="3110"/>
      <c r="F17" s="3111" t="s">
        <v>3074</v>
      </c>
      <c r="G17" s="3071"/>
      <c r="H17" s="3046"/>
      <c r="I17" s="3047"/>
      <c r="J17" s="3484"/>
      <c r="K17" s="3486"/>
      <c r="L17" s="3081" t="s">
        <v>3075</v>
      </c>
      <c r="M17" s="3082"/>
      <c r="N17" s="3082"/>
      <c r="O17" s="3083"/>
      <c r="P17" s="3084">
        <v>365</v>
      </c>
      <c r="Q17" s="3058"/>
      <c r="R17" s="3105">
        <f>ROUND(M17*N17*O17*P17/10000,0)</f>
        <v>0</v>
      </c>
      <c r="S17" s="3039"/>
      <c r="T17" s="3039"/>
      <c r="U17" s="3039"/>
      <c r="V17" s="3047"/>
    </row>
    <row r="18" spans="1:22" s="3051" customFormat="1" ht="13.15" customHeight="1" thickBot="1">
      <c r="A18" s="3074" t="s">
        <v>3076</v>
      </c>
      <c r="B18" s="3075"/>
      <c r="C18" s="3075"/>
      <c r="D18" s="3112">
        <f>ROUND(D6*E18,0)</f>
        <v>0</v>
      </c>
      <c r="E18" s="3113"/>
      <c r="F18" s="3114" t="s">
        <v>3077</v>
      </c>
      <c r="G18" s="3071"/>
      <c r="H18" s="3046"/>
      <c r="I18" s="3047"/>
      <c r="J18" s="3484"/>
      <c r="K18" s="3486"/>
      <c r="L18" s="3081" t="s">
        <v>3078</v>
      </c>
      <c r="M18" s="3082"/>
      <c r="N18" s="3082"/>
      <c r="O18" s="3083"/>
      <c r="P18" s="3084">
        <v>365</v>
      </c>
      <c r="Q18" s="3058"/>
      <c r="R18" s="3105">
        <f>ROUND(M18*N18*O18*P18/10000,0)</f>
        <v>0</v>
      </c>
      <c r="S18" s="3039"/>
      <c r="T18" s="3039"/>
      <c r="U18" s="3039"/>
      <c r="V18" s="3047"/>
    </row>
    <row r="19" spans="1:22" s="3051" customFormat="1" ht="13.15" customHeight="1" thickBot="1">
      <c r="A19" s="3115" t="s">
        <v>3079</v>
      </c>
      <c r="B19" s="3069"/>
      <c r="C19" s="3069"/>
      <c r="D19" s="3069"/>
      <c r="E19" s="3069"/>
      <c r="F19" s="3070"/>
      <c r="G19" s="3090"/>
      <c r="H19" s="3046"/>
      <c r="I19" s="3047"/>
      <c r="J19" s="3484"/>
      <c r="K19" s="3487"/>
      <c r="L19" s="3101" t="s">
        <v>3059</v>
      </c>
      <c r="M19" s="3102"/>
      <c r="N19" s="3102">
        <f>SUM(N16:N18)</f>
        <v>0</v>
      </c>
      <c r="O19" s="3103"/>
      <c r="P19" s="3116" t="s">
        <v>3123</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84">
        <v>3</v>
      </c>
      <c r="K20" s="3485" t="s">
        <v>3080</v>
      </c>
      <c r="L20" s="3081" t="s">
        <v>3081</v>
      </c>
      <c r="M20" s="3082" t="s">
        <v>3082</v>
      </c>
      <c r="N20" s="3119" t="s">
        <v>3083</v>
      </c>
      <c r="O20" s="3083" t="s">
        <v>3084</v>
      </c>
      <c r="P20" s="3084" t="s">
        <v>3085</v>
      </c>
      <c r="Q20" s="3058" t="s">
        <v>3086</v>
      </c>
      <c r="R20" s="3105" t="s">
        <v>3087</v>
      </c>
      <c r="S20" s="3120"/>
      <c r="T20" s="3120"/>
      <c r="U20" s="3120"/>
      <c r="V20" s="3047"/>
    </row>
    <row r="21" spans="1:22" s="3051" customFormat="1" ht="13.15" customHeight="1">
      <c r="A21" s="3074"/>
      <c r="B21" s="3075"/>
      <c r="C21" s="3121" t="s">
        <v>3088</v>
      </c>
      <c r="D21" s="3122" t="s">
        <v>3089</v>
      </c>
      <c r="E21" s="3123" t="s">
        <v>3090</v>
      </c>
      <c r="F21" s="3118"/>
      <c r="G21" s="3090"/>
      <c r="H21" s="3046"/>
      <c r="I21" s="3047"/>
      <c r="J21" s="3484"/>
      <c r="K21" s="3486"/>
      <c r="L21" s="3081" t="s">
        <v>3091</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3092</v>
      </c>
      <c r="D22" s="3126" t="s">
        <v>3093</v>
      </c>
      <c r="E22" s="3127" t="s">
        <v>3094</v>
      </c>
      <c r="F22" s="3118"/>
      <c r="G22" s="3128"/>
      <c r="H22" s="3046"/>
      <c r="I22" s="3047"/>
      <c r="J22" s="3484"/>
      <c r="K22" s="3486"/>
      <c r="L22" s="3081" t="s">
        <v>3095</v>
      </c>
      <c r="M22" s="3082"/>
      <c r="N22" s="3082"/>
      <c r="O22" s="3083"/>
      <c r="P22" s="3084">
        <v>365</v>
      </c>
      <c r="Q22" s="3058"/>
      <c r="R22" s="3124">
        <f>ROUND(M22*N22*O22*P22/10000,0)</f>
        <v>0</v>
      </c>
      <c r="S22" s="3120"/>
      <c r="T22" s="3120"/>
      <c r="U22" s="3120"/>
      <c r="V22" s="3047"/>
    </row>
    <row r="23" spans="1:22" s="3051" customFormat="1" ht="13.15" customHeight="1">
      <c r="A23" s="3129">
        <v>1</v>
      </c>
      <c r="B23" s="3130" t="s">
        <v>3096</v>
      </c>
      <c r="C23" s="3131">
        <f>D6</f>
        <v>0</v>
      </c>
      <c r="D23" s="3132">
        <f>C23*(1+D24)</f>
        <v>0</v>
      </c>
      <c r="E23" s="3133">
        <f>D23*(1+E24)</f>
        <v>0</v>
      </c>
      <c r="F23" s="3134"/>
      <c r="G23" s="3135"/>
      <c r="H23" s="3046"/>
      <c r="I23" s="3047"/>
      <c r="J23" s="3484"/>
      <c r="K23" s="3486"/>
      <c r="L23" s="3081" t="s">
        <v>3097</v>
      </c>
      <c r="M23" s="3082"/>
      <c r="N23" s="3082"/>
      <c r="O23" s="3083"/>
      <c r="P23" s="3084">
        <v>365</v>
      </c>
      <c r="Q23" s="3058"/>
      <c r="R23" s="3124">
        <f>ROUND(M23*N23*O23*P23/10000,0)</f>
        <v>0</v>
      </c>
      <c r="S23" s="3039"/>
      <c r="T23" s="3039"/>
      <c r="U23" s="3039"/>
      <c r="V23" s="3047"/>
    </row>
    <row r="24" spans="1:22" s="3051" customFormat="1" ht="13.15" customHeight="1">
      <c r="A24" s="3136"/>
      <c r="B24" s="3137" t="s">
        <v>3098</v>
      </c>
      <c r="C24" s="3138"/>
      <c r="D24" s="3139"/>
      <c r="E24" s="3140"/>
      <c r="F24" s="3141"/>
      <c r="G24" s="3135"/>
      <c r="H24" s="3046"/>
      <c r="I24" s="3047"/>
      <c r="J24" s="3484"/>
      <c r="K24" s="3487"/>
      <c r="L24" s="3101" t="s">
        <v>3059</v>
      </c>
      <c r="M24" s="3102">
        <f>SUM(M21:M23)</f>
        <v>0</v>
      </c>
      <c r="N24" s="3102"/>
      <c r="O24" s="3103"/>
      <c r="P24" s="3116" t="s">
        <v>3123</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3099</v>
      </c>
      <c r="L25" s="3144"/>
      <c r="M25" s="3144"/>
      <c r="N25" s="3144"/>
      <c r="O25" s="3144"/>
      <c r="P25" s="3145"/>
      <c r="Q25" s="3146">
        <v>0</v>
      </c>
      <c r="R25" s="3117">
        <f>ROUND(R14*Q25,0)</f>
        <v>0</v>
      </c>
      <c r="S25" s="3039"/>
      <c r="T25" s="3039"/>
      <c r="U25" s="3039"/>
      <c r="V25" s="3147"/>
    </row>
    <row r="26" spans="1:22" s="3148" customFormat="1" ht="13.15" customHeight="1">
      <c r="A26" s="3129">
        <v>2</v>
      </c>
      <c r="B26" s="3130" t="s">
        <v>3100</v>
      </c>
      <c r="C26" s="3131">
        <f>D7</f>
        <v>0</v>
      </c>
      <c r="D26" s="3132">
        <f>D23*D27</f>
        <v>0</v>
      </c>
      <c r="E26" s="3133">
        <f>E23*E27</f>
        <v>0</v>
      </c>
      <c r="F26" s="3134"/>
      <c r="G26" s="3135"/>
      <c r="H26" s="3046"/>
      <c r="I26" s="3047"/>
      <c r="J26" s="3494">
        <v>5</v>
      </c>
      <c r="K26" s="3149" t="s">
        <v>3101</v>
      </c>
      <c r="L26" s="3150"/>
      <c r="M26" s="3151"/>
      <c r="N26" s="3152" t="s">
        <v>3102</v>
      </c>
      <c r="O26" s="3152" t="s">
        <v>3103</v>
      </c>
      <c r="P26" s="3153" t="s">
        <v>3104</v>
      </c>
      <c r="Q26" s="3153" t="s">
        <v>3105</v>
      </c>
      <c r="R26" s="3056" t="s">
        <v>3030</v>
      </c>
      <c r="S26" s="3154"/>
      <c r="T26" s="3154"/>
      <c r="U26" s="3154"/>
      <c r="V26" s="3147"/>
    </row>
    <row r="27" spans="1:22" s="3051" customFormat="1" ht="13.15" customHeight="1">
      <c r="A27" s="3136"/>
      <c r="B27" s="3137" t="s">
        <v>3106</v>
      </c>
      <c r="C27" s="3155" t="e">
        <f>E7</f>
        <v>#DIV/0!</v>
      </c>
      <c r="D27" s="3139"/>
      <c r="E27" s="3140"/>
      <c r="F27" s="3141"/>
      <c r="G27" s="3135"/>
      <c r="H27" s="3156"/>
      <c r="I27" s="3147"/>
      <c r="J27" s="3495"/>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3107</v>
      </c>
      <c r="F28" s="3141"/>
      <c r="G28" s="3128"/>
      <c r="H28" s="3156"/>
      <c r="I28" s="3147"/>
      <c r="J28" s="3162">
        <v>6</v>
      </c>
      <c r="K28" s="3163" t="s">
        <v>3108</v>
      </c>
      <c r="L28" s="3164" t="s">
        <v>3109</v>
      </c>
      <c r="M28" s="3165"/>
      <c r="N28" s="3164" t="s">
        <v>3110</v>
      </c>
      <c r="O28" s="3166"/>
      <c r="P28" s="3164" t="s">
        <v>3111</v>
      </c>
      <c r="Q28" s="3167">
        <v>1.4999999999999999E-2</v>
      </c>
      <c r="R28" s="3168"/>
      <c r="S28" s="3120"/>
      <c r="T28" s="3120"/>
      <c r="U28" s="3120"/>
      <c r="V28" s="3147"/>
    </row>
    <row r="29" spans="1:22" s="3148" customFormat="1" ht="13.15" customHeight="1">
      <c r="A29" s="3129">
        <v>3</v>
      </c>
      <c r="B29" s="3130" t="s">
        <v>3112</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3106</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3113</v>
      </c>
      <c r="K31" s="3037"/>
      <c r="L31" s="3037"/>
      <c r="M31" s="3037"/>
      <c r="N31" s="3037"/>
      <c r="O31" s="3037"/>
      <c r="P31" s="3037"/>
      <c r="Q31" s="3037"/>
      <c r="R31" s="3038"/>
      <c r="S31" s="3120"/>
      <c r="T31" s="3039"/>
      <c r="U31" s="3039"/>
      <c r="V31" s="3147"/>
    </row>
    <row r="32" spans="1:22" s="3148" customFormat="1" ht="13.15" customHeight="1">
      <c r="A32" s="3129">
        <v>4</v>
      </c>
      <c r="B32" s="3130" t="s">
        <v>3114</v>
      </c>
      <c r="C32" s="3131">
        <f>C23-C26-C29</f>
        <v>0</v>
      </c>
      <c r="D32" s="3132">
        <f>D23-D26-D29</f>
        <v>0</v>
      </c>
      <c r="E32" s="3133">
        <f>E23-E26-E29</f>
        <v>0</v>
      </c>
      <c r="F32" s="3134"/>
      <c r="G32" s="3128"/>
      <c r="H32" s="3046"/>
      <c r="I32" s="3047"/>
      <c r="J32" s="3477" t="s">
        <v>3006</v>
      </c>
      <c r="K32" s="3478"/>
      <c r="L32" s="3048" t="s">
        <v>3007</v>
      </c>
      <c r="M32" s="3048" t="s">
        <v>3008</v>
      </c>
      <c r="N32" s="3048" t="s">
        <v>3009</v>
      </c>
      <c r="O32" s="3048" t="s">
        <v>3010</v>
      </c>
      <c r="P32" s="3048" t="s">
        <v>3011</v>
      </c>
      <c r="Q32" s="3049" t="s">
        <v>3012</v>
      </c>
      <c r="R32" s="3171" t="s">
        <v>3013</v>
      </c>
      <c r="S32" s="3120"/>
      <c r="T32" s="3039"/>
      <c r="U32" s="3039"/>
      <c r="V32" s="3147"/>
    </row>
    <row r="33" spans="1:23" s="3051" customFormat="1" ht="13.15" customHeight="1">
      <c r="A33" s="3129"/>
      <c r="B33" s="3130"/>
      <c r="C33" s="3131"/>
      <c r="D33" s="3172"/>
      <c r="E33" s="3173"/>
      <c r="F33" s="3134"/>
      <c r="G33" s="3128"/>
      <c r="H33" s="3156"/>
      <c r="I33" s="3147"/>
      <c r="J33" s="3479" t="s">
        <v>3016</v>
      </c>
      <c r="K33" s="3480"/>
      <c r="L33" s="3054"/>
      <c r="M33" s="3054"/>
      <c r="N33" s="3054"/>
      <c r="O33" s="3054"/>
      <c r="P33" s="3054"/>
      <c r="Q33" s="3055"/>
      <c r="R33" s="3174">
        <f>SUM(L33:Q33)</f>
        <v>0</v>
      </c>
      <c r="S33" s="3120"/>
      <c r="T33" s="3039"/>
      <c r="U33" s="3039"/>
      <c r="V33" s="3047"/>
    </row>
    <row r="34" spans="1:23" s="3051" customFormat="1" ht="13.15" customHeight="1">
      <c r="A34" s="3129">
        <v>5</v>
      </c>
      <c r="B34" s="3130" t="s">
        <v>3115</v>
      </c>
      <c r="C34" s="3175"/>
      <c r="D34" s="3176"/>
      <c r="E34" s="3177"/>
      <c r="F34" s="3134"/>
      <c r="G34" s="3128"/>
      <c r="H34" s="3156"/>
      <c r="I34" s="3147"/>
      <c r="J34" s="3479" t="s">
        <v>3018</v>
      </c>
      <c r="K34" s="3480"/>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3116</v>
      </c>
      <c r="C35" s="3179"/>
      <c r="D35" s="3180"/>
      <c r="E35" s="3181"/>
      <c r="F35" s="3134"/>
      <c r="G35" s="3182"/>
      <c r="H35" s="3046"/>
      <c r="I35" s="3147"/>
      <c r="J35" s="3065" t="s">
        <v>3020</v>
      </c>
      <c r="K35" s="3066"/>
      <c r="L35" s="3066"/>
      <c r="M35" s="3067"/>
      <c r="N35" s="3067"/>
      <c r="O35" s="3067"/>
      <c r="P35" s="3067"/>
      <c r="Q35" s="3067"/>
      <c r="R35" s="3183">
        <f>R40+R41+R43</f>
        <v>0</v>
      </c>
      <c r="S35" s="3120"/>
      <c r="T35" s="3039" t="s">
        <v>3021</v>
      </c>
      <c r="U35" s="3039"/>
      <c r="V35" s="3047"/>
    </row>
    <row r="36" spans="1:23" s="3051" customFormat="1" ht="13.15" customHeight="1" thickBot="1">
      <c r="A36" s="3129">
        <v>7</v>
      </c>
      <c r="B36" s="3184" t="s">
        <v>3117</v>
      </c>
      <c r="C36" s="3185"/>
      <c r="D36" s="3186"/>
      <c r="E36" s="3187"/>
      <c r="F36" s="3188">
        <f>C36+D36+E36</f>
        <v>0</v>
      </c>
      <c r="G36" s="3128"/>
      <c r="H36" s="3046"/>
      <c r="I36" s="3047"/>
      <c r="J36" s="3484">
        <v>1</v>
      </c>
      <c r="K36" s="3485" t="s">
        <v>3118</v>
      </c>
      <c r="L36" s="3072"/>
      <c r="M36" s="3073"/>
      <c r="N36" s="3073"/>
      <c r="O36" s="3073"/>
      <c r="P36" s="3073"/>
      <c r="Q36" s="3073"/>
      <c r="R36" s="3056" t="s">
        <v>3030</v>
      </c>
      <c r="S36" s="3120"/>
      <c r="T36" s="3039" t="s">
        <v>3031</v>
      </c>
      <c r="U36" s="3039"/>
      <c r="V36" s="3047"/>
    </row>
    <row r="37" spans="1:23" s="3051" customFormat="1" ht="13.15" customHeight="1">
      <c r="A37" s="3129"/>
      <c r="B37" s="3130"/>
      <c r="C37" s="3130"/>
      <c r="D37" s="3130"/>
      <c r="E37" s="3130"/>
      <c r="F37" s="3134"/>
      <c r="G37" s="3128"/>
      <c r="H37" s="3046"/>
      <c r="I37" s="3047"/>
      <c r="J37" s="3484"/>
      <c r="K37" s="3486"/>
      <c r="L37" s="3081"/>
      <c r="M37" s="3082"/>
      <c r="N37" s="3058"/>
      <c r="O37" s="3083"/>
      <c r="P37" s="3083"/>
      <c r="Q37" s="3084"/>
      <c r="R37" s="3085"/>
      <c r="S37" s="3120"/>
      <c r="T37" s="3039" t="s">
        <v>3034</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84"/>
      <c r="K38" s="3486"/>
      <c r="L38" s="3081"/>
      <c r="M38" s="3082"/>
      <c r="N38" s="3058"/>
      <c r="O38" s="3083"/>
      <c r="P38" s="3083"/>
      <c r="Q38" s="3084"/>
      <c r="R38" s="3085"/>
      <c r="S38" s="3120"/>
      <c r="T38" s="3039" t="s">
        <v>3041</v>
      </c>
      <c r="U38" s="3039"/>
      <c r="V38" s="3047"/>
    </row>
    <row r="39" spans="1:23" s="3051" customFormat="1" ht="13.15" customHeight="1">
      <c r="A39" s="3129">
        <v>9</v>
      </c>
      <c r="B39" s="3130" t="s">
        <v>3119</v>
      </c>
      <c r="C39" s="3095" t="e">
        <f>C38</f>
        <v>#DIV/0!</v>
      </c>
      <c r="D39" s="3130">
        <f>D38/(1+D34)^C36</f>
        <v>0</v>
      </c>
      <c r="E39" s="3130">
        <f>E38/(1+E34)^(C36+D36)</f>
        <v>0</v>
      </c>
      <c r="F39" s="3134"/>
      <c r="G39" s="3189"/>
      <c r="H39" s="3046"/>
      <c r="I39" s="3047"/>
      <c r="J39" s="3484"/>
      <c r="K39" s="3486"/>
      <c r="L39" s="3081"/>
      <c r="M39" s="3082"/>
      <c r="N39" s="3058"/>
      <c r="O39" s="3083"/>
      <c r="P39" s="3083"/>
      <c r="Q39" s="3084"/>
      <c r="R39" s="3085"/>
      <c r="S39" s="3120"/>
      <c r="T39" s="3039"/>
      <c r="U39" s="3039"/>
      <c r="V39" s="3047"/>
    </row>
    <row r="40" spans="1:23" s="3051" customFormat="1" ht="13.15" customHeight="1">
      <c r="A40" s="3190">
        <v>10</v>
      </c>
      <c r="B40" s="3130" t="s">
        <v>3120</v>
      </c>
      <c r="C40" s="3191" t="e">
        <f>C39+D39+E39</f>
        <v>#DIV/0!</v>
      </c>
      <c r="D40" s="3192"/>
      <c r="E40" s="3192"/>
      <c r="F40" s="3193"/>
      <c r="G40" s="3128"/>
      <c r="H40" s="3046"/>
      <c r="I40" s="3047"/>
      <c r="J40" s="3484"/>
      <c r="K40" s="3487"/>
      <c r="L40" s="3101" t="s">
        <v>3059</v>
      </c>
      <c r="M40" s="3102"/>
      <c r="N40" s="3102"/>
      <c r="O40" s="3103"/>
      <c r="P40" s="3103"/>
      <c r="Q40" s="3104"/>
      <c r="R40" s="3050">
        <f>SUM(R37:R39)</f>
        <v>0</v>
      </c>
      <c r="S40" s="3120"/>
      <c r="T40" s="3039"/>
      <c r="U40" s="3039"/>
      <c r="V40" s="3047"/>
    </row>
    <row r="41" spans="1:23" s="3051" customFormat="1" ht="13.15" customHeight="1" thickBot="1">
      <c r="A41" s="3194">
        <v>11</v>
      </c>
      <c r="B41" s="3195" t="s">
        <v>3121</v>
      </c>
      <c r="C41" s="3195" t="e">
        <f>ROUND(C40*10000/B4,0)</f>
        <v>#DIV/0!</v>
      </c>
      <c r="D41" s="3196"/>
      <c r="E41" s="3196"/>
      <c r="F41" s="3197"/>
      <c r="G41" s="3198"/>
      <c r="H41" s="3046"/>
      <c r="I41" s="3047"/>
      <c r="J41" s="3142">
        <v>2</v>
      </c>
      <c r="K41" s="3143" t="s">
        <v>3099</v>
      </c>
      <c r="L41" s="3144"/>
      <c r="M41" s="3144"/>
      <c r="N41" s="3144"/>
      <c r="O41" s="3144"/>
      <c r="P41" s="3145"/>
      <c r="Q41" s="3146"/>
      <c r="R41" s="3117">
        <f>ROUND(R40*Q41,0)</f>
        <v>0</v>
      </c>
      <c r="S41" s="3120"/>
      <c r="T41" s="3039"/>
      <c r="U41" s="3154"/>
      <c r="V41" s="3047"/>
    </row>
    <row r="42" spans="1:23" s="3051" customFormat="1" ht="13.15" customHeight="1">
      <c r="G42" s="3198"/>
      <c r="H42" s="3046"/>
      <c r="I42" s="3047"/>
      <c r="J42" s="3494">
        <v>3</v>
      </c>
      <c r="K42" s="3149" t="s">
        <v>3101</v>
      </c>
      <c r="L42" s="3150"/>
      <c r="M42" s="3151"/>
      <c r="N42" s="3152" t="s">
        <v>3102</v>
      </c>
      <c r="O42" s="3152" t="s">
        <v>3103</v>
      </c>
      <c r="P42" s="3153" t="s">
        <v>3104</v>
      </c>
      <c r="Q42" s="3153" t="s">
        <v>3105</v>
      </c>
      <c r="R42" s="3056" t="s">
        <v>3030</v>
      </c>
      <c r="S42" s="3154"/>
      <c r="T42" s="3154"/>
      <c r="U42" s="3039"/>
      <c r="V42" s="3047"/>
    </row>
    <row r="43" spans="1:23" ht="13.15" customHeight="1">
      <c r="A43" s="3051"/>
      <c r="B43" s="3051"/>
      <c r="C43" s="3051"/>
      <c r="D43" s="3051"/>
      <c r="E43" s="3051"/>
      <c r="F43" s="3051"/>
      <c r="I43" s="3034"/>
      <c r="J43" s="3495"/>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3108</v>
      </c>
      <c r="L44" s="3202" t="s">
        <v>3109</v>
      </c>
      <c r="M44" s="3165"/>
      <c r="N44" s="3202" t="s">
        <v>3110</v>
      </c>
      <c r="O44" s="3165"/>
      <c r="P44" s="3202" t="s">
        <v>3111</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2287</v>
      </c>
      <c r="B1" s="2022"/>
      <c r="C1" s="2022"/>
      <c r="D1" s="2022"/>
      <c r="E1" s="2023"/>
      <c r="F1" s="2903"/>
      <c r="G1" s="1642"/>
      <c r="H1" s="1642"/>
      <c r="I1" s="1642"/>
      <c r="J1" s="1642"/>
      <c r="K1" s="1642"/>
      <c r="L1" s="1642"/>
      <c r="M1" s="1642"/>
      <c r="N1" s="1642"/>
      <c r="O1" s="1642"/>
      <c r="P1" s="1642"/>
      <c r="Q1" s="1642"/>
      <c r="R1" s="1642"/>
      <c r="S1" s="1642"/>
    </row>
    <row r="2" spans="1:22" ht="15.75">
      <c r="A2" s="2024" t="s">
        <v>2088</v>
      </c>
      <c r="B2" s="2025">
        <f ca="1">SUMIF(B6:B13,"&lt;&gt;#ref!",B6:B13)</f>
        <v>63101</v>
      </c>
      <c r="C2" s="2026" t="s">
        <v>2280</v>
      </c>
      <c r="D2" s="2027" t="s">
        <v>2281</v>
      </c>
      <c r="E2" s="2800">
        <f>SUM(E6:E13)</f>
        <v>26834.3</v>
      </c>
      <c r="F2" s="2903"/>
      <c r="G2" s="1642"/>
      <c r="H2" s="1642"/>
      <c r="I2" s="1642"/>
      <c r="J2" s="1642"/>
      <c r="K2" s="1642"/>
      <c r="L2" s="1642"/>
      <c r="M2" s="1642"/>
      <c r="N2" s="1642"/>
      <c r="O2" s="1642"/>
      <c r="P2" s="1642"/>
      <c r="Q2" s="1642"/>
      <c r="R2" s="1642"/>
      <c r="S2" s="1642"/>
    </row>
    <row r="3" spans="1:22" ht="15.75">
      <c r="A3" s="2024" t="s">
        <v>1300</v>
      </c>
      <c r="B3" s="2794">
        <f ca="1">ROUND(B2*10000/E2,0)</f>
        <v>23515</v>
      </c>
      <c r="C3" s="2026" t="s">
        <v>2288</v>
      </c>
      <c r="D3" s="2905"/>
      <c r="E3" s="2907"/>
      <c r="F3" s="2903"/>
      <c r="G3" s="1642"/>
      <c r="H3" s="1642"/>
      <c r="I3" s="1642"/>
      <c r="J3" s="1642"/>
      <c r="K3" s="1642"/>
      <c r="L3" s="1642"/>
      <c r="M3" s="1642"/>
      <c r="N3" s="1642"/>
      <c r="O3" s="1642"/>
      <c r="P3" s="1642"/>
      <c r="Q3" s="1642"/>
      <c r="R3" s="1642"/>
      <c r="S3" s="1642"/>
    </row>
    <row r="4" spans="1:22" ht="15.75">
      <c r="A4" s="2908"/>
      <c r="B4" s="2905"/>
      <c r="C4" s="2905"/>
      <c r="D4" s="2905"/>
      <c r="E4" s="2907"/>
      <c r="F4" s="2903"/>
      <c r="G4" s="1642"/>
      <c r="H4" s="1642"/>
      <c r="I4" s="1642"/>
      <c r="J4" s="1642"/>
      <c r="K4" s="1642"/>
      <c r="L4" s="1642"/>
      <c r="M4" s="1642"/>
      <c r="N4" s="1642"/>
      <c r="O4" s="1642"/>
      <c r="P4" s="1642"/>
      <c r="Q4" s="1642"/>
      <c r="R4" s="1642"/>
      <c r="S4" s="1642"/>
    </row>
    <row r="5" spans="1:22" ht="15">
      <c r="A5" s="2796" t="s">
        <v>2282</v>
      </c>
      <c r="B5" s="3496" t="s">
        <v>2283</v>
      </c>
      <c r="C5" s="3497"/>
      <c r="D5" s="2904"/>
      <c r="E5" s="2028" t="s">
        <v>2284</v>
      </c>
      <c r="F5" s="2029" t="s">
        <v>2285</v>
      </c>
      <c r="G5" s="1642"/>
      <c r="H5" s="1642"/>
      <c r="I5" s="1642"/>
      <c r="J5" s="1642"/>
      <c r="K5" s="1642"/>
      <c r="L5" s="1642"/>
      <c r="M5" s="1642"/>
      <c r="N5" s="1642"/>
      <c r="O5" s="1642"/>
      <c r="P5" s="1642"/>
      <c r="Q5" s="1642"/>
      <c r="R5" s="1642"/>
      <c r="S5" s="1642"/>
    </row>
    <row r="6" spans="1:22">
      <c r="A6" s="2797" t="str">
        <f>'数据-取费表'!AN6</f>
        <v>收益法</v>
      </c>
      <c r="B6" s="2795">
        <f ca="1">IF(F6="是",'数据-取费表'!AO6,0)</f>
        <v>63101</v>
      </c>
      <c r="C6" s="2026" t="s">
        <v>2280</v>
      </c>
      <c r="D6" s="2905"/>
      <c r="E6" s="2799">
        <f>IF(OR(A6=0,F6="否"),0,'数据-取费表'!K6+'数据-取费表'!S6)</f>
        <v>26834.3</v>
      </c>
      <c r="F6" s="2030" t="s">
        <v>2286</v>
      </c>
      <c r="G6" s="1642"/>
      <c r="H6" s="1642"/>
      <c r="I6" s="1642"/>
      <c r="J6" s="1642"/>
      <c r="K6" s="1642"/>
      <c r="L6" s="1642"/>
      <c r="M6" s="1642"/>
      <c r="N6" s="1642"/>
      <c r="O6" s="1642"/>
      <c r="P6" s="1642"/>
      <c r="Q6" s="1642"/>
      <c r="R6" s="1642"/>
      <c r="S6" s="1642"/>
    </row>
    <row r="7" spans="1:22">
      <c r="A7" s="2797">
        <f>'数据-取费表'!AN7</f>
        <v>0</v>
      </c>
      <c r="B7" s="2795" t="e">
        <f ca="1">IF(F7="是",'数据-取费表'!AO7,0)</f>
        <v>#REF!</v>
      </c>
      <c r="C7" s="2026" t="s">
        <v>2280</v>
      </c>
      <c r="D7" s="2905"/>
      <c r="E7" s="2799">
        <f>IF(OR(A7=0,F7="否"),0,'数据-取费表'!K7+'数据-取费表'!S7)</f>
        <v>0</v>
      </c>
      <c r="F7" s="2030" t="s">
        <v>2286</v>
      </c>
      <c r="G7" s="1642"/>
      <c r="H7" s="1642"/>
      <c r="I7" s="1642"/>
      <c r="J7" s="1642"/>
      <c r="K7" s="1642"/>
      <c r="L7" s="1642"/>
      <c r="M7" s="1642"/>
      <c r="N7" s="1642"/>
      <c r="O7" s="1642"/>
      <c r="P7" s="1642"/>
      <c r="Q7" s="1642"/>
      <c r="R7" s="1642"/>
      <c r="S7" s="1642"/>
    </row>
    <row r="8" spans="1:22">
      <c r="A8" s="2797">
        <f>'数据-取费表'!AN8</f>
        <v>0</v>
      </c>
      <c r="B8" s="2795" t="e">
        <f ca="1">IF(F8="是",'数据-取费表'!AO8,0)</f>
        <v>#REF!</v>
      </c>
      <c r="C8" s="2026" t="s">
        <v>2280</v>
      </c>
      <c r="D8" s="2905"/>
      <c r="E8" s="2799">
        <f>IF(OR(A8=0,F8="否"),0,'数据-取费表'!K8+'数据-取费表'!S8)</f>
        <v>0</v>
      </c>
      <c r="F8" s="2030" t="s">
        <v>2286</v>
      </c>
      <c r="G8" s="1642"/>
      <c r="H8" s="1642"/>
      <c r="I8" s="1642"/>
      <c r="J8" s="1642"/>
      <c r="K8" s="1642"/>
      <c r="L8" s="1642"/>
      <c r="M8" s="1642"/>
      <c r="N8" s="1642"/>
      <c r="O8" s="1642"/>
      <c r="P8" s="1642"/>
      <c r="Q8" s="1642"/>
      <c r="R8" s="1642"/>
      <c r="S8" s="1642"/>
    </row>
    <row r="9" spans="1:22">
      <c r="A9" s="2797">
        <f>'数据-取费表'!AN9</f>
        <v>0</v>
      </c>
      <c r="B9" s="2795" t="e">
        <f ca="1">IF(F9="是",'数据-取费表'!AO9,0)</f>
        <v>#REF!</v>
      </c>
      <c r="C9" s="2026" t="s">
        <v>2280</v>
      </c>
      <c r="D9" s="2905"/>
      <c r="E9" s="2799">
        <f>IF(OR(A9=0,F9="否"),0,'数据-取费表'!K9+'数据-取费表'!S9)</f>
        <v>0</v>
      </c>
      <c r="F9" s="2030" t="s">
        <v>2286</v>
      </c>
      <c r="G9" s="1642"/>
      <c r="H9" s="1642"/>
      <c r="I9" s="1642"/>
      <c r="J9" s="1642"/>
      <c r="K9" s="1642"/>
      <c r="L9" s="1642"/>
      <c r="M9" s="1642"/>
      <c r="N9" s="1642"/>
      <c r="O9" s="1642"/>
      <c r="P9" s="1642"/>
      <c r="Q9" s="1642"/>
      <c r="R9" s="1642"/>
      <c r="S9" s="1642"/>
    </row>
    <row r="10" spans="1:22">
      <c r="A10" s="2797">
        <f>'数据-取费表'!AN10</f>
        <v>0</v>
      </c>
      <c r="B10" s="2795" t="e">
        <f ca="1">IF(F10="是",'数据-取费表'!AO10,0)</f>
        <v>#REF!</v>
      </c>
      <c r="C10" s="2026" t="s">
        <v>2280</v>
      </c>
      <c r="D10" s="2905"/>
      <c r="E10" s="2799">
        <f>IF(OR(A10=0,F10="否"),0,'数据-取费表'!K10+'数据-取费表'!S10)</f>
        <v>0</v>
      </c>
      <c r="F10" s="2030" t="s">
        <v>2286</v>
      </c>
      <c r="G10" s="1642"/>
      <c r="H10" s="1642"/>
      <c r="I10" s="1642"/>
      <c r="J10" s="1642"/>
      <c r="K10" s="1642"/>
      <c r="L10" s="1642"/>
      <c r="M10" s="1642"/>
      <c r="N10" s="1642"/>
      <c r="O10" s="1642"/>
      <c r="P10" s="1642"/>
      <c r="Q10" s="1642"/>
      <c r="R10" s="1642"/>
      <c r="S10" s="1642"/>
    </row>
    <row r="11" spans="1:22">
      <c r="A11" s="2797">
        <f>'数据-取费表'!AN11</f>
        <v>0</v>
      </c>
      <c r="B11" s="2795" t="e">
        <f ca="1">IF(F11="是",'数据-取费表'!AO11,0)</f>
        <v>#REF!</v>
      </c>
      <c r="C11" s="2026" t="s">
        <v>2280</v>
      </c>
      <c r="D11" s="2905"/>
      <c r="E11" s="2799">
        <f>IF(OR(A11=0,F11="否"),0,'数据-取费表'!K11+'数据-取费表'!S11)</f>
        <v>0</v>
      </c>
      <c r="F11" s="2030" t="s">
        <v>2286</v>
      </c>
      <c r="G11" s="1642"/>
      <c r="H11" s="1642"/>
      <c r="I11" s="1642"/>
      <c r="J11" s="1642"/>
      <c r="K11" s="1642"/>
      <c r="L11" s="1642"/>
      <c r="M11" s="1642"/>
      <c r="N11" s="1642"/>
      <c r="O11" s="1642"/>
      <c r="P11" s="1642"/>
      <c r="Q11" s="1642"/>
      <c r="R11" s="1642"/>
      <c r="S11" s="1642"/>
    </row>
    <row r="12" spans="1:22">
      <c r="A12" s="2797">
        <f>'数据-取费表'!AN12</f>
        <v>0</v>
      </c>
      <c r="B12" s="2795" t="e">
        <f ca="1">IF(F12="是",'数据-取费表'!AO12,0)</f>
        <v>#REF!</v>
      </c>
      <c r="C12" s="2026" t="s">
        <v>2280</v>
      </c>
      <c r="D12" s="2905"/>
      <c r="E12" s="2799">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8">
        <f>'数据-取费表'!AN13</f>
        <v>0</v>
      </c>
      <c r="B13" s="2795" t="e">
        <f ca="1">IF(F13="是",'数据-取费表'!AO13,0)</f>
        <v>#REF!</v>
      </c>
      <c r="C13" s="2031" t="s">
        <v>2280</v>
      </c>
      <c r="D13" s="2906"/>
      <c r="E13" s="2799">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2" t="s">
        <v>2290</v>
      </c>
      <c r="C1" s="1376" t="s">
        <v>2291</v>
      </c>
      <c r="D1" s="1363"/>
      <c r="E1" s="2511"/>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5"/>
      <c r="D2" s="1245" t="e">
        <f ca="1">SUMIF(INDIRECT("'"&amp;F2&amp;"'"&amp;"!A:A"),"承租人权益价值",INDIRECT("'"&amp;F2&amp;"'"&amp;"!c:c"))</f>
        <v>#REF!</v>
      </c>
      <c r="E2" s="2036" t="s">
        <v>2294</v>
      </c>
      <c r="F2" s="2037"/>
      <c r="G2" s="1037"/>
      <c r="H2" s="1037"/>
      <c r="I2" s="1037"/>
      <c r="J2" s="1037"/>
      <c r="K2" s="2038"/>
      <c r="L2" s="2909"/>
      <c r="M2" s="2910"/>
      <c r="N2" s="2910"/>
      <c r="O2" s="2910"/>
      <c r="P2" s="2039"/>
      <c r="Q2" s="2040"/>
      <c r="R2" s="2040"/>
      <c r="S2" s="2040"/>
      <c r="T2" s="2040"/>
      <c r="U2" s="2040"/>
      <c r="V2" s="2040"/>
      <c r="W2" s="2040"/>
      <c r="X2" s="2040"/>
      <c r="Y2" s="2040"/>
      <c r="Z2" s="2040"/>
      <c r="AA2" s="2040"/>
      <c r="AB2" s="2040"/>
      <c r="AC2" s="2041"/>
    </row>
    <row r="3" spans="1:29" s="353" customFormat="1" ht="28.5" customHeight="1" thickBot="1">
      <c r="A3" s="209" t="s">
        <v>1300</v>
      </c>
      <c r="B3" s="359" t="e">
        <f ca="1">IF(C2="——",C49,ROUND(B2*10000/D3,0))</f>
        <v>#DIV/0!</v>
      </c>
      <c r="C3" s="360" t="s">
        <v>2295</v>
      </c>
      <c r="D3" s="359">
        <f>IF(D1="",'数据-汇总表'!E3,SUMIF('数据-汇总表'!$C19:$C33,D1,'数据-汇总表'!$E19:$E33))</f>
        <v>26834.3</v>
      </c>
      <c r="E3" s="1037"/>
      <c r="F3" s="2042"/>
      <c r="G3" s="1037"/>
      <c r="H3" s="1037"/>
      <c r="I3" s="1037"/>
      <c r="J3" s="1037"/>
      <c r="K3" s="2038"/>
      <c r="L3" s="2909"/>
      <c r="M3" s="2910"/>
      <c r="N3" s="2910"/>
      <c r="O3" s="2910"/>
      <c r="P3" s="2039"/>
      <c r="Q3" s="2040"/>
      <c r="R3" s="2040"/>
      <c r="S3" s="2040"/>
      <c r="T3" s="2040"/>
      <c r="U3" s="2040"/>
      <c r="V3" s="2040"/>
      <c r="W3" s="2040"/>
      <c r="X3" s="2040"/>
      <c r="Y3" s="2040"/>
      <c r="Z3" s="2040"/>
      <c r="AA3" s="2040"/>
      <c r="AB3" s="2040"/>
      <c r="AC3" s="1190"/>
    </row>
    <row r="4" spans="1:29" ht="15">
      <c r="A4" s="361" t="s">
        <v>2296</v>
      </c>
      <c r="B4" s="362"/>
      <c r="C4" s="3442" t="s">
        <v>2297</v>
      </c>
      <c r="D4" s="3443"/>
      <c r="E4" s="3444" t="s">
        <v>2298</v>
      </c>
      <c r="F4" s="3445"/>
      <c r="G4" s="3442" t="s">
        <v>2299</v>
      </c>
      <c r="H4" s="3443"/>
      <c r="I4" s="3442" t="s">
        <v>2300</v>
      </c>
      <c r="J4" s="3443"/>
      <c r="K4" s="2043" t="s">
        <v>2301</v>
      </c>
      <c r="L4" s="2911"/>
      <c r="M4" s="2912"/>
      <c r="N4" s="2912"/>
      <c r="O4" s="2912"/>
      <c r="P4" s="3502" t="s">
        <v>2302</v>
      </c>
      <c r="Q4" s="3503"/>
      <c r="R4" s="3499" t="s">
        <v>2298</v>
      </c>
      <c r="S4" s="3500"/>
      <c r="T4" s="3499" t="s">
        <v>2299</v>
      </c>
      <c r="U4" s="3500"/>
      <c r="V4" s="3455" t="s">
        <v>2300</v>
      </c>
      <c r="W4" s="3455"/>
      <c r="X4" s="1507"/>
      <c r="Y4" s="3499" t="s">
        <v>2302</v>
      </c>
      <c r="Z4" s="3500"/>
      <c r="AA4" s="3498" t="s">
        <v>2298</v>
      </c>
      <c r="AB4" s="3498" t="s">
        <v>2299</v>
      </c>
      <c r="AC4" s="3498" t="s">
        <v>2300</v>
      </c>
    </row>
    <row r="5" spans="1:29" ht="15">
      <c r="A5" s="364"/>
      <c r="B5" s="365"/>
      <c r="C5" s="3431" t="s">
        <v>2303</v>
      </c>
      <c r="D5" s="3432"/>
      <c r="E5" s="3501" t="s">
        <v>2304</v>
      </c>
      <c r="F5" s="3430"/>
      <c r="G5" s="3431" t="s">
        <v>2305</v>
      </c>
      <c r="H5" s="3432"/>
      <c r="I5" s="3431" t="s">
        <v>2306</v>
      </c>
      <c r="J5" s="3432"/>
      <c r="K5" s="2044"/>
      <c r="L5" s="2911"/>
      <c r="M5" s="2912"/>
      <c r="N5" s="2912"/>
      <c r="O5" s="2912"/>
      <c r="P5" s="3504"/>
      <c r="Q5" s="3449"/>
      <c r="R5" s="3427"/>
      <c r="S5" s="3428"/>
      <c r="T5" s="3427"/>
      <c r="U5" s="3428"/>
      <c r="V5" s="3455"/>
      <c r="W5" s="3455"/>
      <c r="X5" s="1507"/>
      <c r="Y5" s="3427"/>
      <c r="Z5" s="3428"/>
      <c r="AA5" s="3421"/>
      <c r="AB5" s="3421"/>
      <c r="AC5" s="3421"/>
    </row>
    <row r="6" spans="1:29" ht="15.75" thickBot="1">
      <c r="A6" s="366"/>
      <c r="B6" s="367"/>
      <c r="C6" s="3433" t="s">
        <v>2307</v>
      </c>
      <c r="D6" s="3434"/>
      <c r="E6" s="3436" t="s">
        <v>2307</v>
      </c>
      <c r="F6" s="3437"/>
      <c r="G6" s="3433" t="s">
        <v>2307</v>
      </c>
      <c r="H6" s="3434"/>
      <c r="I6" s="3433" t="s">
        <v>2307</v>
      </c>
      <c r="J6" s="3434"/>
      <c r="K6" s="2044" t="s">
        <v>2308</v>
      </c>
      <c r="L6" s="2911"/>
      <c r="M6" s="2912"/>
      <c r="N6" s="2912"/>
      <c r="O6" s="2912"/>
      <c r="P6" s="3505"/>
      <c r="Q6" s="3451"/>
      <c r="R6" s="3427"/>
      <c r="S6" s="3428"/>
      <c r="T6" s="3452"/>
      <c r="U6" s="3453"/>
      <c r="V6" s="3455"/>
      <c r="W6" s="3455"/>
      <c r="X6" s="1507"/>
      <c r="Y6" s="3452"/>
      <c r="Z6" s="3453"/>
      <c r="AA6" s="3422"/>
      <c r="AB6" s="3422"/>
      <c r="AC6" s="3422"/>
    </row>
    <row r="7" spans="1:29" s="113" customFormat="1" ht="15.75" thickBot="1">
      <c r="A7" s="368" t="s">
        <v>2309</v>
      </c>
      <c r="B7" s="369"/>
      <c r="C7" s="370">
        <f>'数据-取费表'!B2</f>
        <v>44645</v>
      </c>
      <c r="D7" s="371">
        <v>100</v>
      </c>
      <c r="E7" s="372"/>
      <c r="F7" s="373">
        <f>SUMIF(58:58,YEAR(E7)&amp;"-"&amp;MONTH(E7),59:59)</f>
        <v>0</v>
      </c>
      <c r="G7" s="372"/>
      <c r="H7" s="371">
        <f>SUMIF(58:58,YEAR(G7)&amp;"-"&amp;MONTH(G7),59:59)</f>
        <v>0</v>
      </c>
      <c r="I7" s="372"/>
      <c r="J7" s="371">
        <f>SUMIF(58:58,YEAR(I7)&amp;"-"&amp;MONTH(I7),59:59)</f>
        <v>0</v>
      </c>
      <c r="K7" s="2045"/>
      <c r="L7" s="2913"/>
      <c r="M7" s="2914"/>
      <c r="N7" s="2914"/>
      <c r="O7" s="2914"/>
      <c r="P7" s="3423" t="s">
        <v>2310</v>
      </c>
      <c r="Q7" s="3457"/>
      <c r="R7" s="709" t="s">
        <v>23</v>
      </c>
      <c r="S7" s="710">
        <f t="shared" ref="S7:S15" si="0">F7</f>
        <v>0</v>
      </c>
      <c r="T7" s="709" t="s">
        <v>23</v>
      </c>
      <c r="U7" s="710">
        <f t="shared" ref="U7:U15" si="1">H7</f>
        <v>0</v>
      </c>
      <c r="V7" s="709" t="s">
        <v>23</v>
      </c>
      <c r="W7" s="710">
        <f t="shared" ref="W7:W15" si="2">J7</f>
        <v>0</v>
      </c>
      <c r="X7" s="711"/>
      <c r="Y7" s="3423" t="s">
        <v>2310</v>
      </c>
      <c r="Z7" s="3424"/>
      <c r="AA7" s="712" t="e">
        <f>D7/F7</f>
        <v>#DIV/0!</v>
      </c>
      <c r="AB7" s="712" t="e">
        <f>D7/H7</f>
        <v>#DIV/0!</v>
      </c>
      <c r="AC7" s="712" t="e">
        <f>D7/J7</f>
        <v>#DIV/0!</v>
      </c>
    </row>
    <row r="8" spans="1:29" s="113" customFormat="1" ht="15.75" thickBot="1">
      <c r="A8" s="368" t="s">
        <v>2311</v>
      </c>
      <c r="B8" s="369"/>
      <c r="C8" s="374" t="s">
        <v>2312</v>
      </c>
      <c r="D8" s="371">
        <v>100</v>
      </c>
      <c r="E8" s="2046"/>
      <c r="F8" s="373">
        <f>SUMIF(61:61,E8,62:62)-SUMIF(61:61,C8,62:62)+100</f>
        <v>0</v>
      </c>
      <c r="G8" s="374"/>
      <c r="H8" s="371">
        <f>SUMIF(61:61,G8,62:62)-SUMIF(61:61,C8,62:62)+100</f>
        <v>0</v>
      </c>
      <c r="I8" s="2046"/>
      <c r="J8" s="371">
        <f>SUMIF(61:61,I8,62:62)-SUMIF(61:61,C8,62:62)+100</f>
        <v>0</v>
      </c>
      <c r="K8" s="2045"/>
      <c r="L8" s="2913"/>
      <c r="M8" s="2914"/>
      <c r="N8" s="2914"/>
      <c r="O8" s="2914"/>
      <c r="P8" s="3423" t="s">
        <v>2313</v>
      </c>
      <c r="Q8" s="3424"/>
      <c r="R8" s="709" t="s">
        <v>23</v>
      </c>
      <c r="S8" s="710">
        <f t="shared" si="0"/>
        <v>0</v>
      </c>
      <c r="T8" s="709" t="s">
        <v>23</v>
      </c>
      <c r="U8" s="710">
        <f t="shared" si="1"/>
        <v>0</v>
      </c>
      <c r="V8" s="709" t="s">
        <v>23</v>
      </c>
      <c r="W8" s="710">
        <f t="shared" si="2"/>
        <v>0</v>
      </c>
      <c r="X8" s="711"/>
      <c r="Y8" s="3423" t="s">
        <v>2313</v>
      </c>
      <c r="Z8" s="3424"/>
      <c r="AA8" s="712" t="e">
        <f t="shared" ref="AA8:AA19" si="3">D8/F8</f>
        <v>#DIV/0!</v>
      </c>
      <c r="AB8" s="712" t="e">
        <f t="shared" ref="AB8:AB19" si="4">D8/H8</f>
        <v>#DIV/0!</v>
      </c>
      <c r="AC8" s="712"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5"/>
      <c r="L9" s="2913"/>
      <c r="M9" s="2914"/>
      <c r="N9" s="2914"/>
      <c r="O9" s="2914"/>
      <c r="P9" s="3438" t="s">
        <v>2316</v>
      </c>
      <c r="Q9" s="1495" t="str">
        <f t="shared" ref="Q9:Q15" si="6">B9</f>
        <v>用途</v>
      </c>
      <c r="R9" s="709" t="s">
        <v>17</v>
      </c>
      <c r="S9" s="710">
        <f t="shared" si="0"/>
        <v>100</v>
      </c>
      <c r="T9" s="709" t="s">
        <v>17</v>
      </c>
      <c r="U9" s="710">
        <f t="shared" si="1"/>
        <v>100</v>
      </c>
      <c r="V9" s="709" t="s">
        <v>17</v>
      </c>
      <c r="W9" s="710">
        <f t="shared" si="2"/>
        <v>100</v>
      </c>
      <c r="X9" s="711"/>
      <c r="Y9" s="3393" t="s">
        <v>2317</v>
      </c>
      <c r="Z9" s="55" t="str">
        <f t="shared" ref="Z9:Z15" si="7">Q9</f>
        <v>用途</v>
      </c>
      <c r="AA9" s="712">
        <f t="shared" si="3"/>
        <v>1</v>
      </c>
      <c r="AB9" s="712">
        <f t="shared" si="4"/>
        <v>1</v>
      </c>
      <c r="AC9" s="712">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38"/>
      <c r="Q10" s="1495"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712">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38"/>
      <c r="Q11" s="1495" t="str">
        <f t="shared" si="6"/>
        <v>容积率</v>
      </c>
      <c r="R11" s="709" t="s">
        <v>21</v>
      </c>
      <c r="S11" s="710" t="e">
        <f t="shared" si="0"/>
        <v>#N/A</v>
      </c>
      <c r="T11" s="709" t="s">
        <v>21</v>
      </c>
      <c r="U11" s="710" t="e">
        <f t="shared" si="1"/>
        <v>#N/A</v>
      </c>
      <c r="V11" s="709" t="s">
        <v>21</v>
      </c>
      <c r="W11" s="710" t="e">
        <f t="shared" si="2"/>
        <v>#N/A</v>
      </c>
      <c r="X11" s="711"/>
      <c r="Y11" s="3393"/>
      <c r="Z11" s="55" t="str">
        <f t="shared" si="7"/>
        <v>容积率</v>
      </c>
      <c r="AA11" s="712" t="e">
        <f t="shared" si="3"/>
        <v>#N/A</v>
      </c>
      <c r="AB11" s="712" t="e">
        <f t="shared" si="4"/>
        <v>#N/A</v>
      </c>
      <c r="AC11" s="712" t="e">
        <f t="shared" si="5"/>
        <v>#N/A</v>
      </c>
    </row>
    <row r="12" spans="1:29" s="113" customFormat="1" ht="15">
      <c r="A12" s="390"/>
      <c r="B12" s="2047">
        <v>111</v>
      </c>
      <c r="C12" s="391"/>
      <c r="D12" s="392">
        <v>100</v>
      </c>
      <c r="E12" s="391"/>
      <c r="F12" s="384">
        <f>SUMIF(70:70,E12,71:71)-SUMIF(70:70,C12,71:71)+100</f>
        <v>100</v>
      </c>
      <c r="G12" s="391"/>
      <c r="H12" s="132">
        <f>SUMIF(70:70,G12,71:71)-SUMIF(70:70,C12,71:71)+100</f>
        <v>100</v>
      </c>
      <c r="I12" s="391"/>
      <c r="J12" s="132">
        <f>SUMIF(70:70,I12,71:71)-SUMIF(70:70,C12,71:71)+100</f>
        <v>100</v>
      </c>
      <c r="K12" s="2048"/>
      <c r="L12" s="2913"/>
      <c r="M12" s="2914"/>
      <c r="N12" s="2914"/>
      <c r="O12" s="2914"/>
      <c r="P12" s="3438"/>
      <c r="Q12" s="1495">
        <f t="shared" si="6"/>
        <v>111</v>
      </c>
      <c r="R12" s="709" t="s">
        <v>21</v>
      </c>
      <c r="S12" s="710">
        <f t="shared" si="0"/>
        <v>100</v>
      </c>
      <c r="T12" s="709" t="s">
        <v>21</v>
      </c>
      <c r="U12" s="710">
        <f t="shared" si="1"/>
        <v>100</v>
      </c>
      <c r="V12" s="709" t="s">
        <v>21</v>
      </c>
      <c r="W12" s="710">
        <f t="shared" si="2"/>
        <v>100</v>
      </c>
      <c r="X12" s="711"/>
      <c r="Y12" s="3393"/>
      <c r="Z12" s="55">
        <f t="shared" si="7"/>
        <v>111</v>
      </c>
      <c r="AA12" s="712">
        <f>D12/F12</f>
        <v>1</v>
      </c>
      <c r="AB12" s="712">
        <f>D12/H12</f>
        <v>1</v>
      </c>
      <c r="AC12" s="712">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2048"/>
      <c r="L13" s="2918"/>
      <c r="M13" s="2912"/>
      <c r="N13" s="2912"/>
      <c r="O13" s="2912"/>
      <c r="P13" s="3438"/>
      <c r="Q13" s="1495">
        <f t="shared" si="6"/>
        <v>111</v>
      </c>
      <c r="R13" s="709" t="s">
        <v>21</v>
      </c>
      <c r="S13" s="710">
        <f t="shared" si="0"/>
        <v>100</v>
      </c>
      <c r="T13" s="709" t="s">
        <v>21</v>
      </c>
      <c r="U13" s="710">
        <f t="shared" si="1"/>
        <v>100</v>
      </c>
      <c r="V13" s="709" t="s">
        <v>21</v>
      </c>
      <c r="W13" s="710">
        <f t="shared" si="2"/>
        <v>100</v>
      </c>
      <c r="X13" s="711"/>
      <c r="Y13" s="3393"/>
      <c r="Z13" s="55">
        <f t="shared" si="7"/>
        <v>111</v>
      </c>
      <c r="AA13" s="712">
        <f t="shared" si="3"/>
        <v>1</v>
      </c>
      <c r="AB13" s="712">
        <f t="shared" si="4"/>
        <v>1</v>
      </c>
      <c r="AC13" s="712">
        <f t="shared" si="5"/>
        <v>1</v>
      </c>
    </row>
    <row r="14" spans="1:29" ht="15.75" thickBot="1">
      <c r="A14" s="395"/>
      <c r="B14" s="2049">
        <v>111</v>
      </c>
      <c r="C14" s="396"/>
      <c r="D14" s="397">
        <v>100</v>
      </c>
      <c r="E14" s="396"/>
      <c r="F14" s="398">
        <f>SUMIF(74:74,E14,75:75)-SUMIF(74:74,C14,75:75)+100</f>
        <v>100</v>
      </c>
      <c r="G14" s="396"/>
      <c r="H14" s="397">
        <f>SUMIF(74:74,G14,75:75)-SUMIF(74:74,C14,75:75)+100</f>
        <v>100</v>
      </c>
      <c r="I14" s="396"/>
      <c r="J14" s="397">
        <f>SUMIF(74:74,I14,75:75)-SUMIF(74:74,C14,75:75)+100</f>
        <v>100</v>
      </c>
      <c r="K14" s="2048"/>
      <c r="L14" s="2918"/>
      <c r="M14" s="2912"/>
      <c r="N14" s="2912"/>
      <c r="O14" s="2912"/>
      <c r="P14" s="3438"/>
      <c r="Q14" s="1495">
        <f t="shared" si="6"/>
        <v>111</v>
      </c>
      <c r="R14" s="709" t="s">
        <v>21</v>
      </c>
      <c r="S14" s="710">
        <f t="shared" si="0"/>
        <v>100</v>
      </c>
      <c r="T14" s="709" t="s">
        <v>21</v>
      </c>
      <c r="U14" s="710">
        <f t="shared" si="1"/>
        <v>100</v>
      </c>
      <c r="V14" s="709" t="s">
        <v>21</v>
      </c>
      <c r="W14" s="710">
        <f t="shared" si="2"/>
        <v>100</v>
      </c>
      <c r="X14" s="711"/>
      <c r="Y14" s="3393"/>
      <c r="Z14" s="55">
        <f t="shared" si="7"/>
        <v>111</v>
      </c>
      <c r="AA14" s="712">
        <f t="shared" si="3"/>
        <v>1</v>
      </c>
      <c r="AB14" s="712">
        <f t="shared" si="4"/>
        <v>1</v>
      </c>
      <c r="AC14" s="712">
        <f t="shared" si="5"/>
        <v>1</v>
      </c>
    </row>
    <row r="15" spans="1:29" ht="99.75">
      <c r="A15" s="399" t="s">
        <v>2320</v>
      </c>
      <c r="B15" s="65" t="s">
        <v>1883</v>
      </c>
      <c r="C15" s="205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58" t="s">
        <v>2321</v>
      </c>
      <c r="Q15" s="1504" t="str">
        <f t="shared" si="6"/>
        <v>居住社区成熟度</v>
      </c>
      <c r="R15" s="713" t="s">
        <v>21</v>
      </c>
      <c r="S15" s="714">
        <f t="shared" si="0"/>
        <v>100</v>
      </c>
      <c r="T15" s="713" t="s">
        <v>21</v>
      </c>
      <c r="U15" s="714">
        <f t="shared" si="1"/>
        <v>100</v>
      </c>
      <c r="V15" s="713" t="s">
        <v>21</v>
      </c>
      <c r="W15" s="714">
        <f t="shared" si="2"/>
        <v>100</v>
      </c>
      <c r="X15" s="1507"/>
      <c r="Y15" s="3460" t="s">
        <v>2321</v>
      </c>
      <c r="Z15" s="1508" t="str">
        <f t="shared" si="7"/>
        <v>居住社区成熟度</v>
      </c>
      <c r="AA15" s="1505">
        <f t="shared" si="3"/>
        <v>1</v>
      </c>
      <c r="AB15" s="1505">
        <f t="shared" si="4"/>
        <v>1</v>
      </c>
      <c r="AC15" s="1505">
        <f t="shared" si="5"/>
        <v>1</v>
      </c>
    </row>
    <row r="16" spans="1:29" ht="15">
      <c r="A16" s="387"/>
      <c r="B16" s="405"/>
      <c r="C16" s="406"/>
      <c r="D16" s="407"/>
      <c r="E16" s="2051"/>
      <c r="F16" s="407"/>
      <c r="G16" s="2052"/>
      <c r="H16" s="409"/>
      <c r="I16" s="2052"/>
      <c r="J16" s="407"/>
      <c r="K16" s="2053"/>
      <c r="L16" s="2918"/>
      <c r="M16" s="2912"/>
      <c r="N16" s="2912"/>
      <c r="O16" s="2912"/>
      <c r="P16" s="3459"/>
      <c r="Q16" s="1504"/>
      <c r="R16" s="713"/>
      <c r="S16" s="714"/>
      <c r="T16" s="713"/>
      <c r="U16" s="714"/>
      <c r="V16" s="713"/>
      <c r="W16" s="714"/>
      <c r="X16" s="1507"/>
      <c r="Y16" s="3461"/>
      <c r="Z16" s="1508"/>
      <c r="AA16" s="1505">
        <v>1</v>
      </c>
      <c r="AB16" s="1505">
        <v>1</v>
      </c>
      <c r="AC16" s="1505">
        <v>1</v>
      </c>
    </row>
    <row r="17" spans="1:29" ht="85.5">
      <c r="A17" s="387"/>
      <c r="B17" s="410" t="s">
        <v>1885</v>
      </c>
      <c r="C17" s="205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59"/>
      <c r="Q17" s="1504" t="str">
        <f>B17</f>
        <v>交通便捷度</v>
      </c>
      <c r="R17" s="713" t="s">
        <v>21</v>
      </c>
      <c r="S17" s="714">
        <f>F17</f>
        <v>100</v>
      </c>
      <c r="T17" s="713" t="s">
        <v>21</v>
      </c>
      <c r="U17" s="714">
        <f>H17</f>
        <v>100</v>
      </c>
      <c r="V17" s="713" t="s">
        <v>21</v>
      </c>
      <c r="W17" s="714">
        <f>J17</f>
        <v>100</v>
      </c>
      <c r="X17" s="1507"/>
      <c r="Y17" s="3461"/>
      <c r="Z17" s="1508" t="str">
        <f>Q17</f>
        <v>交通便捷度</v>
      </c>
      <c r="AA17" s="1505">
        <f t="shared" si="3"/>
        <v>1</v>
      </c>
      <c r="AB17" s="1505">
        <f t="shared" si="4"/>
        <v>1</v>
      </c>
      <c r="AC17" s="1505">
        <f t="shared" si="5"/>
        <v>1</v>
      </c>
    </row>
    <row r="18" spans="1:29" ht="15">
      <c r="A18" s="387"/>
      <c r="B18" s="415"/>
      <c r="C18" s="2055"/>
      <c r="D18" s="409"/>
      <c r="E18" s="2056"/>
      <c r="F18" s="409"/>
      <c r="G18" s="2057"/>
      <c r="H18" s="407"/>
      <c r="I18" s="2057"/>
      <c r="J18" s="407"/>
      <c r="K18" s="2053"/>
      <c r="L18" s="2918"/>
      <c r="M18" s="2912"/>
      <c r="N18" s="2912"/>
      <c r="O18" s="2912"/>
      <c r="P18" s="3459"/>
      <c r="Q18" s="1504"/>
      <c r="R18" s="713"/>
      <c r="S18" s="714"/>
      <c r="T18" s="713"/>
      <c r="U18" s="714"/>
      <c r="V18" s="713"/>
      <c r="W18" s="714"/>
      <c r="X18" s="1507"/>
      <c r="Y18" s="3461"/>
      <c r="Z18" s="1508"/>
      <c r="AA18" s="1505">
        <v>1</v>
      </c>
      <c r="AB18" s="1505">
        <v>1</v>
      </c>
      <c r="AC18" s="1505">
        <v>1</v>
      </c>
    </row>
    <row r="19" spans="1:29" ht="42.75">
      <c r="A19" s="387"/>
      <c r="B19" s="410" t="s">
        <v>1884</v>
      </c>
      <c r="C19" s="205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59"/>
      <c r="Q19" s="1504" t="str">
        <f>B19</f>
        <v>公共配套设施</v>
      </c>
      <c r="R19" s="713" t="s">
        <v>21</v>
      </c>
      <c r="S19" s="714">
        <f>F19</f>
        <v>100</v>
      </c>
      <c r="T19" s="713" t="s">
        <v>21</v>
      </c>
      <c r="U19" s="714">
        <f>H19</f>
        <v>100</v>
      </c>
      <c r="V19" s="713" t="s">
        <v>21</v>
      </c>
      <c r="W19" s="714">
        <f>J19</f>
        <v>100</v>
      </c>
      <c r="X19" s="1507"/>
      <c r="Y19" s="3461"/>
      <c r="Z19" s="1508" t="str">
        <f>Q19</f>
        <v>公共配套设施</v>
      </c>
      <c r="AA19" s="1505">
        <f t="shared" si="3"/>
        <v>1</v>
      </c>
      <c r="AB19" s="1505">
        <f t="shared" si="4"/>
        <v>1</v>
      </c>
      <c r="AC19" s="1505">
        <f t="shared" si="5"/>
        <v>1</v>
      </c>
    </row>
    <row r="20" spans="1:29" ht="15">
      <c r="A20" s="387"/>
      <c r="B20" s="415"/>
      <c r="C20" s="406"/>
      <c r="D20" s="407"/>
      <c r="E20" s="2051"/>
      <c r="F20" s="407"/>
      <c r="G20" s="2052"/>
      <c r="H20" s="407"/>
      <c r="I20" s="2052"/>
      <c r="J20" s="407"/>
      <c r="K20" s="2053"/>
      <c r="L20" s="2918"/>
      <c r="M20" s="2912"/>
      <c r="N20" s="2912"/>
      <c r="O20" s="2912"/>
      <c r="P20" s="3459"/>
      <c r="Q20" s="1504"/>
      <c r="R20" s="713"/>
      <c r="S20" s="714"/>
      <c r="T20" s="713"/>
      <c r="U20" s="714"/>
      <c r="V20" s="713"/>
      <c r="W20" s="714"/>
      <c r="X20" s="1507"/>
      <c r="Y20" s="3461"/>
      <c r="Z20" s="1508"/>
      <c r="AA20" s="1505">
        <v>1</v>
      </c>
      <c r="AB20" s="1505">
        <v>1</v>
      </c>
      <c r="AC20" s="1505">
        <v>1</v>
      </c>
    </row>
    <row r="21" spans="1:29" ht="28.5">
      <c r="A21" s="387"/>
      <c r="B21" s="1263" t="s">
        <v>1886</v>
      </c>
      <c r="C21" s="205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59"/>
      <c r="Q21" s="1504" t="str">
        <f>B21</f>
        <v>基础设施水平</v>
      </c>
      <c r="R21" s="713" t="s">
        <v>17</v>
      </c>
      <c r="S21" s="714">
        <f>F21</f>
        <v>100</v>
      </c>
      <c r="T21" s="713" t="s">
        <v>17</v>
      </c>
      <c r="U21" s="714">
        <f>H21</f>
        <v>100</v>
      </c>
      <c r="V21" s="713" t="s">
        <v>17</v>
      </c>
      <c r="W21" s="714">
        <f>J21</f>
        <v>100</v>
      </c>
      <c r="X21" s="1507"/>
      <c r="Y21" s="3461"/>
      <c r="Z21" s="1508" t="str">
        <f>Q21</f>
        <v>基础设施水平</v>
      </c>
      <c r="AA21" s="1505">
        <f t="shared" ref="AA21" si="8">D21/F21</f>
        <v>1</v>
      </c>
      <c r="AB21" s="1505">
        <f t="shared" ref="AB21" si="9">D21/H21</f>
        <v>1</v>
      </c>
      <c r="AC21" s="1505">
        <f t="shared" ref="AC21" si="10">D21/J21</f>
        <v>1</v>
      </c>
    </row>
    <row r="22" spans="1:29" ht="15">
      <c r="A22" s="387"/>
      <c r="B22" s="1263"/>
      <c r="C22" s="2055"/>
      <c r="D22" s="407"/>
      <c r="E22" s="406"/>
      <c r="F22" s="407"/>
      <c r="G22" s="2058"/>
      <c r="H22" s="407"/>
      <c r="I22" s="406"/>
      <c r="J22" s="407"/>
      <c r="K22" s="2059"/>
      <c r="L22" s="2918"/>
      <c r="M22" s="2912"/>
      <c r="N22" s="2912"/>
      <c r="O22" s="2912"/>
      <c r="P22" s="3459"/>
      <c r="Q22" s="1504"/>
      <c r="R22" s="713"/>
      <c r="S22" s="714"/>
      <c r="T22" s="713"/>
      <c r="U22" s="714"/>
      <c r="V22" s="713"/>
      <c r="W22" s="714"/>
      <c r="X22" s="1507"/>
      <c r="Y22" s="3461"/>
      <c r="Z22" s="1508"/>
      <c r="AA22" s="1505">
        <v>1</v>
      </c>
      <c r="AB22" s="1505">
        <v>1</v>
      </c>
      <c r="AC22" s="1505">
        <v>1</v>
      </c>
    </row>
    <row r="23" spans="1:29" ht="57">
      <c r="A23" s="387"/>
      <c r="B23" s="410" t="s">
        <v>1887</v>
      </c>
      <c r="C23" s="205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59"/>
      <c r="Q23" s="1504" t="str">
        <f>B23</f>
        <v>自然及人文环境</v>
      </c>
      <c r="R23" s="713" t="s">
        <v>21</v>
      </c>
      <c r="S23" s="714">
        <f>F23</f>
        <v>100</v>
      </c>
      <c r="T23" s="713" t="s">
        <v>21</v>
      </c>
      <c r="U23" s="714">
        <f>H23</f>
        <v>100</v>
      </c>
      <c r="V23" s="713" t="s">
        <v>21</v>
      </c>
      <c r="W23" s="714">
        <f>J23</f>
        <v>100</v>
      </c>
      <c r="X23" s="1507"/>
      <c r="Y23" s="3461"/>
      <c r="Z23" s="1508" t="str">
        <f>Q23</f>
        <v>自然及人文环境</v>
      </c>
      <c r="AA23" s="1505">
        <f>D23/F23</f>
        <v>1</v>
      </c>
      <c r="AB23" s="1505">
        <f>D23/H23</f>
        <v>1</v>
      </c>
      <c r="AC23" s="1505">
        <f>D23/J23</f>
        <v>1</v>
      </c>
    </row>
    <row r="24" spans="1:29" ht="15">
      <c r="A24" s="387"/>
      <c r="B24" s="415"/>
      <c r="C24" s="406"/>
      <c r="D24" s="407"/>
      <c r="E24" s="2051"/>
      <c r="F24" s="407"/>
      <c r="G24" s="2052"/>
      <c r="H24" s="407"/>
      <c r="I24" s="2052"/>
      <c r="J24" s="407"/>
      <c r="K24" s="2053"/>
      <c r="L24" s="2918"/>
      <c r="M24" s="2912"/>
      <c r="N24" s="2912"/>
      <c r="O24" s="2912"/>
      <c r="P24" s="3459"/>
      <c r="Q24" s="1504"/>
      <c r="R24" s="713"/>
      <c r="S24" s="714"/>
      <c r="T24" s="713"/>
      <c r="U24" s="714"/>
      <c r="V24" s="713"/>
      <c r="W24" s="714"/>
      <c r="X24" s="1507"/>
      <c r="Y24" s="3461"/>
      <c r="Z24" s="1508"/>
      <c r="AA24" s="1505">
        <v>1</v>
      </c>
      <c r="AB24" s="1505">
        <v>1</v>
      </c>
      <c r="AC24" s="1505">
        <v>1</v>
      </c>
    </row>
    <row r="25" spans="1:29" ht="15">
      <c r="A25" s="387"/>
      <c r="B25" s="381" t="s">
        <v>2322</v>
      </c>
      <c r="C25" s="419"/>
      <c r="D25" s="394">
        <v>100</v>
      </c>
      <c r="E25" s="2060"/>
      <c r="F25" s="394">
        <f>SUMIF(86:86,E25,87:87)-SUMIF(86:86,C25,87:87)+100</f>
        <v>100</v>
      </c>
      <c r="G25" s="2061"/>
      <c r="H25" s="394">
        <f>SUMIF(86:86,G25,87:87)-SUMIF(86:86,C25,87:87)+100</f>
        <v>100</v>
      </c>
      <c r="I25" s="2061"/>
      <c r="J25" s="394">
        <f>SUMIF(86:86,I25,87:87)-SUMIF(86:86,C25,87:87)+100</f>
        <v>100</v>
      </c>
      <c r="K25" s="385"/>
      <c r="L25" s="2918"/>
      <c r="M25" s="2912"/>
      <c r="N25" s="2912"/>
      <c r="O25" s="2912"/>
      <c r="P25" s="3459"/>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461"/>
      <c r="Z25" s="1508" t="str">
        <f>Q25</f>
        <v>楼层-1</v>
      </c>
      <c r="AA25" s="1505">
        <f t="shared" ref="AA25:AA46" si="15">D25/F25</f>
        <v>1</v>
      </c>
      <c r="AB25" s="1505">
        <f t="shared" ref="AB25:AB46" si="16">D25/H25</f>
        <v>1</v>
      </c>
      <c r="AC25" s="1505">
        <f t="shared" ref="AC25:AC46" si="17">D25/J25</f>
        <v>1</v>
      </c>
    </row>
    <row r="26" spans="1:29" ht="15">
      <c r="A26" s="387"/>
      <c r="B26" s="381" t="s">
        <v>2323</v>
      </c>
      <c r="C26" s="419"/>
      <c r="D26" s="394">
        <v>100</v>
      </c>
      <c r="E26" s="2060"/>
      <c r="F26" s="394">
        <f>SUMIF(88:88,E26,89:89)-SUMIF(88:88,C26,89:89)+100</f>
        <v>100</v>
      </c>
      <c r="G26" s="2061"/>
      <c r="H26" s="394">
        <f>SUMIF(88:88,G26,89:89)-SUMIF(88:88,C26,89:89)+100</f>
        <v>100</v>
      </c>
      <c r="I26" s="2061"/>
      <c r="J26" s="394">
        <f>SUMIF(88:88,I26,89:89)-SUMIF(88:88,C26,89:89)+100</f>
        <v>100</v>
      </c>
      <c r="K26" s="385"/>
      <c r="L26" s="2918"/>
      <c r="M26" s="2912"/>
      <c r="N26" s="2912"/>
      <c r="O26" s="2912"/>
      <c r="P26" s="3459"/>
      <c r="Q26" s="1504" t="str">
        <f t="shared" si="11"/>
        <v>朝向</v>
      </c>
      <c r="R26" s="713" t="s">
        <v>21</v>
      </c>
      <c r="S26" s="714">
        <f t="shared" si="12"/>
        <v>100</v>
      </c>
      <c r="T26" s="713" t="s">
        <v>21</v>
      </c>
      <c r="U26" s="714">
        <f t="shared" si="13"/>
        <v>100</v>
      </c>
      <c r="V26" s="713" t="s">
        <v>21</v>
      </c>
      <c r="W26" s="714">
        <f t="shared" si="14"/>
        <v>100</v>
      </c>
      <c r="X26" s="1507"/>
      <c r="Y26" s="3461"/>
      <c r="Z26" s="1508" t="str">
        <f>Q26</f>
        <v>朝向</v>
      </c>
      <c r="AA26" s="1505">
        <f t="shared" si="15"/>
        <v>1</v>
      </c>
      <c r="AB26" s="1505">
        <f t="shared" si="16"/>
        <v>1</v>
      </c>
      <c r="AC26" s="1505">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8"/>
      <c r="L27" s="2913"/>
      <c r="M27" s="2914"/>
      <c r="N27" s="2914"/>
      <c r="O27" s="2914"/>
      <c r="P27" s="3459"/>
      <c r="Q27" s="1495">
        <f t="shared" si="11"/>
        <v>111</v>
      </c>
      <c r="R27" s="709" t="s">
        <v>21</v>
      </c>
      <c r="S27" s="710">
        <f t="shared" si="12"/>
        <v>100</v>
      </c>
      <c r="T27" s="709" t="s">
        <v>21</v>
      </c>
      <c r="U27" s="710">
        <f t="shared" si="13"/>
        <v>100</v>
      </c>
      <c r="V27" s="709" t="s">
        <v>21</v>
      </c>
      <c r="W27" s="710">
        <f t="shared" si="14"/>
        <v>100</v>
      </c>
      <c r="X27" s="711"/>
      <c r="Y27" s="3461"/>
      <c r="Z27" s="55">
        <f>Q27</f>
        <v>111</v>
      </c>
      <c r="AA27" s="1505">
        <f t="shared" si="15"/>
        <v>1</v>
      </c>
      <c r="AB27" s="1505">
        <f t="shared" si="16"/>
        <v>1</v>
      </c>
      <c r="AC27" s="1505">
        <f t="shared" si="17"/>
        <v>1</v>
      </c>
    </row>
    <row r="28" spans="1:29" ht="15">
      <c r="A28" s="387"/>
      <c r="B28" s="1265">
        <v>111</v>
      </c>
      <c r="C28" s="393"/>
      <c r="D28" s="394">
        <v>100</v>
      </c>
      <c r="E28" s="393"/>
      <c r="F28" s="394">
        <f>SUMIF(92:92,E28,93:93)-SUMIF(92:92,C28,93:93)+100</f>
        <v>100</v>
      </c>
      <c r="G28" s="2062"/>
      <c r="H28" s="394">
        <f>SUMIF(92:92,G28,93:93)-SUMIF(92:92,C28,93:93)+100</f>
        <v>100</v>
      </c>
      <c r="I28" s="393"/>
      <c r="J28" s="394">
        <f>SUMIF(92:92,I28,93:93)-SUMIF(92:92,C28,93:93)+100</f>
        <v>100</v>
      </c>
      <c r="K28" s="2048"/>
      <c r="L28" s="2918"/>
      <c r="M28" s="2912"/>
      <c r="N28" s="2912"/>
      <c r="O28" s="2912"/>
      <c r="P28" s="3459"/>
      <c r="Q28" s="1504">
        <f t="shared" si="11"/>
        <v>111</v>
      </c>
      <c r="R28" s="713" t="s">
        <v>21</v>
      </c>
      <c r="S28" s="714">
        <f t="shared" si="12"/>
        <v>100</v>
      </c>
      <c r="T28" s="713" t="s">
        <v>21</v>
      </c>
      <c r="U28" s="714">
        <f t="shared" si="13"/>
        <v>100</v>
      </c>
      <c r="V28" s="713" t="s">
        <v>21</v>
      </c>
      <c r="W28" s="714">
        <f t="shared" si="14"/>
        <v>100</v>
      </c>
      <c r="X28" s="1507"/>
      <c r="Y28" s="3461"/>
      <c r="Z28" s="1508">
        <f t="shared" ref="Z28:Z46" si="18">Q28</f>
        <v>111</v>
      </c>
      <c r="AA28" s="1505">
        <f t="shared" si="15"/>
        <v>1</v>
      </c>
      <c r="AB28" s="1505">
        <f t="shared" si="16"/>
        <v>1</v>
      </c>
      <c r="AC28" s="1505">
        <f t="shared" si="17"/>
        <v>1</v>
      </c>
    </row>
    <row r="29" spans="1:29" ht="15">
      <c r="A29" s="387"/>
      <c r="B29" s="1265">
        <v>111</v>
      </c>
      <c r="C29" s="393"/>
      <c r="D29" s="394">
        <v>100</v>
      </c>
      <c r="E29" s="393"/>
      <c r="F29" s="394">
        <f>SUMIF(94:94,E29,95:95)-SUMIF(94:94,C29,95:95)+100</f>
        <v>100</v>
      </c>
      <c r="G29" s="2062"/>
      <c r="H29" s="394">
        <f>SUMIF(94:94,G29,95:95)-SUMIF(94:94,C29,95:95)+100</f>
        <v>100</v>
      </c>
      <c r="I29" s="393"/>
      <c r="J29" s="394">
        <f>SUMIF(94:94,I29,95:95)-SUMIF(94:94,C29,95:95)+100</f>
        <v>100</v>
      </c>
      <c r="K29" s="2048"/>
      <c r="L29" s="2918"/>
      <c r="M29" s="2912"/>
      <c r="N29" s="2912"/>
      <c r="O29" s="2912"/>
      <c r="P29" s="3459"/>
      <c r="Q29" s="1504">
        <f t="shared" si="11"/>
        <v>111</v>
      </c>
      <c r="R29" s="713" t="s">
        <v>21</v>
      </c>
      <c r="S29" s="714">
        <f t="shared" si="12"/>
        <v>100</v>
      </c>
      <c r="T29" s="713" t="s">
        <v>21</v>
      </c>
      <c r="U29" s="714">
        <f t="shared" si="13"/>
        <v>100</v>
      </c>
      <c r="V29" s="713" t="s">
        <v>21</v>
      </c>
      <c r="W29" s="714">
        <f t="shared" si="14"/>
        <v>100</v>
      </c>
      <c r="X29" s="1507"/>
      <c r="Y29" s="3461"/>
      <c r="Z29" s="1508">
        <f t="shared" si="18"/>
        <v>111</v>
      </c>
      <c r="AA29" s="1505">
        <f t="shared" si="15"/>
        <v>1</v>
      </c>
      <c r="AB29" s="1505">
        <f t="shared" si="16"/>
        <v>1</v>
      </c>
      <c r="AC29" s="1505">
        <f t="shared" si="17"/>
        <v>1</v>
      </c>
    </row>
    <row r="30" spans="1:29" ht="15">
      <c r="A30" s="387"/>
      <c r="B30" s="1265">
        <v>111</v>
      </c>
      <c r="C30" s="393"/>
      <c r="D30" s="394">
        <v>100</v>
      </c>
      <c r="E30" s="393"/>
      <c r="F30" s="394">
        <f>SUMIF(96:96,E30,97:97)-SUMIF(96:96,C30,97:97)+100</f>
        <v>100</v>
      </c>
      <c r="G30" s="2062"/>
      <c r="H30" s="394">
        <f>SUMIF(96:96,G30,97:97)-SUMIF(96:96,C30,97:97)+100</f>
        <v>100</v>
      </c>
      <c r="I30" s="393"/>
      <c r="J30" s="394">
        <f>SUMIF(96:96,I30,97:97)-SUMIF(96:96,C30,97:97)+100</f>
        <v>100</v>
      </c>
      <c r="K30" s="2048"/>
      <c r="L30" s="2918"/>
      <c r="M30" s="2912"/>
      <c r="N30" s="2912"/>
      <c r="O30" s="2912"/>
      <c r="P30" s="3459"/>
      <c r="Q30" s="1504">
        <f t="shared" si="11"/>
        <v>111</v>
      </c>
      <c r="R30" s="713" t="s">
        <v>21</v>
      </c>
      <c r="S30" s="714">
        <f t="shared" si="12"/>
        <v>100</v>
      </c>
      <c r="T30" s="713" t="s">
        <v>21</v>
      </c>
      <c r="U30" s="714">
        <f t="shared" si="13"/>
        <v>100</v>
      </c>
      <c r="V30" s="713" t="s">
        <v>21</v>
      </c>
      <c r="W30" s="714">
        <f t="shared" si="14"/>
        <v>100</v>
      </c>
      <c r="X30" s="1507"/>
      <c r="Y30" s="3461"/>
      <c r="Z30" s="1508">
        <f t="shared" si="18"/>
        <v>111</v>
      </c>
      <c r="AA30" s="1505">
        <f t="shared" si="15"/>
        <v>1</v>
      </c>
      <c r="AB30" s="1505">
        <f t="shared" si="16"/>
        <v>1</v>
      </c>
      <c r="AC30" s="1505">
        <f t="shared" si="17"/>
        <v>1</v>
      </c>
    </row>
    <row r="31" spans="1:29" ht="15.75" thickBot="1">
      <c r="A31" s="395"/>
      <c r="B31" s="1265">
        <v>111</v>
      </c>
      <c r="C31" s="396"/>
      <c r="D31" s="397">
        <v>100</v>
      </c>
      <c r="E31" s="396"/>
      <c r="F31" s="397">
        <f>SUMIF(98:98,E31,99:99)-SUMIF(98:98,C31,99:99)+100</f>
        <v>100</v>
      </c>
      <c r="G31" s="2063"/>
      <c r="H31" s="397">
        <f>SUMIF(98:98,G31,99:99)-SUMIF(98:98,C31,99:99)+100</f>
        <v>100</v>
      </c>
      <c r="I31" s="396"/>
      <c r="J31" s="397">
        <f>SUMIF(98:98,I31,99:99)-SUMIF(98:98,C31,99:99)+100</f>
        <v>100</v>
      </c>
      <c r="K31" s="2048"/>
      <c r="L31" s="2918"/>
      <c r="M31" s="2912"/>
      <c r="N31" s="2912"/>
      <c r="O31" s="2912"/>
      <c r="P31" s="3459"/>
      <c r="Q31" s="1504">
        <f t="shared" si="11"/>
        <v>111</v>
      </c>
      <c r="R31" s="713" t="s">
        <v>21</v>
      </c>
      <c r="S31" s="714">
        <f t="shared" si="12"/>
        <v>100</v>
      </c>
      <c r="T31" s="713" t="s">
        <v>21</v>
      </c>
      <c r="U31" s="714">
        <f t="shared" si="13"/>
        <v>100</v>
      </c>
      <c r="V31" s="713" t="s">
        <v>21</v>
      </c>
      <c r="W31" s="714">
        <f t="shared" si="14"/>
        <v>100</v>
      </c>
      <c r="X31" s="1507"/>
      <c r="Y31" s="3461"/>
      <c r="Z31" s="1508">
        <f t="shared" si="18"/>
        <v>111</v>
      </c>
      <c r="AA31" s="1505">
        <f t="shared" si="15"/>
        <v>1</v>
      </c>
      <c r="AB31" s="1505">
        <f t="shared" si="16"/>
        <v>1</v>
      </c>
      <c r="AC31" s="1505">
        <f t="shared" si="17"/>
        <v>1</v>
      </c>
    </row>
    <row r="32" spans="1:29" ht="15">
      <c r="A32" s="399" t="s">
        <v>2324</v>
      </c>
      <c r="B32" s="67" t="s">
        <v>2325</v>
      </c>
      <c r="C32" s="2064"/>
      <c r="D32" s="426">
        <v>100</v>
      </c>
      <c r="E32" s="2065"/>
      <c r="F32" s="420">
        <f>SUMIF(100:100,E32,101:101)-SUMIF(100:100,C32,101:101)+100</f>
        <v>100</v>
      </c>
      <c r="G32" s="2064"/>
      <c r="H32" s="426">
        <f>SUMIF(100:100,G32,101:101)-SUMIF(100:100,C32,101:101)+100</f>
        <v>100</v>
      </c>
      <c r="I32" s="2065"/>
      <c r="J32" s="394">
        <f>SUMIF(100:100,I32,101:101)-SUMIF(100:100,C32,101:101)+100</f>
        <v>100</v>
      </c>
      <c r="K32" s="385"/>
      <c r="L32" s="2918"/>
      <c r="M32" s="2912"/>
      <c r="N32" s="2912"/>
      <c r="O32" s="2912"/>
      <c r="P32" s="3462" t="s">
        <v>2326</v>
      </c>
      <c r="Q32" s="1504" t="str">
        <f t="shared" si="11"/>
        <v>建筑类型</v>
      </c>
      <c r="R32" s="713" t="s">
        <v>21</v>
      </c>
      <c r="S32" s="714">
        <f t="shared" si="12"/>
        <v>100</v>
      </c>
      <c r="T32" s="713" t="s">
        <v>21</v>
      </c>
      <c r="U32" s="714">
        <f t="shared" si="13"/>
        <v>100</v>
      </c>
      <c r="V32" s="713" t="s">
        <v>21</v>
      </c>
      <c r="W32" s="714">
        <f t="shared" si="14"/>
        <v>100</v>
      </c>
      <c r="X32" s="1507"/>
      <c r="Y32" s="3465" t="s">
        <v>2326</v>
      </c>
      <c r="Z32" s="1508" t="str">
        <f t="shared" si="18"/>
        <v>建筑类型</v>
      </c>
      <c r="AA32" s="1505">
        <f t="shared" si="15"/>
        <v>1</v>
      </c>
      <c r="AB32" s="1505">
        <f t="shared" si="16"/>
        <v>1</v>
      </c>
      <c r="AC32" s="1505">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8"/>
      <c r="L33" s="2917"/>
      <c r="M33" s="2919"/>
      <c r="N33" s="2919"/>
      <c r="O33" s="2919"/>
      <c r="P33" s="3463"/>
      <c r="Q33" s="715" t="str">
        <f t="shared" si="11"/>
        <v>项目建筑规模</v>
      </c>
      <c r="R33" s="716" t="s">
        <v>21</v>
      </c>
      <c r="S33" s="717" t="e">
        <f t="shared" si="12"/>
        <v>#N/A</v>
      </c>
      <c r="T33" s="716" t="s">
        <v>21</v>
      </c>
      <c r="U33" s="717" t="e">
        <f t="shared" si="13"/>
        <v>#N/A</v>
      </c>
      <c r="V33" s="716" t="s">
        <v>21</v>
      </c>
      <c r="W33" s="717" t="e">
        <f t="shared" si="14"/>
        <v>#N/A</v>
      </c>
      <c r="X33" s="718"/>
      <c r="Y33" s="3465"/>
      <c r="Z33" s="719" t="str">
        <f t="shared" si="18"/>
        <v>项目建筑规模</v>
      </c>
      <c r="AA33" s="1505" t="e">
        <f t="shared" si="15"/>
        <v>#N/A</v>
      </c>
      <c r="AB33" s="1505" t="e">
        <f t="shared" si="16"/>
        <v>#N/A</v>
      </c>
      <c r="AC33" s="1505" t="e">
        <f t="shared" si="17"/>
        <v>#N/A</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8"/>
      <c r="M34" s="2912"/>
      <c r="N34" s="2912"/>
      <c r="O34" s="2912"/>
      <c r="P34" s="3463"/>
      <c r="Q34" s="1504" t="str">
        <f t="shared" si="11"/>
        <v>建筑结构</v>
      </c>
      <c r="R34" s="713" t="s">
        <v>21</v>
      </c>
      <c r="S34" s="714">
        <f t="shared" si="12"/>
        <v>100</v>
      </c>
      <c r="T34" s="713" t="s">
        <v>21</v>
      </c>
      <c r="U34" s="714">
        <f t="shared" si="13"/>
        <v>100</v>
      </c>
      <c r="V34" s="713" t="s">
        <v>21</v>
      </c>
      <c r="W34" s="714">
        <f t="shared" si="14"/>
        <v>100</v>
      </c>
      <c r="X34" s="1507"/>
      <c r="Y34" s="3465"/>
      <c r="Z34" s="1508" t="str">
        <f t="shared" si="18"/>
        <v>建筑结构</v>
      </c>
      <c r="AA34" s="1505">
        <f t="shared" si="15"/>
        <v>1</v>
      </c>
      <c r="AB34" s="1505">
        <f t="shared" si="16"/>
        <v>1</v>
      </c>
      <c r="AC34" s="1505">
        <f t="shared" si="17"/>
        <v>1</v>
      </c>
    </row>
    <row r="35" spans="1:29" ht="15">
      <c r="A35" s="431"/>
      <c r="B35" s="381" t="s">
        <v>2329</v>
      </c>
      <c r="C35" s="2060"/>
      <c r="D35" s="394">
        <v>100</v>
      </c>
      <c r="E35" s="2061"/>
      <c r="F35" s="420">
        <f>SUMIF(107:107,E35,108:108)-SUMIF(107:107,C35,108:108)+100</f>
        <v>100</v>
      </c>
      <c r="G35" s="2060"/>
      <c r="H35" s="394">
        <f>SUMIF(107:107,G35,108:108)-SUMIF(107:107,C35,108:108)+100</f>
        <v>100</v>
      </c>
      <c r="I35" s="2061"/>
      <c r="J35" s="394">
        <f>SUMIF(107:107,I35,108:108)-SUMIF(107:107,C35,108:108)+100</f>
        <v>100</v>
      </c>
      <c r="K35" s="385"/>
      <c r="L35" s="2918"/>
      <c r="M35" s="2912"/>
      <c r="N35" s="2912"/>
      <c r="O35" s="2912"/>
      <c r="P35" s="3463"/>
      <c r="Q35" s="1504" t="str">
        <f t="shared" si="11"/>
        <v>建筑品质</v>
      </c>
      <c r="R35" s="713" t="s">
        <v>21</v>
      </c>
      <c r="S35" s="714">
        <f t="shared" si="12"/>
        <v>100</v>
      </c>
      <c r="T35" s="713" t="s">
        <v>21</v>
      </c>
      <c r="U35" s="714">
        <f t="shared" si="13"/>
        <v>100</v>
      </c>
      <c r="V35" s="713" t="s">
        <v>21</v>
      </c>
      <c r="W35" s="714">
        <f t="shared" si="14"/>
        <v>100</v>
      </c>
      <c r="X35" s="1507"/>
      <c r="Y35" s="3465"/>
      <c r="Z35" s="1508" t="str">
        <f t="shared" si="18"/>
        <v>建筑品质</v>
      </c>
      <c r="AA35" s="1505">
        <f t="shared" si="15"/>
        <v>1</v>
      </c>
      <c r="AB35" s="1505">
        <f t="shared" si="16"/>
        <v>1</v>
      </c>
      <c r="AC35" s="1505">
        <f t="shared" si="17"/>
        <v>1</v>
      </c>
    </row>
    <row r="36" spans="1:29" ht="15">
      <c r="A36" s="431"/>
      <c r="B36" s="381" t="s">
        <v>2330</v>
      </c>
      <c r="C36" s="2060"/>
      <c r="D36" s="394">
        <v>100</v>
      </c>
      <c r="E36" s="2061"/>
      <c r="F36" s="420">
        <f>SUMIF(109:109,E36,110:110)-SUMIF(109:109,C36,110:110)+100</f>
        <v>100</v>
      </c>
      <c r="G36" s="2060"/>
      <c r="H36" s="394">
        <f>SUMIF(109:109,G36,110:110)-SUMIF(109:109,C36,110:110)+100</f>
        <v>100</v>
      </c>
      <c r="I36" s="2061"/>
      <c r="J36" s="394">
        <f>SUMIF(109:109,I36,110:110)-SUMIF(109:109,C36,110:110)+100</f>
        <v>100</v>
      </c>
      <c r="K36" s="385"/>
      <c r="L36" s="2918"/>
      <c r="M36" s="2912"/>
      <c r="N36" s="2912"/>
      <c r="O36" s="2912"/>
      <c r="P36" s="3463"/>
      <c r="Q36" s="1504" t="str">
        <f t="shared" si="11"/>
        <v>公共部分装修</v>
      </c>
      <c r="R36" s="713" t="s">
        <v>21</v>
      </c>
      <c r="S36" s="714">
        <f t="shared" si="12"/>
        <v>100</v>
      </c>
      <c r="T36" s="713" t="s">
        <v>21</v>
      </c>
      <c r="U36" s="714">
        <f t="shared" si="13"/>
        <v>100</v>
      </c>
      <c r="V36" s="713" t="s">
        <v>21</v>
      </c>
      <c r="W36" s="714">
        <f t="shared" si="14"/>
        <v>100</v>
      </c>
      <c r="X36" s="1507"/>
      <c r="Y36" s="3465"/>
      <c r="Z36" s="1508" t="str">
        <f t="shared" si="18"/>
        <v>公共部分装修</v>
      </c>
      <c r="AA36" s="1505">
        <f t="shared" si="15"/>
        <v>1</v>
      </c>
      <c r="AB36" s="1505">
        <f t="shared" si="16"/>
        <v>1</v>
      </c>
      <c r="AC36" s="1505">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463"/>
      <c r="Q37" s="1495" t="str">
        <f t="shared" si="11"/>
        <v>成新度</v>
      </c>
      <c r="R37" s="709" t="s">
        <v>21</v>
      </c>
      <c r="S37" s="710" t="e">
        <f t="shared" si="12"/>
        <v>#N/A</v>
      </c>
      <c r="T37" s="709" t="s">
        <v>21</v>
      </c>
      <c r="U37" s="710" t="e">
        <f t="shared" si="13"/>
        <v>#N/A</v>
      </c>
      <c r="V37" s="709" t="s">
        <v>21</v>
      </c>
      <c r="W37" s="710" t="e">
        <f t="shared" si="14"/>
        <v>#N/A</v>
      </c>
      <c r="X37" s="711"/>
      <c r="Y37" s="3465"/>
      <c r="Z37" s="55" t="str">
        <f t="shared" si="18"/>
        <v>成新度</v>
      </c>
      <c r="AA37" s="712" t="e">
        <f t="shared" si="15"/>
        <v>#N/A</v>
      </c>
      <c r="AB37" s="712" t="e">
        <f t="shared" si="16"/>
        <v>#N/A</v>
      </c>
      <c r="AC37" s="712" t="e">
        <f t="shared" si="17"/>
        <v>#N/A</v>
      </c>
    </row>
    <row r="38" spans="1:29" ht="15">
      <c r="A38" s="431"/>
      <c r="B38" s="381" t="s">
        <v>2332</v>
      </c>
      <c r="C38" s="2060"/>
      <c r="D38" s="394">
        <v>100</v>
      </c>
      <c r="E38" s="2061"/>
      <c r="F38" s="420">
        <f>SUMIF(114:114,E38,115:115)-SUMIF(114:114,C38,115:115)+100</f>
        <v>100</v>
      </c>
      <c r="G38" s="2060"/>
      <c r="H38" s="394">
        <f>SUMIF(114:114,G38,115:115)-SUMIF(114:114,C38,115:115)+100</f>
        <v>100</v>
      </c>
      <c r="I38" s="2061"/>
      <c r="J38" s="394">
        <f>SUMIF(114:114,I38,115:115)-SUMIF(114:114,C38,115:115)+100</f>
        <v>100</v>
      </c>
      <c r="K38" s="385"/>
      <c r="L38" s="2918"/>
      <c r="M38" s="2912"/>
      <c r="N38" s="2912"/>
      <c r="O38" s="2912"/>
      <c r="P38" s="3463" t="s">
        <v>2326</v>
      </c>
      <c r="Q38" s="1504" t="str">
        <f t="shared" si="11"/>
        <v>物业管理</v>
      </c>
      <c r="R38" s="713" t="s">
        <v>21</v>
      </c>
      <c r="S38" s="714">
        <f t="shared" si="12"/>
        <v>100</v>
      </c>
      <c r="T38" s="713" t="s">
        <v>21</v>
      </c>
      <c r="U38" s="714">
        <f t="shared" si="13"/>
        <v>100</v>
      </c>
      <c r="V38" s="713" t="s">
        <v>21</v>
      </c>
      <c r="W38" s="714">
        <f t="shared" si="14"/>
        <v>100</v>
      </c>
      <c r="X38" s="1507"/>
      <c r="Y38" s="3465" t="s">
        <v>2326</v>
      </c>
      <c r="Z38" s="1508" t="str">
        <f t="shared" si="18"/>
        <v>物业管理</v>
      </c>
      <c r="AA38" s="1505">
        <f t="shared" si="15"/>
        <v>1</v>
      </c>
      <c r="AB38" s="1505">
        <f t="shared" si="16"/>
        <v>1</v>
      </c>
      <c r="AC38" s="1505">
        <f t="shared" si="17"/>
        <v>1</v>
      </c>
    </row>
    <row r="39" spans="1:29" ht="15">
      <c r="A39" s="431"/>
      <c r="B39" s="381" t="s">
        <v>2333</v>
      </c>
      <c r="C39" s="2060"/>
      <c r="D39" s="394">
        <v>100</v>
      </c>
      <c r="E39" s="2061"/>
      <c r="F39" s="420">
        <f>SUMIF(116:116,E39,117:117)-SUMIF(116:116,C39,117:117)+100</f>
        <v>100</v>
      </c>
      <c r="G39" s="2060"/>
      <c r="H39" s="394">
        <f>SUMIF(116:116,G39,117:117)-SUMIF(116:116,C39,117:117)+100</f>
        <v>100</v>
      </c>
      <c r="I39" s="2061"/>
      <c r="J39" s="394">
        <f>SUMIF(116:116,I39,117:117)-SUMIF(116:116,C39,117:117)+100</f>
        <v>100</v>
      </c>
      <c r="K39" s="385"/>
      <c r="L39" s="2918"/>
      <c r="M39" s="2912"/>
      <c r="N39" s="2912"/>
      <c r="O39" s="2912"/>
      <c r="P39" s="3463"/>
      <c r="Q39" s="1504" t="str">
        <f t="shared" si="11"/>
        <v>市政基础设施</v>
      </c>
      <c r="R39" s="713" t="s">
        <v>21</v>
      </c>
      <c r="S39" s="714">
        <f t="shared" si="12"/>
        <v>100</v>
      </c>
      <c r="T39" s="713" t="s">
        <v>21</v>
      </c>
      <c r="U39" s="714">
        <f t="shared" si="13"/>
        <v>100</v>
      </c>
      <c r="V39" s="713" t="s">
        <v>21</v>
      </c>
      <c r="W39" s="714">
        <f t="shared" si="14"/>
        <v>100</v>
      </c>
      <c r="X39" s="1507"/>
      <c r="Y39" s="3465"/>
      <c r="Z39" s="1508" t="str">
        <f t="shared" si="18"/>
        <v>市政基础设施</v>
      </c>
      <c r="AA39" s="1505">
        <f t="shared" si="15"/>
        <v>1</v>
      </c>
      <c r="AB39" s="1505">
        <f t="shared" si="16"/>
        <v>1</v>
      </c>
      <c r="AC39" s="1505">
        <f t="shared" si="17"/>
        <v>1</v>
      </c>
    </row>
    <row r="40" spans="1:29" ht="15">
      <c r="A40" s="431"/>
      <c r="B40" s="381" t="s">
        <v>2334</v>
      </c>
      <c r="C40" s="2060"/>
      <c r="D40" s="394">
        <v>100</v>
      </c>
      <c r="E40" s="2061"/>
      <c r="F40" s="420">
        <f>SUMIF(118:118,E40,119:119)-SUMIF(118:118,C40,119:119)+100</f>
        <v>100</v>
      </c>
      <c r="G40" s="2060"/>
      <c r="H40" s="394">
        <f>SUMIF(118:118,G40,119:119)-SUMIF(118:118,C40,119:119)+100</f>
        <v>100</v>
      </c>
      <c r="I40" s="2061"/>
      <c r="J40" s="394">
        <f>SUMIF(118:118,I40,119:119)-SUMIF(118:118,C40,119:119)+100</f>
        <v>100</v>
      </c>
      <c r="K40" s="385"/>
      <c r="L40" s="2918"/>
      <c r="M40" s="2912"/>
      <c r="N40" s="2912"/>
      <c r="O40" s="2912"/>
      <c r="P40" s="3463"/>
      <c r="Q40" s="1504" t="str">
        <f t="shared" si="11"/>
        <v>房型</v>
      </c>
      <c r="R40" s="713" t="s">
        <v>21</v>
      </c>
      <c r="S40" s="714">
        <f t="shared" si="12"/>
        <v>100</v>
      </c>
      <c r="T40" s="713" t="s">
        <v>21</v>
      </c>
      <c r="U40" s="714">
        <f t="shared" si="13"/>
        <v>100</v>
      </c>
      <c r="V40" s="713" t="s">
        <v>21</v>
      </c>
      <c r="W40" s="714">
        <f t="shared" si="14"/>
        <v>100</v>
      </c>
      <c r="X40" s="1507"/>
      <c r="Y40" s="3465"/>
      <c r="Z40" s="1508" t="str">
        <f t="shared" si="18"/>
        <v>房型</v>
      </c>
      <c r="AA40" s="1505">
        <f t="shared" si="15"/>
        <v>1</v>
      </c>
      <c r="AB40" s="1505">
        <f t="shared" si="16"/>
        <v>1</v>
      </c>
      <c r="AC40" s="1505">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8"/>
      <c r="L41" s="2917"/>
      <c r="M41" s="2919"/>
      <c r="N41" s="2919"/>
      <c r="O41" s="2919"/>
      <c r="P41" s="3463"/>
      <c r="Q41" s="715" t="str">
        <f t="shared" si="11"/>
        <v>单套/主力户型建筑面积</v>
      </c>
      <c r="R41" s="716" t="s">
        <v>21</v>
      </c>
      <c r="S41" s="717">
        <f t="shared" si="12"/>
        <v>100</v>
      </c>
      <c r="T41" s="716" t="s">
        <v>21</v>
      </c>
      <c r="U41" s="717">
        <f t="shared" si="13"/>
        <v>100</v>
      </c>
      <c r="V41" s="716" t="s">
        <v>21</v>
      </c>
      <c r="W41" s="717">
        <f t="shared" si="14"/>
        <v>100</v>
      </c>
      <c r="X41" s="718"/>
      <c r="Y41" s="3465"/>
      <c r="Z41" s="719" t="str">
        <f t="shared" si="18"/>
        <v>单套/主力户型建筑面积</v>
      </c>
      <c r="AA41" s="1505">
        <f t="shared" si="15"/>
        <v>1</v>
      </c>
      <c r="AB41" s="1505">
        <f t="shared" si="16"/>
        <v>1</v>
      </c>
      <c r="AC41" s="1505">
        <f t="shared" si="17"/>
        <v>1</v>
      </c>
    </row>
    <row r="42" spans="1:29" ht="15">
      <c r="A42" s="431"/>
      <c r="B42" s="381" t="s">
        <v>2336</v>
      </c>
      <c r="C42" s="2060"/>
      <c r="D42" s="394">
        <v>100</v>
      </c>
      <c r="E42" s="2061"/>
      <c r="F42" s="420">
        <f>SUMIF(122:122,E42,123:123)-SUMIF(122:122,C42,123:123)+100</f>
        <v>100</v>
      </c>
      <c r="G42" s="2060"/>
      <c r="H42" s="394">
        <f>SUMIF(122:122,G42,123:123)-SUMIF(122:122,C42,123:123)+100</f>
        <v>100</v>
      </c>
      <c r="I42" s="2061"/>
      <c r="J42" s="394">
        <f>SUMIF(122:122,I42,123:123)-SUMIF(122:122,C42,123:123)+100</f>
        <v>100</v>
      </c>
      <c r="K42" s="385"/>
      <c r="L42" s="2918"/>
      <c r="M42" s="2912"/>
      <c r="N42" s="2912"/>
      <c r="O42" s="2912"/>
      <c r="P42" s="3463"/>
      <c r="Q42" s="1504" t="str">
        <f t="shared" si="11"/>
        <v>内部装修</v>
      </c>
      <c r="R42" s="713" t="s">
        <v>21</v>
      </c>
      <c r="S42" s="714">
        <f t="shared" si="12"/>
        <v>100</v>
      </c>
      <c r="T42" s="713" t="s">
        <v>21</v>
      </c>
      <c r="U42" s="714">
        <f t="shared" si="13"/>
        <v>100</v>
      </c>
      <c r="V42" s="713" t="s">
        <v>21</v>
      </c>
      <c r="W42" s="714">
        <f t="shared" si="14"/>
        <v>100</v>
      </c>
      <c r="X42" s="1507"/>
      <c r="Y42" s="3465"/>
      <c r="Z42" s="1508" t="str">
        <f t="shared" si="18"/>
        <v>内部装修</v>
      </c>
      <c r="AA42" s="1505">
        <f t="shared" si="15"/>
        <v>1</v>
      </c>
      <c r="AB42" s="1505">
        <f t="shared" si="16"/>
        <v>1</v>
      </c>
      <c r="AC42" s="1505">
        <f t="shared" si="17"/>
        <v>1</v>
      </c>
    </row>
    <row r="43" spans="1:29" ht="15">
      <c r="A43" s="431"/>
      <c r="B43" s="381" t="s">
        <v>2337</v>
      </c>
      <c r="C43" s="2060"/>
      <c r="D43" s="394">
        <v>100</v>
      </c>
      <c r="E43" s="2061"/>
      <c r="F43" s="420">
        <f>SUMIF(124:124,E43,125:125)-SUMIF(124:124,C43,125:125)+100</f>
        <v>100</v>
      </c>
      <c r="G43" s="2060"/>
      <c r="H43" s="394">
        <f>SUMIF(124:124,G43,125:125)-SUMIF(124:124,C43,125:125)+100</f>
        <v>100</v>
      </c>
      <c r="I43" s="2061"/>
      <c r="J43" s="394">
        <f>SUMIF(124:124,I43,125:125)-SUMIF(124:124,C43,125:125)+100</f>
        <v>100</v>
      </c>
      <c r="K43" s="385"/>
      <c r="L43" s="2918"/>
      <c r="M43" s="2912"/>
      <c r="N43" s="2912"/>
      <c r="O43" s="2912"/>
      <c r="P43" s="3463"/>
      <c r="Q43" s="1504" t="str">
        <f t="shared" si="11"/>
        <v>内部装修维护情况</v>
      </c>
      <c r="R43" s="713" t="s">
        <v>21</v>
      </c>
      <c r="S43" s="714">
        <f t="shared" si="12"/>
        <v>100</v>
      </c>
      <c r="T43" s="713" t="s">
        <v>21</v>
      </c>
      <c r="U43" s="714">
        <f t="shared" si="13"/>
        <v>100</v>
      </c>
      <c r="V43" s="713" t="s">
        <v>21</v>
      </c>
      <c r="W43" s="714">
        <f t="shared" si="14"/>
        <v>100</v>
      </c>
      <c r="X43" s="1507"/>
      <c r="Y43" s="3465"/>
      <c r="Z43" s="1508" t="str">
        <f t="shared" si="18"/>
        <v>内部装修维护情况</v>
      </c>
      <c r="AA43" s="1505">
        <f t="shared" si="15"/>
        <v>1</v>
      </c>
      <c r="AB43" s="1505">
        <f t="shared" si="16"/>
        <v>1</v>
      </c>
      <c r="AC43" s="1505">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8"/>
      <c r="L44" s="2913"/>
      <c r="M44" s="2914"/>
      <c r="N44" s="2914"/>
      <c r="O44" s="2914"/>
      <c r="P44" s="3463"/>
      <c r="Q44" s="1495">
        <f t="shared" si="11"/>
        <v>111</v>
      </c>
      <c r="R44" s="709" t="s">
        <v>21</v>
      </c>
      <c r="S44" s="710">
        <f t="shared" si="12"/>
        <v>100</v>
      </c>
      <c r="T44" s="709" t="s">
        <v>21</v>
      </c>
      <c r="U44" s="710">
        <f t="shared" si="13"/>
        <v>100</v>
      </c>
      <c r="V44" s="709" t="s">
        <v>21</v>
      </c>
      <c r="W44" s="710">
        <f t="shared" si="14"/>
        <v>100</v>
      </c>
      <c r="X44" s="711"/>
      <c r="Y44" s="3465"/>
      <c r="Z44" s="55">
        <f t="shared" si="18"/>
        <v>111</v>
      </c>
      <c r="AA44" s="712">
        <f t="shared" si="15"/>
        <v>1</v>
      </c>
      <c r="AB44" s="712">
        <f t="shared" si="16"/>
        <v>1</v>
      </c>
      <c r="AC44" s="712">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8"/>
      <c r="L45" s="2918"/>
      <c r="M45" s="2912"/>
      <c r="N45" s="2912"/>
      <c r="O45" s="2912"/>
      <c r="P45" s="3463"/>
      <c r="Q45" s="1504">
        <f t="shared" si="11"/>
        <v>111</v>
      </c>
      <c r="R45" s="713" t="s">
        <v>21</v>
      </c>
      <c r="S45" s="714">
        <f t="shared" si="12"/>
        <v>100</v>
      </c>
      <c r="T45" s="713" t="s">
        <v>21</v>
      </c>
      <c r="U45" s="714">
        <f t="shared" si="13"/>
        <v>100</v>
      </c>
      <c r="V45" s="713" t="s">
        <v>21</v>
      </c>
      <c r="W45" s="714">
        <f t="shared" si="14"/>
        <v>100</v>
      </c>
      <c r="X45" s="1507"/>
      <c r="Y45" s="3465"/>
      <c r="Z45" s="1508">
        <f t="shared" si="18"/>
        <v>111</v>
      </c>
      <c r="AA45" s="1505">
        <f t="shared" si="15"/>
        <v>1</v>
      </c>
      <c r="AB45" s="1505">
        <f t="shared" si="16"/>
        <v>1</v>
      </c>
      <c r="AC45" s="1505">
        <f t="shared" si="17"/>
        <v>1</v>
      </c>
    </row>
    <row r="46" spans="1:29" ht="15.75" thickBot="1">
      <c r="A46" s="437"/>
      <c r="B46" s="204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8"/>
      <c r="L46" s="2918"/>
      <c r="M46" s="2912"/>
      <c r="N46" s="2912"/>
      <c r="O46" s="2912"/>
      <c r="P46" s="3464"/>
      <c r="Q46" s="1504">
        <f t="shared" si="11"/>
        <v>111</v>
      </c>
      <c r="R46" s="713" t="s">
        <v>20</v>
      </c>
      <c r="S46" s="714">
        <f t="shared" si="12"/>
        <v>100</v>
      </c>
      <c r="T46" s="713" t="s">
        <v>20</v>
      </c>
      <c r="U46" s="714">
        <f t="shared" si="13"/>
        <v>100</v>
      </c>
      <c r="V46" s="713" t="s">
        <v>20</v>
      </c>
      <c r="W46" s="714">
        <f t="shared" si="14"/>
        <v>100</v>
      </c>
      <c r="X46" s="1507"/>
      <c r="Y46" s="3466"/>
      <c r="Z46" s="1508">
        <f t="shared" si="18"/>
        <v>111</v>
      </c>
      <c r="AA46" s="1505">
        <f t="shared" si="15"/>
        <v>1</v>
      </c>
      <c r="AB46" s="1505">
        <f t="shared" si="16"/>
        <v>1</v>
      </c>
      <c r="AC46" s="1505">
        <f t="shared" si="17"/>
        <v>1</v>
      </c>
    </row>
    <row r="47" spans="1:29" ht="15">
      <c r="A47" s="438" t="s">
        <v>2338</v>
      </c>
      <c r="B47" s="439"/>
      <c r="C47" s="1286" t="s">
        <v>19</v>
      </c>
      <c r="D47" s="1287"/>
      <c r="E47" s="1288"/>
      <c r="F47" s="1289"/>
      <c r="G47" s="1290"/>
      <c r="H47" s="1291"/>
      <c r="I47" s="1288"/>
      <c r="J47" s="1291"/>
      <c r="K47" s="2068"/>
      <c r="L47" s="2920"/>
      <c r="M47" s="2921"/>
      <c r="N47" s="2912"/>
      <c r="O47" s="2921"/>
      <c r="P47" s="3467" t="str">
        <f>A47</f>
        <v>成交单价（元/平方米）</v>
      </c>
      <c r="Q47" s="3467"/>
      <c r="R47" s="3468">
        <f>E47</f>
        <v>0</v>
      </c>
      <c r="S47" s="3468"/>
      <c r="T47" s="3468">
        <f>G47</f>
        <v>0</v>
      </c>
      <c r="U47" s="3468"/>
      <c r="V47" s="3468">
        <f>I47</f>
        <v>0</v>
      </c>
      <c r="W47" s="3468"/>
      <c r="X47" s="698"/>
      <c r="Y47" s="720"/>
      <c r="Z47" s="698"/>
      <c r="AA47" s="698"/>
      <c r="AB47" s="698"/>
      <c r="AC47" s="698"/>
    </row>
    <row r="48" spans="1:29" ht="15.75" thickBot="1">
      <c r="A48" s="445" t="s">
        <v>2339</v>
      </c>
      <c r="B48" s="446"/>
      <c r="C48" s="1292" t="e">
        <f>R49</f>
        <v>#DIV/0!</v>
      </c>
      <c r="D48" s="2505" t="s">
        <v>2819</v>
      </c>
      <c r="E48" s="1293" t="e">
        <f>R48</f>
        <v>#DIV/0!</v>
      </c>
      <c r="F48" s="2506"/>
      <c r="G48" s="1292" t="e">
        <f>T48</f>
        <v>#DIV/0!</v>
      </c>
      <c r="H48" s="2506"/>
      <c r="I48" s="1293" t="e">
        <f>V48</f>
        <v>#DIV/0!</v>
      </c>
      <c r="J48" s="2506"/>
      <c r="K48" s="2507">
        <f>F48+H48+J48</f>
        <v>0</v>
      </c>
      <c r="L48" s="2920"/>
      <c r="M48" s="2921"/>
      <c r="N48" s="2921"/>
      <c r="O48" s="2921"/>
      <c r="P48" s="3467" t="str">
        <f>A48</f>
        <v>比较价值（元/平方米）</v>
      </c>
      <c r="Q48" s="3467"/>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698"/>
      <c r="Y48" s="698"/>
      <c r="Z48" s="698"/>
      <c r="AA48" s="698"/>
      <c r="AB48" s="698"/>
      <c r="AC48" s="698"/>
    </row>
    <row r="49" spans="1:29" ht="15.75" thickBot="1">
      <c r="A49" s="449" t="s">
        <v>2340</v>
      </c>
      <c r="B49" s="450"/>
      <c r="C49" s="1294" t="e">
        <f>R49</f>
        <v>#DIV/0!</v>
      </c>
      <c r="D49" s="1295"/>
      <c r="E49" s="1295"/>
      <c r="F49" s="1295"/>
      <c r="G49" s="1295"/>
      <c r="H49" s="1295"/>
      <c r="I49" s="1295"/>
      <c r="J49" s="1295"/>
      <c r="K49" s="2069"/>
      <c r="L49" s="2920"/>
      <c r="M49" s="2921"/>
      <c r="N49" s="2921"/>
      <c r="O49" s="2921"/>
      <c r="P49" s="3506" t="str">
        <f>A49</f>
        <v>估价对象XX用房的比较价值（楼面单价，元/平方米）</v>
      </c>
      <c r="Q49" s="3507"/>
      <c r="R49" s="3508" t="e">
        <f>IF(F1="售价",ROUND(IF(D48="简单平均",AVERAGE(R48:V48),R48*F48+T48*H48+V48*J48),0),ROUND(IF(D48="简单平均",AVERAGE(R48:V48),R48*F48+T48*H48+V48*J48),1))</f>
        <v>#DIV/0!</v>
      </c>
      <c r="S49" s="3508"/>
      <c r="T49" s="3508"/>
      <c r="U49" s="3508"/>
      <c r="V49" s="3508"/>
      <c r="W49" s="3508"/>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1"/>
    </row>
    <row r="55" spans="1:29" s="459" customFormat="1">
      <c r="A55" s="2924"/>
      <c r="B55" s="2927"/>
      <c r="C55" s="2928"/>
      <c r="D55" s="2924"/>
      <c r="E55" s="2924"/>
      <c r="F55" s="2924"/>
      <c r="G55" s="2924"/>
      <c r="H55" s="2924"/>
      <c r="I55" s="2924"/>
      <c r="J55" s="2924"/>
      <c r="K55" s="2929"/>
      <c r="L55" s="2923"/>
      <c r="M55" s="2924"/>
      <c r="N55" s="2924"/>
      <c r="O55" s="2924"/>
      <c r="P55" s="2071"/>
    </row>
    <row r="56" spans="1:29">
      <c r="A56" s="2921"/>
      <c r="B56" s="2927"/>
      <c r="C56" s="2928"/>
      <c r="D56" s="2921"/>
      <c r="E56" s="2921"/>
      <c r="F56" s="2921"/>
      <c r="G56" s="2921"/>
      <c r="H56" s="2921"/>
      <c r="I56" s="2921"/>
      <c r="J56" s="2921"/>
      <c r="K56" s="2926"/>
      <c r="L56" s="2922"/>
      <c r="M56" s="2921"/>
      <c r="N56" s="2921"/>
      <c r="O56" s="2921"/>
    </row>
    <row r="57" spans="1:29" ht="21.75" thickBot="1">
      <c r="A57" s="702" t="s">
        <v>2344</v>
      </c>
      <c r="B57" s="698"/>
      <c r="C57" s="703"/>
      <c r="D57" s="703"/>
      <c r="E57" s="703"/>
      <c r="F57" s="704"/>
      <c r="G57" s="704"/>
      <c r="H57" s="703"/>
      <c r="I57" s="703"/>
      <c r="J57" s="703"/>
      <c r="K57" s="1071"/>
      <c r="L57" s="1072"/>
      <c r="M57" s="1070"/>
      <c r="N57" s="1070"/>
      <c r="O57" s="1070"/>
      <c r="P57" s="2072"/>
      <c r="Q57" s="461"/>
    </row>
    <row r="58" spans="1:29" s="465" customFormat="1" ht="15">
      <c r="A58" s="462" t="s">
        <v>2345</v>
      </c>
      <c r="B58" s="463"/>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ht="15">
      <c r="A59" s="466"/>
      <c r="B59" s="2073"/>
      <c r="C59" s="1315">
        <v>100</v>
      </c>
      <c r="D59" s="468"/>
      <c r="E59" s="469"/>
      <c r="F59" s="469"/>
      <c r="G59" s="469"/>
      <c r="H59" s="469"/>
      <c r="I59" s="469"/>
      <c r="J59" s="469"/>
      <c r="K59" s="469"/>
      <c r="L59" s="469"/>
      <c r="M59" s="470"/>
      <c r="N59" s="469"/>
      <c r="O59" s="470"/>
      <c r="P59" s="2074"/>
    </row>
    <row r="60" spans="1:29" s="113" customFormat="1" ht="15.75" thickBot="1">
      <c r="A60" s="472" t="s">
        <v>2346</v>
      </c>
      <c r="B60" s="473"/>
      <c r="C60" s="474"/>
      <c r="D60" s="475"/>
      <c r="E60" s="475"/>
      <c r="F60" s="475"/>
      <c r="G60" s="475"/>
      <c r="H60" s="475"/>
      <c r="I60" s="475"/>
      <c r="J60" s="475"/>
      <c r="K60" s="475"/>
      <c r="L60" s="475"/>
      <c r="M60" s="476"/>
      <c r="N60" s="475"/>
      <c r="O60" s="476"/>
      <c r="P60" s="2074"/>
      <c r="Q60" s="461"/>
    </row>
    <row r="61" spans="1:29" s="113" customFormat="1" ht="15">
      <c r="A61" s="478" t="s">
        <v>2347</v>
      </c>
      <c r="B61" s="467"/>
      <c r="C61" s="479" t="s">
        <v>2348</v>
      </c>
      <c r="D61" s="480"/>
      <c r="E61" s="480"/>
      <c r="F61" s="480"/>
      <c r="G61" s="480"/>
      <c r="H61" s="480"/>
      <c r="I61" s="480"/>
      <c r="J61" s="480"/>
      <c r="K61" s="480"/>
      <c r="L61" s="481"/>
      <c r="M61" s="482"/>
      <c r="N61" s="1062"/>
      <c r="O61" s="1062"/>
      <c r="P61" s="2075"/>
      <c r="Q61" s="461"/>
    </row>
    <row r="62" spans="1:29" s="113" customFormat="1" ht="15.75" thickBot="1">
      <c r="A62" s="478"/>
      <c r="B62" s="467"/>
      <c r="C62" s="468">
        <v>100</v>
      </c>
      <c r="D62" s="469"/>
      <c r="E62" s="469"/>
      <c r="F62" s="469"/>
      <c r="G62" s="469"/>
      <c r="H62" s="469"/>
      <c r="I62" s="469"/>
      <c r="J62" s="469"/>
      <c r="K62" s="469"/>
      <c r="L62" s="469"/>
      <c r="M62" s="471"/>
      <c r="N62" s="1062"/>
      <c r="O62" s="1062"/>
      <c r="P62" s="2074"/>
      <c r="Q62" s="461"/>
    </row>
    <row r="63" spans="1:29">
      <c r="A63" s="484" t="s">
        <v>2349</v>
      </c>
      <c r="B63" s="485" t="s">
        <v>2315</v>
      </c>
      <c r="C63" s="486">
        <f>C9</f>
        <v>0</v>
      </c>
      <c r="D63" s="487"/>
      <c r="E63" s="487"/>
      <c r="F63" s="487"/>
      <c r="G63" s="487"/>
      <c r="H63" s="487"/>
      <c r="I63" s="487"/>
      <c r="J63" s="487"/>
      <c r="K63" s="488"/>
      <c r="L63" s="489"/>
      <c r="M63" s="490"/>
      <c r="N63" s="1063"/>
      <c r="O63" s="1063"/>
      <c r="P63" s="2076"/>
      <c r="Q63" s="461"/>
    </row>
    <row r="64" spans="1:29" ht="15.75" thickBot="1">
      <c r="A64" s="491"/>
      <c r="B64" s="492"/>
      <c r="C64" s="493">
        <v>100</v>
      </c>
      <c r="D64" s="493"/>
      <c r="E64" s="493"/>
      <c r="F64" s="493"/>
      <c r="G64" s="493"/>
      <c r="H64" s="493"/>
      <c r="I64" s="493"/>
      <c r="J64" s="493"/>
      <c r="K64" s="493"/>
      <c r="L64" s="493"/>
      <c r="M64" s="494"/>
      <c r="N64" s="1064"/>
      <c r="O64" s="1064"/>
      <c r="P64" s="2076"/>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3"/>
      <c r="O65" s="1063"/>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6"/>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6"/>
      <c r="Q67" s="461"/>
    </row>
    <row r="68" spans="1:17" ht="15">
      <c r="A68" s="491"/>
      <c r="B68" s="505"/>
      <c r="C68" s="506"/>
      <c r="D68" s="506"/>
      <c r="E68" s="506"/>
      <c r="F68" s="506"/>
      <c r="G68" s="506"/>
      <c r="H68" s="506"/>
      <c r="I68" s="506"/>
      <c r="J68" s="506"/>
      <c r="K68" s="507"/>
      <c r="L68" s="508"/>
      <c r="M68" s="509"/>
      <c r="N68" s="1063"/>
      <c r="O68" s="1063"/>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6"/>
      <c r="Q69" s="461"/>
    </row>
    <row r="70" spans="1:17" s="430" customFormat="1" ht="15.75" thickTop="1">
      <c r="A70" s="510"/>
      <c r="B70" s="495">
        <f>B12</f>
        <v>111</v>
      </c>
      <c r="C70" s="511"/>
      <c r="D70" s="511"/>
      <c r="E70" s="511"/>
      <c r="F70" s="511"/>
      <c r="G70" s="511"/>
      <c r="H70" s="512"/>
      <c r="I70" s="512"/>
      <c r="J70" s="512"/>
      <c r="K70" s="512"/>
      <c r="L70" s="513"/>
      <c r="M70" s="514"/>
      <c r="N70" s="1065"/>
      <c r="O70" s="1065"/>
      <c r="P70" s="2077"/>
      <c r="Q70" s="516"/>
    </row>
    <row r="71" spans="1:17" s="430" customFormat="1" ht="15.75" thickBot="1">
      <c r="A71" s="510"/>
      <c r="B71" s="500"/>
      <c r="C71" s="517"/>
      <c r="D71" s="493"/>
      <c r="E71" s="493"/>
      <c r="F71" s="493"/>
      <c r="G71" s="493"/>
      <c r="H71" s="493"/>
      <c r="I71" s="493"/>
      <c r="J71" s="493"/>
      <c r="K71" s="493"/>
      <c r="L71" s="493"/>
      <c r="M71" s="494"/>
      <c r="N71" s="1064"/>
      <c r="O71" s="1064"/>
      <c r="P71" s="2077"/>
      <c r="Q71" s="516"/>
    </row>
    <row r="72" spans="1:17" s="430" customFormat="1" ht="15.75" thickTop="1">
      <c r="A72" s="510"/>
      <c r="B72" s="495">
        <f>B13</f>
        <v>111</v>
      </c>
      <c r="C72" s="511"/>
      <c r="D72" s="511"/>
      <c r="E72" s="511"/>
      <c r="F72" s="511"/>
      <c r="G72" s="511"/>
      <c r="H72" s="512"/>
      <c r="I72" s="512"/>
      <c r="J72" s="512"/>
      <c r="K72" s="512"/>
      <c r="L72" s="513"/>
      <c r="M72" s="514"/>
      <c r="N72" s="1065"/>
      <c r="O72" s="1065"/>
      <c r="P72" s="2078"/>
      <c r="Q72" s="518"/>
    </row>
    <row r="73" spans="1:17" s="430" customFormat="1" ht="15.75" thickBot="1">
      <c r="A73" s="510"/>
      <c r="B73" s="500"/>
      <c r="C73" s="517"/>
      <c r="D73" s="517"/>
      <c r="E73" s="517"/>
      <c r="F73" s="517"/>
      <c r="G73" s="517"/>
      <c r="H73" s="519"/>
      <c r="I73" s="519"/>
      <c r="J73" s="519"/>
      <c r="K73" s="519"/>
      <c r="L73" s="519"/>
      <c r="M73" s="520"/>
      <c r="N73" s="1065"/>
      <c r="O73" s="1065"/>
      <c r="P73" s="2077"/>
      <c r="Q73" s="516"/>
    </row>
    <row r="74" spans="1:17" s="430" customFormat="1" ht="15.75" thickTop="1">
      <c r="A74" s="510"/>
      <c r="B74" s="503">
        <f>B14</f>
        <v>111</v>
      </c>
      <c r="C74" s="511"/>
      <c r="D74" s="511"/>
      <c r="E74" s="511"/>
      <c r="F74" s="511"/>
      <c r="G74" s="480"/>
      <c r="H74" s="521"/>
      <c r="I74" s="521"/>
      <c r="J74" s="521"/>
      <c r="K74" s="521"/>
      <c r="L74" s="522"/>
      <c r="M74" s="523"/>
      <c r="N74" s="1065"/>
      <c r="O74" s="1065"/>
      <c r="P74" s="2079"/>
      <c r="Q74" s="516"/>
    </row>
    <row r="75" spans="1:17" s="430" customFormat="1" ht="15.75" thickBot="1">
      <c r="A75" s="525"/>
      <c r="B75" s="526"/>
      <c r="C75" s="527"/>
      <c r="D75" s="527"/>
      <c r="E75" s="527"/>
      <c r="F75" s="527"/>
      <c r="G75" s="527"/>
      <c r="H75" s="528"/>
      <c r="I75" s="528"/>
      <c r="J75" s="528"/>
      <c r="K75" s="528"/>
      <c r="L75" s="528"/>
      <c r="M75" s="529"/>
      <c r="N75" s="1065"/>
      <c r="O75" s="1065"/>
      <c r="P75" s="2077"/>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3"/>
      <c r="O76" s="1063"/>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6"/>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3"/>
      <c r="O78" s="1063"/>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6"/>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3"/>
      <c r="O80" s="1063"/>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6"/>
      <c r="Q81" s="461"/>
    </row>
    <row r="82" spans="1:17" ht="15.75" thickTop="1">
      <c r="A82" s="491"/>
      <c r="B82" s="503" t="s">
        <v>1886</v>
      </c>
      <c r="C82" s="496" t="s">
        <v>2365</v>
      </c>
      <c r="D82" s="496" t="s">
        <v>2366</v>
      </c>
      <c r="E82" s="496" t="s">
        <v>2367</v>
      </c>
      <c r="F82" s="496" t="s">
        <v>2368</v>
      </c>
      <c r="G82" s="496" t="s">
        <v>2369</v>
      </c>
      <c r="H82" s="496"/>
      <c r="I82" s="496"/>
      <c r="J82" s="496"/>
      <c r="K82" s="496"/>
      <c r="L82" s="496"/>
      <c r="M82" s="1261"/>
      <c r="N82" s="1064"/>
      <c r="O82" s="1064"/>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6"/>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3"/>
      <c r="O84" s="1063"/>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6"/>
      <c r="Q85" s="461"/>
    </row>
    <row r="86" spans="1:17" s="113" customFormat="1" ht="15.75" thickTop="1">
      <c r="A86" s="536"/>
      <c r="B86" s="495" t="s">
        <v>2371</v>
      </c>
      <c r="C86" s="511"/>
      <c r="D86" s="511"/>
      <c r="E86" s="511"/>
      <c r="F86" s="511"/>
      <c r="G86" s="511"/>
      <c r="H86" s="511"/>
      <c r="I86" s="511"/>
      <c r="J86" s="511"/>
      <c r="K86" s="511"/>
      <c r="L86" s="537"/>
      <c r="M86" s="538"/>
      <c r="N86" s="1062"/>
      <c r="O86" s="1062"/>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6"/>
      <c r="Q87" s="461"/>
    </row>
    <row r="88" spans="1:17" s="113" customFormat="1" ht="15.75" thickTop="1">
      <c r="A88" s="536"/>
      <c r="B88" s="495" t="s">
        <v>2372</v>
      </c>
      <c r="C88" s="511"/>
      <c r="D88" s="511"/>
      <c r="E88" s="511"/>
      <c r="F88" s="2081"/>
      <c r="G88" s="511"/>
      <c r="H88" s="511"/>
      <c r="I88" s="511"/>
      <c r="J88" s="511"/>
      <c r="K88" s="511"/>
      <c r="L88" s="511"/>
      <c r="M88" s="538"/>
      <c r="N88" s="1062"/>
      <c r="O88" s="1062"/>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6"/>
      <c r="Q89" s="461"/>
    </row>
    <row r="90" spans="1:17" s="430" customFormat="1" ht="15.75" thickTop="1">
      <c r="A90" s="510"/>
      <c r="B90" s="495">
        <f>B27</f>
        <v>111</v>
      </c>
      <c r="C90" s="511"/>
      <c r="D90" s="511"/>
      <c r="E90" s="511"/>
      <c r="F90" s="511"/>
      <c r="G90" s="511"/>
      <c r="H90" s="512"/>
      <c r="I90" s="512"/>
      <c r="J90" s="512"/>
      <c r="K90" s="512"/>
      <c r="L90" s="513"/>
      <c r="M90" s="514"/>
      <c r="N90" s="1065"/>
      <c r="O90" s="1065"/>
      <c r="P90" s="2077"/>
      <c r="Q90" s="516"/>
    </row>
    <row r="91" spans="1:17" s="430" customFormat="1" ht="15.75" thickBot="1">
      <c r="A91" s="510"/>
      <c r="B91" s="500"/>
      <c r="C91" s="517"/>
      <c r="D91" s="517"/>
      <c r="E91" s="517"/>
      <c r="F91" s="517"/>
      <c r="G91" s="517"/>
      <c r="H91" s="519"/>
      <c r="I91" s="519"/>
      <c r="J91" s="519"/>
      <c r="K91" s="519"/>
      <c r="L91" s="519"/>
      <c r="M91" s="520"/>
      <c r="N91" s="1065"/>
      <c r="O91" s="1065"/>
      <c r="P91" s="2077"/>
      <c r="Q91" s="516"/>
    </row>
    <row r="92" spans="1:17" ht="15.75" thickTop="1">
      <c r="A92" s="491"/>
      <c r="B92" s="495">
        <f>B28</f>
        <v>111</v>
      </c>
      <c r="C92" s="511"/>
      <c r="D92" s="511"/>
      <c r="E92" s="511"/>
      <c r="F92" s="511"/>
      <c r="G92" s="540"/>
      <c r="H92" s="540"/>
      <c r="I92" s="540"/>
      <c r="J92" s="540"/>
      <c r="K92" s="541"/>
      <c r="L92" s="542"/>
      <c r="M92" s="543"/>
      <c r="N92" s="1063"/>
      <c r="O92" s="1063"/>
      <c r="P92" s="2076"/>
      <c r="Q92" s="461"/>
    </row>
    <row r="93" spans="1:17" ht="15.75" thickBot="1">
      <c r="A93" s="491"/>
      <c r="B93" s="500"/>
      <c r="C93" s="517"/>
      <c r="D93" s="493"/>
      <c r="E93" s="493"/>
      <c r="F93" s="493"/>
      <c r="G93" s="493"/>
      <c r="H93" s="493"/>
      <c r="I93" s="493"/>
      <c r="J93" s="493"/>
      <c r="K93" s="493"/>
      <c r="L93" s="493"/>
      <c r="M93" s="494"/>
      <c r="N93" s="1064"/>
      <c r="O93" s="1064"/>
      <c r="P93" s="2076"/>
      <c r="Q93" s="461"/>
    </row>
    <row r="94" spans="1:17" ht="15.75" thickTop="1">
      <c r="A94" s="491"/>
      <c r="B94" s="495">
        <f>B29</f>
        <v>111</v>
      </c>
      <c r="C94" s="511"/>
      <c r="D94" s="511"/>
      <c r="E94" s="511"/>
      <c r="F94" s="511"/>
      <c r="G94" s="540"/>
      <c r="H94" s="540"/>
      <c r="I94" s="540"/>
      <c r="J94" s="540"/>
      <c r="K94" s="541"/>
      <c r="L94" s="542"/>
      <c r="M94" s="543"/>
      <c r="N94" s="1063"/>
      <c r="O94" s="1063"/>
      <c r="P94" s="2076"/>
      <c r="Q94" s="461"/>
    </row>
    <row r="95" spans="1:17" ht="15.75" thickBot="1">
      <c r="A95" s="491"/>
      <c r="B95" s="500"/>
      <c r="C95" s="517"/>
      <c r="D95" s="517"/>
      <c r="E95" s="517"/>
      <c r="F95" s="517"/>
      <c r="G95" s="493"/>
      <c r="H95" s="493"/>
      <c r="I95" s="493"/>
      <c r="J95" s="493"/>
      <c r="K95" s="493"/>
      <c r="L95" s="493"/>
      <c r="M95" s="494"/>
      <c r="N95" s="1064"/>
      <c r="O95" s="1064"/>
      <c r="P95" s="2076"/>
      <c r="Q95" s="461"/>
    </row>
    <row r="96" spans="1:17" ht="15.75" thickTop="1">
      <c r="A96" s="491"/>
      <c r="B96" s="495">
        <f>B30</f>
        <v>111</v>
      </c>
      <c r="C96" s="511"/>
      <c r="D96" s="511"/>
      <c r="E96" s="511"/>
      <c r="F96" s="511"/>
      <c r="G96" s="540"/>
      <c r="H96" s="540"/>
      <c r="I96" s="540"/>
      <c r="J96" s="540"/>
      <c r="K96" s="541"/>
      <c r="L96" s="542"/>
      <c r="M96" s="543"/>
      <c r="N96" s="1063"/>
      <c r="O96" s="1063"/>
      <c r="P96" s="2076"/>
      <c r="Q96" s="461"/>
    </row>
    <row r="97" spans="1:17" ht="15.75" thickBot="1">
      <c r="A97" s="491"/>
      <c r="B97" s="500"/>
      <c r="C97" s="527"/>
      <c r="D97" s="527"/>
      <c r="E97" s="527"/>
      <c r="F97" s="527"/>
      <c r="G97" s="493"/>
      <c r="H97" s="493"/>
      <c r="I97" s="493"/>
      <c r="J97" s="493"/>
      <c r="K97" s="493"/>
      <c r="L97" s="493"/>
      <c r="M97" s="494"/>
      <c r="N97" s="1064"/>
      <c r="O97" s="1064"/>
      <c r="P97" s="2076"/>
      <c r="Q97" s="461"/>
    </row>
    <row r="98" spans="1:17" ht="15.75" thickTop="1">
      <c r="A98" s="491"/>
      <c r="B98" s="503">
        <f>B31</f>
        <v>111</v>
      </c>
      <c r="C98" s="544"/>
      <c r="D98" s="544"/>
      <c r="E98" s="544"/>
      <c r="F98" s="544"/>
      <c r="G98" s="544"/>
      <c r="H98" s="544"/>
      <c r="I98" s="544"/>
      <c r="J98" s="544"/>
      <c r="K98" s="545"/>
      <c r="L98" s="546"/>
      <c r="M98" s="547"/>
      <c r="N98" s="1063"/>
      <c r="O98" s="1063"/>
      <c r="P98" s="2076"/>
      <c r="Q98" s="461"/>
    </row>
    <row r="99" spans="1:17" ht="15.75" thickBot="1">
      <c r="A99" s="2082"/>
      <c r="B99" s="526"/>
      <c r="C99" s="548"/>
      <c r="D99" s="548"/>
      <c r="E99" s="548"/>
      <c r="F99" s="548"/>
      <c r="G99" s="548"/>
      <c r="H99" s="548"/>
      <c r="I99" s="548"/>
      <c r="J99" s="548"/>
      <c r="K99" s="548"/>
      <c r="L99" s="548"/>
      <c r="M99" s="549"/>
      <c r="N99" s="1064"/>
      <c r="O99" s="1064"/>
      <c r="P99" s="2076"/>
      <c r="Q99" s="461"/>
    </row>
    <row r="100" spans="1:17">
      <c r="A100" s="484" t="s">
        <v>2324</v>
      </c>
      <c r="B100" s="485" t="s">
        <v>2373</v>
      </c>
      <c r="C100" s="487"/>
      <c r="D100" s="487"/>
      <c r="E100" s="487"/>
      <c r="F100" s="487"/>
      <c r="G100" s="487"/>
      <c r="H100" s="487"/>
      <c r="I100" s="487"/>
      <c r="J100" s="487"/>
      <c r="K100" s="488"/>
      <c r="L100" s="489"/>
      <c r="M100" s="490"/>
      <c r="N100" s="1063"/>
      <c r="O100" s="1063"/>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6"/>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6"/>
      <c r="Q102" s="461"/>
    </row>
    <row r="103" spans="1:17" s="430" customFormat="1">
      <c r="A103" s="550"/>
      <c r="B103" s="551"/>
      <c r="C103" s="552"/>
      <c r="D103" s="552"/>
      <c r="E103" s="552"/>
      <c r="F103" s="552"/>
      <c r="G103" s="552"/>
      <c r="H103" s="552"/>
      <c r="I103" s="552"/>
      <c r="J103" s="553"/>
      <c r="K103" s="553"/>
      <c r="L103" s="554"/>
      <c r="M103" s="555"/>
      <c r="N103" s="1065"/>
      <c r="O103" s="1065"/>
      <c r="P103" s="207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077"/>
      <c r="Q104" s="516"/>
    </row>
    <row r="105" spans="1:17" ht="15" thickTop="1">
      <c r="A105" s="556"/>
      <c r="B105" s="495" t="s">
        <v>2375</v>
      </c>
      <c r="C105" s="511"/>
      <c r="D105" s="511"/>
      <c r="E105" s="540"/>
      <c r="F105" s="540"/>
      <c r="G105" s="540"/>
      <c r="H105" s="540"/>
      <c r="I105" s="540"/>
      <c r="J105" s="540"/>
      <c r="K105" s="541"/>
      <c r="L105" s="542"/>
      <c r="M105" s="543"/>
      <c r="N105" s="1063"/>
      <c r="O105" s="1063"/>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6"/>
      <c r="Q106" s="461"/>
    </row>
    <row r="107" spans="1:17" ht="15" thickTop="1">
      <c r="A107" s="556"/>
      <c r="B107" s="495" t="s">
        <v>2376</v>
      </c>
      <c r="C107" s="540"/>
      <c r="D107" s="540"/>
      <c r="E107" s="540"/>
      <c r="F107" s="540"/>
      <c r="G107" s="540"/>
      <c r="H107" s="540"/>
      <c r="I107" s="540"/>
      <c r="J107" s="540"/>
      <c r="K107" s="541"/>
      <c r="L107" s="542"/>
      <c r="M107" s="543"/>
      <c r="N107" s="1063"/>
      <c r="O107" s="1063"/>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6"/>
      <c r="Q108" s="461"/>
    </row>
    <row r="109" spans="1:17" ht="15" thickTop="1">
      <c r="A109" s="556"/>
      <c r="B109" s="495" t="s">
        <v>2377</v>
      </c>
      <c r="C109" s="511"/>
      <c r="D109" s="511"/>
      <c r="E109" s="511"/>
      <c r="F109" s="540"/>
      <c r="G109" s="540"/>
      <c r="H109" s="540"/>
      <c r="I109" s="540"/>
      <c r="J109" s="540"/>
      <c r="K109" s="541"/>
      <c r="L109" s="542"/>
      <c r="M109" s="543"/>
      <c r="N109" s="1063"/>
      <c r="O109" s="1063"/>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7"/>
      <c r="Q113" s="516"/>
    </row>
    <row r="114" spans="1:17" ht="15" thickTop="1">
      <c r="A114" s="556"/>
      <c r="B114" s="495" t="s">
        <v>2378</v>
      </c>
      <c r="C114" s="511"/>
      <c r="D114" s="511"/>
      <c r="E114" s="540"/>
      <c r="F114" s="540"/>
      <c r="G114" s="540"/>
      <c r="H114" s="540"/>
      <c r="I114" s="540"/>
      <c r="J114" s="540"/>
      <c r="K114" s="541"/>
      <c r="L114" s="542"/>
      <c r="M114" s="543"/>
      <c r="N114" s="1063"/>
      <c r="O114" s="1063"/>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6"/>
      <c r="Q115" s="461"/>
    </row>
    <row r="116" spans="1:17" ht="15" thickTop="1">
      <c r="A116" s="556"/>
      <c r="B116" s="495" t="s">
        <v>2379</v>
      </c>
      <c r="C116" s="511"/>
      <c r="D116" s="511"/>
      <c r="E116" s="511"/>
      <c r="F116" s="511"/>
      <c r="G116" s="511"/>
      <c r="H116" s="540"/>
      <c r="I116" s="540"/>
      <c r="J116" s="540"/>
      <c r="K116" s="541"/>
      <c r="L116" s="542"/>
      <c r="M116" s="543"/>
      <c r="N116" s="1063"/>
      <c r="O116" s="1063"/>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6"/>
      <c r="Q117" s="461"/>
    </row>
    <row r="118" spans="1:17" ht="15" thickTop="1">
      <c r="A118" s="556"/>
      <c r="B118" s="495" t="s">
        <v>2380</v>
      </c>
      <c r="C118" s="540"/>
      <c r="D118" s="540"/>
      <c r="E118" s="540"/>
      <c r="F118" s="540"/>
      <c r="G118" s="540"/>
      <c r="H118" s="540"/>
      <c r="I118" s="540"/>
      <c r="J118" s="540"/>
      <c r="K118" s="541"/>
      <c r="L118" s="542"/>
      <c r="M118" s="543"/>
      <c r="N118" s="1063"/>
      <c r="O118" s="1063"/>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6"/>
      <c r="Q119" s="461"/>
    </row>
    <row r="120" spans="1:17" s="430" customFormat="1" ht="28.5" thickTop="1">
      <c r="A120" s="550"/>
      <c r="B120" s="495" t="s">
        <v>2335</v>
      </c>
      <c r="C120" s="511"/>
      <c r="D120" s="511"/>
      <c r="E120" s="511"/>
      <c r="F120" s="511"/>
      <c r="G120" s="511"/>
      <c r="H120" s="511"/>
      <c r="I120" s="511"/>
      <c r="J120" s="511"/>
      <c r="K120" s="511"/>
      <c r="L120" s="537"/>
      <c r="M120" s="538"/>
      <c r="N120" s="1065"/>
      <c r="O120" s="1065"/>
      <c r="P120" s="207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077"/>
      <c r="Q121" s="516"/>
    </row>
    <row r="122" spans="1:17" ht="15" thickTop="1">
      <c r="A122" s="556"/>
      <c r="B122" s="495" t="s">
        <v>2381</v>
      </c>
      <c r="C122" s="511"/>
      <c r="D122" s="511"/>
      <c r="E122" s="511"/>
      <c r="F122" s="540"/>
      <c r="G122" s="540"/>
      <c r="H122" s="540"/>
      <c r="I122" s="540"/>
      <c r="J122" s="540"/>
      <c r="K122" s="541"/>
      <c r="L122" s="542"/>
      <c r="M122" s="543"/>
      <c r="N122" s="1063"/>
      <c r="O122" s="1063"/>
      <c r="P122" s="207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6"/>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3"/>
      <c r="O124" s="1063"/>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07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077"/>
      <c r="Q127" s="516"/>
    </row>
    <row r="128" spans="1:17" ht="15" thickTop="1">
      <c r="A128" s="556"/>
      <c r="B128" s="495">
        <f>B45</f>
        <v>111</v>
      </c>
      <c r="C128" s="511"/>
      <c r="D128" s="511"/>
      <c r="E128" s="511"/>
      <c r="F128" s="511"/>
      <c r="G128" s="540"/>
      <c r="H128" s="540"/>
      <c r="I128" s="540"/>
      <c r="J128" s="540"/>
      <c r="K128" s="541"/>
      <c r="L128" s="542"/>
      <c r="M128" s="543"/>
      <c r="N128" s="1063"/>
      <c r="O128" s="1063"/>
      <c r="P128" s="2076"/>
      <c r="Q128" s="461"/>
    </row>
    <row r="129" spans="1:17" ht="15.75" thickBot="1">
      <c r="A129" s="491"/>
      <c r="B129" s="500"/>
      <c r="C129" s="517"/>
      <c r="D129" s="517"/>
      <c r="E129" s="517"/>
      <c r="F129" s="517"/>
      <c r="G129" s="493"/>
      <c r="H129" s="493"/>
      <c r="I129" s="493"/>
      <c r="J129" s="493"/>
      <c r="K129" s="493"/>
      <c r="L129" s="493"/>
      <c r="M129" s="494"/>
      <c r="N129" s="1064"/>
      <c r="O129" s="1064"/>
      <c r="P129" s="2076"/>
      <c r="Q129" s="461"/>
    </row>
    <row r="130" spans="1:17" ht="15" thickTop="1">
      <c r="A130" s="556"/>
      <c r="B130" s="503">
        <f>B46</f>
        <v>111</v>
      </c>
      <c r="C130" s="511"/>
      <c r="D130" s="511"/>
      <c r="E130" s="511"/>
      <c r="F130" s="511"/>
      <c r="G130" s="544"/>
      <c r="H130" s="544"/>
      <c r="I130" s="544"/>
      <c r="J130" s="544"/>
      <c r="K130" s="480"/>
      <c r="L130" s="481"/>
      <c r="M130" s="547"/>
      <c r="N130" s="1063"/>
      <c r="O130" s="1063"/>
      <c r="P130" s="2076"/>
      <c r="Q130" s="461"/>
    </row>
    <row r="131" spans="1:17" ht="15.75" thickBot="1">
      <c r="A131" s="2082"/>
      <c r="B131" s="526"/>
      <c r="C131" s="527"/>
      <c r="D131" s="527"/>
      <c r="E131" s="527"/>
      <c r="F131" s="527"/>
      <c r="G131" s="548"/>
      <c r="H131" s="548"/>
      <c r="I131" s="548"/>
      <c r="J131" s="548"/>
      <c r="K131" s="548"/>
      <c r="L131" s="548"/>
      <c r="M131" s="549"/>
      <c r="N131" s="1064"/>
      <c r="O131" s="1064"/>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7">
        <f>ROUNDUP((J139-1)/2,0)</f>
        <v>10</v>
      </c>
      <c r="K140" s="1008">
        <v>100</v>
      </c>
    </row>
    <row r="141" spans="1:17" ht="15">
      <c r="B141" s="1003">
        <v>4</v>
      </c>
      <c r="C141" s="1004">
        <v>102</v>
      </c>
      <c r="D141" s="1004"/>
      <c r="E141" s="1005"/>
      <c r="F141" s="1006">
        <v>101.5</v>
      </c>
      <c r="G141" s="1004"/>
      <c r="H141" s="1007"/>
      <c r="I141" s="2096" t="s">
        <v>2395</v>
      </c>
      <c r="J141" s="277">
        <v>1</v>
      </c>
      <c r="K141" s="1009">
        <f>ROUND(100+(J141-J140)*K139*100,1)</f>
        <v>96.4</v>
      </c>
    </row>
    <row r="142" spans="1:17" ht="15">
      <c r="B142" s="1003">
        <v>3</v>
      </c>
      <c r="C142" s="1004">
        <v>103</v>
      </c>
      <c r="D142" s="1004"/>
      <c r="E142" s="1005"/>
      <c r="F142" s="1006">
        <v>101</v>
      </c>
      <c r="G142" s="1004"/>
      <c r="H142" s="1007"/>
      <c r="I142" s="2096" t="s">
        <v>2396</v>
      </c>
      <c r="J142" s="277">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5.75"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c r="B147" s="2083" t="s">
        <v>2401</v>
      </c>
    </row>
    <row r="148" spans="2:11">
      <c r="B148" s="2083"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2" t="s">
        <v>2403</v>
      </c>
      <c r="C1" s="1376" t="s">
        <v>2291</v>
      </c>
      <c r="D1" s="1363"/>
      <c r="E1" s="2510"/>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8" customFormat="1" ht="28.5" customHeight="1" thickTop="1">
      <c r="A2" s="1359" t="s">
        <v>2088</v>
      </c>
      <c r="B2" s="1296" t="e">
        <f ca="1">IF(C2="——",ROUND(C49*D3/10000,0),ROUND(C49*D3/10000,0)-D2)</f>
        <v>#DIV/0!</v>
      </c>
      <c r="C2" s="2035"/>
      <c r="D2" s="1245" t="e">
        <f ca="1">SUMIF(INDIRECT("'"&amp;F2&amp;"'"&amp;"!A:A"),"承租人权益价值",INDIRECT("'"&amp;F2&amp;"'"&amp;"!c:c"))</f>
        <v>#REF!</v>
      </c>
      <c r="E2" s="2036" t="s">
        <v>2089</v>
      </c>
      <c r="F2" s="2037"/>
      <c r="G2" s="1038"/>
      <c r="H2" s="1038"/>
      <c r="I2" s="1038"/>
      <c r="J2" s="1038"/>
      <c r="K2" s="1038"/>
      <c r="L2" s="2930"/>
      <c r="M2" s="2931"/>
      <c r="N2" s="2931"/>
      <c r="O2" s="2931"/>
      <c r="P2" s="2106"/>
      <c r="Q2" s="1042"/>
      <c r="R2" s="1042"/>
      <c r="S2" s="1042"/>
      <c r="T2" s="1042"/>
      <c r="U2" s="1042"/>
      <c r="V2" s="1042"/>
      <c r="W2" s="1042"/>
      <c r="X2" s="1042"/>
      <c r="Y2" s="1042"/>
      <c r="Z2" s="1042"/>
      <c r="AA2" s="1042"/>
      <c r="AB2" s="1042"/>
      <c r="AC2" s="2107"/>
    </row>
    <row r="3" spans="1:29" s="358" customFormat="1" ht="28.5" customHeight="1" thickBot="1">
      <c r="A3" s="209" t="s">
        <v>2090</v>
      </c>
      <c r="B3" s="566" t="e">
        <f ca="1">IF(C2="——",C49,ROUND(B2*10000/D3,0))</f>
        <v>#DIV/0!</v>
      </c>
      <c r="C3" s="360" t="s">
        <v>2405</v>
      </c>
      <c r="D3" s="359">
        <f>IF(D1="",'数据-汇总表'!E3,SUMIF('数据-汇总表'!$C19:$C33,D1,'数据-汇总表'!$E19:$E33))</f>
        <v>26834.3</v>
      </c>
      <c r="E3" s="2108"/>
      <c r="F3" s="1039"/>
      <c r="G3" s="1038"/>
      <c r="H3" s="1038"/>
      <c r="I3" s="1038"/>
      <c r="J3" s="1038"/>
      <c r="K3" s="1040"/>
      <c r="L3" s="2930"/>
      <c r="M3" s="2931"/>
      <c r="N3" s="2931"/>
      <c r="O3" s="2931"/>
      <c r="P3" s="2106"/>
      <c r="Q3" s="1042"/>
      <c r="R3" s="1042"/>
      <c r="S3" s="1042"/>
      <c r="T3" s="1042"/>
      <c r="U3" s="1042"/>
      <c r="V3" s="1042"/>
      <c r="W3" s="1042"/>
      <c r="X3" s="1042"/>
      <c r="Y3" s="1042"/>
      <c r="Z3" s="1042"/>
      <c r="AA3" s="1042"/>
      <c r="AB3" s="1042"/>
      <c r="AC3" s="2108"/>
    </row>
    <row r="4" spans="1:29" ht="15">
      <c r="A4" s="361" t="s">
        <v>2406</v>
      </c>
      <c r="B4" s="362"/>
      <c r="C4" s="3442" t="s">
        <v>2407</v>
      </c>
      <c r="D4" s="3443"/>
      <c r="E4" s="3444" t="s">
        <v>2408</v>
      </c>
      <c r="F4" s="3445"/>
      <c r="G4" s="3442" t="s">
        <v>2409</v>
      </c>
      <c r="H4" s="3443"/>
      <c r="I4" s="3442" t="s">
        <v>2410</v>
      </c>
      <c r="J4" s="3443"/>
      <c r="K4" s="567" t="s">
        <v>2411</v>
      </c>
      <c r="L4" s="2911"/>
      <c r="M4" s="2912"/>
      <c r="N4" s="2912"/>
      <c r="O4" s="2912"/>
      <c r="P4" s="3502" t="s">
        <v>2412</v>
      </c>
      <c r="Q4" s="3503"/>
      <c r="R4" s="3499" t="s">
        <v>2408</v>
      </c>
      <c r="S4" s="3500"/>
      <c r="T4" s="3499" t="s">
        <v>2409</v>
      </c>
      <c r="U4" s="3500"/>
      <c r="V4" s="3455" t="s">
        <v>2410</v>
      </c>
      <c r="W4" s="3455"/>
      <c r="X4" s="1507"/>
      <c r="Y4" s="3499" t="s">
        <v>2412</v>
      </c>
      <c r="Z4" s="3500"/>
      <c r="AA4" s="3498" t="s">
        <v>2408</v>
      </c>
      <c r="AB4" s="3455" t="s">
        <v>2409</v>
      </c>
      <c r="AC4" s="3498" t="s">
        <v>2410</v>
      </c>
    </row>
    <row r="5" spans="1:29" ht="15">
      <c r="A5" s="364"/>
      <c r="B5" s="365"/>
      <c r="C5" s="3431" t="s">
        <v>2303</v>
      </c>
      <c r="D5" s="3432"/>
      <c r="E5" s="3501" t="s">
        <v>2304</v>
      </c>
      <c r="F5" s="3430"/>
      <c r="G5" s="3431" t="s">
        <v>2305</v>
      </c>
      <c r="H5" s="3432"/>
      <c r="I5" s="3431" t="s">
        <v>2306</v>
      </c>
      <c r="J5" s="3432"/>
      <c r="K5" s="567"/>
      <c r="L5" s="2911"/>
      <c r="M5" s="2912"/>
      <c r="N5" s="2912"/>
      <c r="O5" s="2912"/>
      <c r="P5" s="3504"/>
      <c r="Q5" s="3449"/>
      <c r="R5" s="3427"/>
      <c r="S5" s="3428"/>
      <c r="T5" s="3427"/>
      <c r="U5" s="3428"/>
      <c r="V5" s="3455"/>
      <c r="W5" s="3455"/>
      <c r="X5" s="1507"/>
      <c r="Y5" s="3427"/>
      <c r="Z5" s="3428"/>
      <c r="AA5" s="3421"/>
      <c r="AB5" s="3455"/>
      <c r="AC5" s="3421"/>
    </row>
    <row r="6" spans="1:29" ht="15.75" thickBot="1">
      <c r="A6" s="366"/>
      <c r="B6" s="367"/>
      <c r="C6" s="3433" t="s">
        <v>2307</v>
      </c>
      <c r="D6" s="3434"/>
      <c r="E6" s="3436" t="s">
        <v>2307</v>
      </c>
      <c r="F6" s="3437"/>
      <c r="G6" s="3433" t="s">
        <v>2307</v>
      </c>
      <c r="H6" s="3434"/>
      <c r="I6" s="3433" t="s">
        <v>2307</v>
      </c>
      <c r="J6" s="3434"/>
      <c r="K6" s="567" t="s">
        <v>2308</v>
      </c>
      <c r="L6" s="2911"/>
      <c r="M6" s="2912"/>
      <c r="N6" s="2912"/>
      <c r="O6" s="2912"/>
      <c r="P6" s="3505"/>
      <c r="Q6" s="3451"/>
      <c r="R6" s="3427"/>
      <c r="S6" s="3428"/>
      <c r="T6" s="3452"/>
      <c r="U6" s="3453"/>
      <c r="V6" s="3455"/>
      <c r="W6" s="3455"/>
      <c r="X6" s="1507"/>
      <c r="Y6" s="3452"/>
      <c r="Z6" s="3453"/>
      <c r="AA6" s="3422"/>
      <c r="AB6" s="3455"/>
      <c r="AC6" s="3422"/>
    </row>
    <row r="7" spans="1:29" s="113" customFormat="1" ht="15.75" thickBot="1">
      <c r="A7" s="368" t="s">
        <v>2309</v>
      </c>
      <c r="B7" s="369"/>
      <c r="C7" s="370">
        <f>'数据-取费表'!B2</f>
        <v>44645</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23" t="s">
        <v>2310</v>
      </c>
      <c r="Q7" s="3457"/>
      <c r="R7" s="709" t="s">
        <v>17</v>
      </c>
      <c r="S7" s="710">
        <f t="shared" ref="S7:S15" si="0">F7</f>
        <v>0</v>
      </c>
      <c r="T7" s="709" t="s">
        <v>17</v>
      </c>
      <c r="U7" s="710">
        <f t="shared" ref="U7:U15" si="1">H7</f>
        <v>0</v>
      </c>
      <c r="V7" s="709" t="s">
        <v>17</v>
      </c>
      <c r="W7" s="710">
        <f t="shared" ref="W7:W15" si="2">J7</f>
        <v>0</v>
      </c>
      <c r="X7" s="711"/>
      <c r="Y7" s="3423" t="s">
        <v>2310</v>
      </c>
      <c r="Z7" s="3424"/>
      <c r="AA7" s="712" t="e">
        <f>D7/F7</f>
        <v>#DIV/0!</v>
      </c>
      <c r="AB7" s="712" t="e">
        <f>D7/H7</f>
        <v>#DIV/0!</v>
      </c>
      <c r="AC7" s="712"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23" t="s">
        <v>2313</v>
      </c>
      <c r="Q8" s="3424"/>
      <c r="R8" s="709" t="s">
        <v>17</v>
      </c>
      <c r="S8" s="710">
        <f t="shared" si="0"/>
        <v>0</v>
      </c>
      <c r="T8" s="709" t="s">
        <v>17</v>
      </c>
      <c r="U8" s="710">
        <f t="shared" si="1"/>
        <v>0</v>
      </c>
      <c r="V8" s="709" t="s">
        <v>17</v>
      </c>
      <c r="W8" s="710">
        <f t="shared" si="2"/>
        <v>0</v>
      </c>
      <c r="X8" s="711"/>
      <c r="Y8" s="3423" t="s">
        <v>2313</v>
      </c>
      <c r="Z8" s="3424"/>
      <c r="AA8" s="712" t="e">
        <f t="shared" ref="AA8:AA46" si="3">D8/F8</f>
        <v>#DIV/0!</v>
      </c>
      <c r="AB8" s="712" t="e">
        <f t="shared" ref="AB8:AB46" si="4">D8/H8</f>
        <v>#DIV/0!</v>
      </c>
      <c r="AC8" s="712"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38" t="s">
        <v>2316</v>
      </c>
      <c r="Q9" s="1495" t="str">
        <f t="shared" ref="Q9:Q15" si="6">B9</f>
        <v>用途</v>
      </c>
      <c r="R9" s="709" t="s">
        <v>17</v>
      </c>
      <c r="S9" s="710">
        <f t="shared" si="0"/>
        <v>100</v>
      </c>
      <c r="T9" s="709" t="s">
        <v>17</v>
      </c>
      <c r="U9" s="710">
        <f t="shared" si="1"/>
        <v>100</v>
      </c>
      <c r="V9" s="709" t="s">
        <v>17</v>
      </c>
      <c r="W9" s="710">
        <f t="shared" si="2"/>
        <v>100</v>
      </c>
      <c r="X9" s="711"/>
      <c r="Y9" s="3393" t="s">
        <v>2317</v>
      </c>
      <c r="Z9" s="55" t="str">
        <f t="shared" ref="Z9:Z15" si="7">Q9</f>
        <v>用途</v>
      </c>
      <c r="AA9" s="712">
        <f t="shared" si="3"/>
        <v>1</v>
      </c>
      <c r="AB9" s="712">
        <f t="shared" si="4"/>
        <v>1</v>
      </c>
      <c r="AC9" s="712">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38"/>
      <c r="Q10" s="1495"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712">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38"/>
      <c r="Q11" s="1495" t="str">
        <f t="shared" si="6"/>
        <v>容积率</v>
      </c>
      <c r="R11" s="709" t="s">
        <v>17</v>
      </c>
      <c r="S11" s="710" t="e">
        <f t="shared" si="0"/>
        <v>#N/A</v>
      </c>
      <c r="T11" s="709" t="s">
        <v>17</v>
      </c>
      <c r="U11" s="710" t="e">
        <f t="shared" si="1"/>
        <v>#N/A</v>
      </c>
      <c r="V11" s="709" t="s">
        <v>17</v>
      </c>
      <c r="W11" s="710" t="e">
        <f t="shared" si="2"/>
        <v>#N/A</v>
      </c>
      <c r="X11" s="711"/>
      <c r="Y11" s="3393"/>
      <c r="Z11" s="55" t="str">
        <f t="shared" si="7"/>
        <v>容积率</v>
      </c>
      <c r="AA11" s="712" t="e">
        <f t="shared" si="3"/>
        <v>#N/A</v>
      </c>
      <c r="AB11" s="712" t="e">
        <f t="shared" si="4"/>
        <v>#N/A</v>
      </c>
      <c r="AC11" s="712" t="e">
        <f t="shared" si="5"/>
        <v>#N/A</v>
      </c>
    </row>
    <row r="12" spans="1:29" s="113" customFormat="1" ht="15">
      <c r="A12" s="390"/>
      <c r="B12" s="2047">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38"/>
      <c r="Q12" s="1495">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712">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38"/>
      <c r="Q13" s="1495">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712">
        <f t="shared" si="5"/>
        <v>1</v>
      </c>
    </row>
    <row r="14" spans="1:29" ht="15.75" thickBot="1">
      <c r="A14" s="395"/>
      <c r="B14" s="2049">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38"/>
      <c r="Q14" s="1495">
        <f t="shared" si="6"/>
        <v>111</v>
      </c>
      <c r="R14" s="709" t="s">
        <v>17</v>
      </c>
      <c r="S14" s="710">
        <f t="shared" si="0"/>
        <v>100</v>
      </c>
      <c r="T14" s="709" t="s">
        <v>17</v>
      </c>
      <c r="U14" s="710">
        <f t="shared" si="1"/>
        <v>100</v>
      </c>
      <c r="V14" s="709" t="s">
        <v>17</v>
      </c>
      <c r="W14" s="710">
        <f t="shared" si="2"/>
        <v>100</v>
      </c>
      <c r="X14" s="711"/>
      <c r="Y14" s="3393"/>
      <c r="Z14" s="55">
        <f t="shared" si="7"/>
        <v>111</v>
      </c>
      <c r="AA14" s="712">
        <f t="shared" si="3"/>
        <v>1</v>
      </c>
      <c r="AB14" s="712">
        <f t="shared" si="4"/>
        <v>1</v>
      </c>
      <c r="AC14" s="712">
        <f t="shared" si="5"/>
        <v>1</v>
      </c>
    </row>
    <row r="15" spans="1:29" ht="71.25">
      <c r="A15" s="399" t="s">
        <v>2320</v>
      </c>
      <c r="B15" s="65" t="s">
        <v>2414</v>
      </c>
      <c r="C15" s="205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58" t="s">
        <v>2321</v>
      </c>
      <c r="Q15" s="1504" t="str">
        <f t="shared" si="6"/>
        <v>商业繁华度</v>
      </c>
      <c r="R15" s="713" t="s">
        <v>17</v>
      </c>
      <c r="S15" s="714">
        <f t="shared" si="0"/>
        <v>100</v>
      </c>
      <c r="T15" s="713" t="s">
        <v>17</v>
      </c>
      <c r="U15" s="714">
        <f t="shared" si="1"/>
        <v>100</v>
      </c>
      <c r="V15" s="713" t="s">
        <v>17</v>
      </c>
      <c r="W15" s="714">
        <f t="shared" si="2"/>
        <v>100</v>
      </c>
      <c r="X15" s="1507"/>
      <c r="Y15" s="3460" t="s">
        <v>2321</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8"/>
      <c r="M16" s="2912"/>
      <c r="N16" s="2912"/>
      <c r="O16" s="2912"/>
      <c r="P16" s="3459"/>
      <c r="Q16" s="1504"/>
      <c r="R16" s="713"/>
      <c r="S16" s="714"/>
      <c r="T16" s="713"/>
      <c r="U16" s="714"/>
      <c r="V16" s="713"/>
      <c r="W16" s="714"/>
      <c r="X16" s="1507"/>
      <c r="Y16" s="3461"/>
      <c r="Z16" s="1508"/>
      <c r="AA16" s="1505">
        <v>1</v>
      </c>
      <c r="AB16" s="1505">
        <v>1</v>
      </c>
      <c r="AC16" s="1505">
        <v>1</v>
      </c>
    </row>
    <row r="17" spans="1:29" ht="85.5">
      <c r="A17" s="387"/>
      <c r="B17" s="410" t="s">
        <v>1885</v>
      </c>
      <c r="C17" s="205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59"/>
      <c r="Q17" s="1504" t="str">
        <f>B17</f>
        <v>交通便捷度</v>
      </c>
      <c r="R17" s="713" t="s">
        <v>17</v>
      </c>
      <c r="S17" s="714">
        <f>F17</f>
        <v>100</v>
      </c>
      <c r="T17" s="713" t="s">
        <v>17</v>
      </c>
      <c r="U17" s="714">
        <f>H17</f>
        <v>100</v>
      </c>
      <c r="V17" s="713" t="s">
        <v>17</v>
      </c>
      <c r="W17" s="714">
        <f>J17</f>
        <v>100</v>
      </c>
      <c r="X17" s="1507"/>
      <c r="Y17" s="3461"/>
      <c r="Z17" s="1508" t="str">
        <f>Q17</f>
        <v>交通便捷度</v>
      </c>
      <c r="AA17" s="1505">
        <f t="shared" si="3"/>
        <v>1</v>
      </c>
      <c r="AB17" s="1505">
        <f t="shared" si="4"/>
        <v>1</v>
      </c>
      <c r="AC17" s="1505">
        <f t="shared" si="5"/>
        <v>1</v>
      </c>
    </row>
    <row r="18" spans="1:29" ht="15">
      <c r="A18" s="387"/>
      <c r="B18" s="415"/>
      <c r="C18" s="2055"/>
      <c r="D18" s="409"/>
      <c r="E18" s="2057"/>
      <c r="F18" s="412"/>
      <c r="G18" s="2056"/>
      <c r="H18" s="407"/>
      <c r="I18" s="2057"/>
      <c r="J18" s="407"/>
      <c r="K18" s="572"/>
      <c r="L18" s="2918"/>
      <c r="M18" s="2912"/>
      <c r="N18" s="2912"/>
      <c r="O18" s="2912"/>
      <c r="P18" s="3459"/>
      <c r="Q18" s="1504"/>
      <c r="R18" s="713"/>
      <c r="S18" s="714"/>
      <c r="T18" s="713"/>
      <c r="U18" s="714"/>
      <c r="V18" s="713"/>
      <c r="W18" s="714"/>
      <c r="X18" s="1507"/>
      <c r="Y18" s="3461"/>
      <c r="Z18" s="1508"/>
      <c r="AA18" s="1505">
        <v>1</v>
      </c>
      <c r="AB18" s="1505">
        <v>1</v>
      </c>
      <c r="AC18" s="1505">
        <v>1</v>
      </c>
    </row>
    <row r="19" spans="1:29" ht="42.75">
      <c r="A19" s="387"/>
      <c r="B19" s="410" t="s">
        <v>2415</v>
      </c>
      <c r="C19" s="205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59"/>
      <c r="Q19" s="1504" t="str">
        <f>B19</f>
        <v>公共配套设施</v>
      </c>
      <c r="R19" s="713" t="s">
        <v>17</v>
      </c>
      <c r="S19" s="714">
        <f>F19</f>
        <v>100</v>
      </c>
      <c r="T19" s="713" t="s">
        <v>17</v>
      </c>
      <c r="U19" s="714">
        <f>H19</f>
        <v>100</v>
      </c>
      <c r="V19" s="713" t="s">
        <v>17</v>
      </c>
      <c r="W19" s="714">
        <f>J19</f>
        <v>100</v>
      </c>
      <c r="X19" s="1507"/>
      <c r="Y19" s="3461"/>
      <c r="Z19" s="1508" t="str">
        <f>Q19</f>
        <v>公共配套设施</v>
      </c>
      <c r="AA19" s="1505">
        <f t="shared" si="3"/>
        <v>1</v>
      </c>
      <c r="AB19" s="1505">
        <f t="shared" si="4"/>
        <v>1</v>
      </c>
      <c r="AC19" s="1505">
        <f t="shared" si="5"/>
        <v>1</v>
      </c>
    </row>
    <row r="20" spans="1:29" ht="15">
      <c r="A20" s="387"/>
      <c r="B20" s="415"/>
      <c r="C20" s="406"/>
      <c r="D20" s="407"/>
      <c r="E20" s="2052"/>
      <c r="F20" s="408"/>
      <c r="G20" s="2051"/>
      <c r="H20" s="407"/>
      <c r="I20" s="2052"/>
      <c r="J20" s="407"/>
      <c r="K20" s="572"/>
      <c r="L20" s="2918"/>
      <c r="M20" s="2912"/>
      <c r="N20" s="2912"/>
      <c r="O20" s="2912"/>
      <c r="P20" s="3459"/>
      <c r="Q20" s="1504"/>
      <c r="R20" s="713"/>
      <c r="S20" s="714"/>
      <c r="T20" s="713"/>
      <c r="U20" s="714"/>
      <c r="V20" s="713"/>
      <c r="W20" s="714"/>
      <c r="X20" s="1507"/>
      <c r="Y20" s="3461"/>
      <c r="Z20" s="1508"/>
      <c r="AA20" s="1505">
        <v>1</v>
      </c>
      <c r="AB20" s="1505">
        <v>1</v>
      </c>
      <c r="AC20" s="1505">
        <v>1</v>
      </c>
    </row>
    <row r="21" spans="1:29" ht="28.5">
      <c r="A21" s="387"/>
      <c r="B21" s="1263" t="s">
        <v>2416</v>
      </c>
      <c r="C21" s="205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59"/>
      <c r="Q21" s="1504" t="str">
        <f>B21</f>
        <v>基础设施水平</v>
      </c>
      <c r="R21" s="713" t="s">
        <v>17</v>
      </c>
      <c r="S21" s="714">
        <f>F21</f>
        <v>100</v>
      </c>
      <c r="T21" s="713" t="s">
        <v>17</v>
      </c>
      <c r="U21" s="714">
        <f>H21</f>
        <v>100</v>
      </c>
      <c r="V21" s="713" t="s">
        <v>17</v>
      </c>
      <c r="W21" s="714">
        <f>J21</f>
        <v>100</v>
      </c>
      <c r="X21" s="1507"/>
      <c r="Y21" s="3461"/>
      <c r="Z21" s="1508" t="str">
        <f>Q21</f>
        <v>基础设施水平</v>
      </c>
      <c r="AA21" s="1505">
        <f t="shared" ref="AA21" si="8">D21/F21</f>
        <v>1</v>
      </c>
      <c r="AB21" s="1505">
        <f t="shared" ref="AB21" si="9">D21/H21</f>
        <v>1</v>
      </c>
      <c r="AC21" s="1505">
        <f t="shared" ref="AC21" si="10">D21/J21</f>
        <v>1</v>
      </c>
    </row>
    <row r="22" spans="1:29" ht="15">
      <c r="A22" s="387"/>
      <c r="B22" s="1263"/>
      <c r="C22" s="2055"/>
      <c r="D22" s="407"/>
      <c r="E22" s="406"/>
      <c r="F22" s="408"/>
      <c r="G22" s="406"/>
      <c r="H22" s="407"/>
      <c r="I22" s="406"/>
      <c r="J22" s="407"/>
      <c r="K22" s="1262"/>
      <c r="L22" s="2918"/>
      <c r="M22" s="2912"/>
      <c r="N22" s="2912"/>
      <c r="O22" s="2912"/>
      <c r="P22" s="3459"/>
      <c r="Q22" s="1504"/>
      <c r="R22" s="713"/>
      <c r="S22" s="714"/>
      <c r="T22" s="713"/>
      <c r="U22" s="714"/>
      <c r="V22" s="713"/>
      <c r="W22" s="714"/>
      <c r="X22" s="1507"/>
      <c r="Y22" s="3461"/>
      <c r="Z22" s="1508"/>
      <c r="AA22" s="1505">
        <v>1</v>
      </c>
      <c r="AB22" s="1505">
        <v>1</v>
      </c>
      <c r="AC22" s="1505">
        <v>1</v>
      </c>
    </row>
    <row r="23" spans="1:29" ht="57">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59"/>
      <c r="Q23" s="1504" t="str">
        <f>B23</f>
        <v>自然及人文环境</v>
      </c>
      <c r="R23" s="713" t="s">
        <v>17</v>
      </c>
      <c r="S23" s="714">
        <f>F23</f>
        <v>100</v>
      </c>
      <c r="T23" s="713" t="s">
        <v>17</v>
      </c>
      <c r="U23" s="714">
        <f>H23</f>
        <v>100</v>
      </c>
      <c r="V23" s="713" t="s">
        <v>17</v>
      </c>
      <c r="W23" s="714">
        <f>J23</f>
        <v>100</v>
      </c>
      <c r="X23" s="1507"/>
      <c r="Y23" s="3461"/>
      <c r="Z23" s="1508" t="str">
        <f>Q23</f>
        <v>自然及人文环境</v>
      </c>
      <c r="AA23" s="1505">
        <f t="shared" si="3"/>
        <v>1</v>
      </c>
      <c r="AB23" s="1505">
        <f t="shared" si="4"/>
        <v>1</v>
      </c>
      <c r="AC23" s="1505">
        <f t="shared" si="5"/>
        <v>1</v>
      </c>
    </row>
    <row r="24" spans="1:29" ht="15">
      <c r="A24" s="387"/>
      <c r="B24" s="415"/>
      <c r="C24" s="406"/>
      <c r="D24" s="407"/>
      <c r="E24" s="2052"/>
      <c r="F24" s="408"/>
      <c r="G24" s="2051"/>
      <c r="H24" s="407"/>
      <c r="I24" s="2052"/>
      <c r="J24" s="407"/>
      <c r="K24" s="572"/>
      <c r="L24" s="2918"/>
      <c r="M24" s="2912"/>
      <c r="N24" s="2912"/>
      <c r="O24" s="2912"/>
      <c r="P24" s="3459"/>
      <c r="Q24" s="1504"/>
      <c r="R24" s="713"/>
      <c r="S24" s="714"/>
      <c r="T24" s="713"/>
      <c r="U24" s="714"/>
      <c r="V24" s="713"/>
      <c r="W24" s="714"/>
      <c r="X24" s="1507"/>
      <c r="Y24" s="3461"/>
      <c r="Z24" s="1508"/>
      <c r="AA24" s="1505">
        <v>1</v>
      </c>
      <c r="AB24" s="1505">
        <v>1</v>
      </c>
      <c r="AC24" s="1505">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59"/>
      <c r="Q25" s="1504" t="str">
        <f t="shared" ref="Q25:Q46" si="11">B25</f>
        <v>临街状况</v>
      </c>
      <c r="R25" s="713" t="s">
        <v>17</v>
      </c>
      <c r="S25" s="714">
        <f>F25</f>
        <v>100</v>
      </c>
      <c r="T25" s="713" t="s">
        <v>17</v>
      </c>
      <c r="U25" s="714">
        <f>H25</f>
        <v>100</v>
      </c>
      <c r="V25" s="713" t="s">
        <v>17</v>
      </c>
      <c r="W25" s="714">
        <f>J25</f>
        <v>100</v>
      </c>
      <c r="X25" s="1507"/>
      <c r="Y25" s="3461"/>
      <c r="Z25" s="1508" t="str">
        <f>Q25</f>
        <v>临街状况</v>
      </c>
      <c r="AA25" s="1505">
        <f t="shared" si="3"/>
        <v>1</v>
      </c>
      <c r="AB25" s="1505">
        <f t="shared" si="4"/>
        <v>1</v>
      </c>
      <c r="AC25" s="1505">
        <f t="shared" si="5"/>
        <v>1</v>
      </c>
    </row>
    <row r="26" spans="1:29" ht="15">
      <c r="A26" s="387"/>
      <c r="B26" s="1265"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59"/>
      <c r="Q26" s="1504" t="str">
        <f t="shared" si="11"/>
        <v>平面位置/可视性</v>
      </c>
      <c r="R26" s="713" t="s">
        <v>17</v>
      </c>
      <c r="S26" s="714">
        <f>F26</f>
        <v>100</v>
      </c>
      <c r="T26" s="713" t="s">
        <v>17</v>
      </c>
      <c r="U26" s="714">
        <f>H26</f>
        <v>100</v>
      </c>
      <c r="V26" s="713" t="s">
        <v>17</v>
      </c>
      <c r="W26" s="714">
        <f>J26</f>
        <v>100</v>
      </c>
      <c r="X26" s="1507"/>
      <c r="Y26" s="3461"/>
      <c r="Z26" s="1508" t="str">
        <f>Q26</f>
        <v>平面位置/可视性</v>
      </c>
      <c r="AA26" s="1505">
        <f t="shared" si="3"/>
        <v>1</v>
      </c>
      <c r="AB26" s="1505">
        <f t="shared" si="4"/>
        <v>1</v>
      </c>
      <c r="AC26" s="1505">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3"/>
      <c r="M27" s="2914"/>
      <c r="N27" s="2914"/>
      <c r="O27" s="2914"/>
      <c r="P27" s="3459"/>
      <c r="Q27" s="1495" t="str">
        <f t="shared" si="11"/>
        <v>人流量</v>
      </c>
      <c r="R27" s="709" t="s">
        <v>17</v>
      </c>
      <c r="S27" s="710">
        <f>F27</f>
        <v>100</v>
      </c>
      <c r="T27" s="709" t="s">
        <v>17</v>
      </c>
      <c r="U27" s="710">
        <f>H27</f>
        <v>100</v>
      </c>
      <c r="V27" s="709" t="s">
        <v>17</v>
      </c>
      <c r="W27" s="710">
        <f>J27</f>
        <v>100</v>
      </c>
      <c r="X27" s="711"/>
      <c r="Y27" s="3461"/>
      <c r="Z27" s="55" t="str">
        <f>Q27</f>
        <v>人流量</v>
      </c>
      <c r="AA27" s="1505">
        <f>D27/F27</f>
        <v>1</v>
      </c>
      <c r="AB27" s="1505">
        <f>D27/H27</f>
        <v>1</v>
      </c>
      <c r="AC27" s="1505">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59"/>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461"/>
      <c r="Z28" s="1508" t="str">
        <f t="shared" ref="Z28:Z46" si="15">Q28</f>
        <v>楼层</v>
      </c>
      <c r="AA28" s="1505">
        <f t="shared" si="3"/>
        <v>1</v>
      </c>
      <c r="AB28" s="1505">
        <f t="shared" si="4"/>
        <v>1</v>
      </c>
      <c r="AC28" s="1505">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59"/>
      <c r="Q29" s="1504">
        <f t="shared" si="11"/>
        <v>111</v>
      </c>
      <c r="R29" s="713" t="s">
        <v>17</v>
      </c>
      <c r="S29" s="714">
        <f t="shared" si="12"/>
        <v>100</v>
      </c>
      <c r="T29" s="713" t="s">
        <v>17</v>
      </c>
      <c r="U29" s="714">
        <f t="shared" si="13"/>
        <v>100</v>
      </c>
      <c r="V29" s="713" t="s">
        <v>17</v>
      </c>
      <c r="W29" s="714">
        <f t="shared" si="14"/>
        <v>100</v>
      </c>
      <c r="X29" s="1507"/>
      <c r="Y29" s="3461"/>
      <c r="Z29" s="1508">
        <f t="shared" si="15"/>
        <v>111</v>
      </c>
      <c r="AA29" s="1505">
        <f t="shared" si="3"/>
        <v>1</v>
      </c>
      <c r="AB29" s="1505">
        <f t="shared" si="4"/>
        <v>1</v>
      </c>
      <c r="AC29" s="1505">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59"/>
      <c r="Q30" s="1504">
        <f t="shared" si="11"/>
        <v>111</v>
      </c>
      <c r="R30" s="713" t="s">
        <v>17</v>
      </c>
      <c r="S30" s="714">
        <f t="shared" si="12"/>
        <v>100</v>
      </c>
      <c r="T30" s="713" t="s">
        <v>17</v>
      </c>
      <c r="U30" s="714">
        <f t="shared" si="13"/>
        <v>100</v>
      </c>
      <c r="V30" s="713" t="s">
        <v>17</v>
      </c>
      <c r="W30" s="714">
        <f t="shared" si="14"/>
        <v>100</v>
      </c>
      <c r="X30" s="1507"/>
      <c r="Y30" s="3461"/>
      <c r="Z30" s="1508">
        <f t="shared" si="15"/>
        <v>111</v>
      </c>
      <c r="AA30" s="1505">
        <f t="shared" si="3"/>
        <v>1</v>
      </c>
      <c r="AB30" s="1505">
        <f t="shared" si="4"/>
        <v>1</v>
      </c>
      <c r="AC30" s="1505">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59"/>
      <c r="Q31" s="1504">
        <f t="shared" si="11"/>
        <v>111</v>
      </c>
      <c r="R31" s="713" t="s">
        <v>17</v>
      </c>
      <c r="S31" s="714">
        <f t="shared" si="12"/>
        <v>100</v>
      </c>
      <c r="T31" s="713" t="s">
        <v>17</v>
      </c>
      <c r="U31" s="714">
        <f t="shared" si="13"/>
        <v>100</v>
      </c>
      <c r="V31" s="713" t="s">
        <v>17</v>
      </c>
      <c r="W31" s="714">
        <f t="shared" si="14"/>
        <v>100</v>
      </c>
      <c r="X31" s="1507"/>
      <c r="Y31" s="3461"/>
      <c r="Z31" s="1508">
        <f t="shared" si="15"/>
        <v>111</v>
      </c>
      <c r="AA31" s="1505">
        <f t="shared" si="3"/>
        <v>1</v>
      </c>
      <c r="AB31" s="1505">
        <f t="shared" si="4"/>
        <v>1</v>
      </c>
      <c r="AC31" s="1505">
        <f t="shared" si="5"/>
        <v>1</v>
      </c>
    </row>
    <row r="32" spans="1:29" ht="15">
      <c r="A32" s="399" t="s">
        <v>2324</v>
      </c>
      <c r="B32" s="67" t="s">
        <v>2421</v>
      </c>
      <c r="C32" s="2064"/>
      <c r="D32" s="426">
        <v>100</v>
      </c>
      <c r="E32" s="2064"/>
      <c r="F32" s="420">
        <f>SUMIF(100:100,E32,101:101)-SUMIF(100:100,C32,101:101)+100</f>
        <v>100</v>
      </c>
      <c r="G32" s="2064"/>
      <c r="H32" s="394">
        <f>SUMIF(100:100,G32,101:101)-SUMIF(100:100,C32,101:101)+100</f>
        <v>100</v>
      </c>
      <c r="I32" s="2064"/>
      <c r="J32" s="426">
        <f>SUMIF(100:100,I32,101:101)-SUMIF(100:100,C32,101:101)+100</f>
        <v>100</v>
      </c>
      <c r="K32" s="569"/>
      <c r="L32" s="2918"/>
      <c r="M32" s="2912"/>
      <c r="N32" s="2912"/>
      <c r="O32" s="2912"/>
      <c r="P32" s="3462" t="s">
        <v>2326</v>
      </c>
      <c r="Q32" s="1504" t="str">
        <f t="shared" si="11"/>
        <v>商业类型</v>
      </c>
      <c r="R32" s="713" t="s">
        <v>17</v>
      </c>
      <c r="S32" s="714">
        <f t="shared" si="12"/>
        <v>100</v>
      </c>
      <c r="T32" s="713" t="s">
        <v>17</v>
      </c>
      <c r="U32" s="714">
        <f t="shared" si="13"/>
        <v>100</v>
      </c>
      <c r="V32" s="713" t="s">
        <v>17</v>
      </c>
      <c r="W32" s="714">
        <f t="shared" si="14"/>
        <v>100</v>
      </c>
      <c r="X32" s="1507"/>
      <c r="Y32" s="3465" t="s">
        <v>2326</v>
      </c>
      <c r="Z32" s="1508" t="str">
        <f t="shared" si="15"/>
        <v>商业类型</v>
      </c>
      <c r="AA32" s="1505">
        <f t="shared" si="3"/>
        <v>1</v>
      </c>
      <c r="AB32" s="1505">
        <f t="shared" si="4"/>
        <v>1</v>
      </c>
      <c r="AC32" s="1505">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463"/>
      <c r="Q33" s="715" t="str">
        <f t="shared" si="11"/>
        <v>项目建筑规模</v>
      </c>
      <c r="R33" s="716" t="s">
        <v>17</v>
      </c>
      <c r="S33" s="717" t="e">
        <f t="shared" si="12"/>
        <v>#N/A</v>
      </c>
      <c r="T33" s="716" t="s">
        <v>17</v>
      </c>
      <c r="U33" s="717" t="e">
        <f t="shared" si="13"/>
        <v>#N/A</v>
      </c>
      <c r="V33" s="716" t="s">
        <v>17</v>
      </c>
      <c r="W33" s="717" t="e">
        <f t="shared" si="14"/>
        <v>#N/A</v>
      </c>
      <c r="X33" s="718"/>
      <c r="Y33" s="3465"/>
      <c r="Z33" s="719" t="str">
        <f t="shared" si="15"/>
        <v>项目建筑规模</v>
      </c>
      <c r="AA33" s="1505" t="e">
        <f t="shared" si="3"/>
        <v>#N/A</v>
      </c>
      <c r="AB33" s="1505" t="e">
        <f t="shared" si="4"/>
        <v>#N/A</v>
      </c>
      <c r="AC33" s="1505"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8"/>
      <c r="M34" s="2912"/>
      <c r="N34" s="2912"/>
      <c r="O34" s="2912"/>
      <c r="P34" s="3463"/>
      <c r="Q34" s="1504" t="str">
        <f t="shared" si="11"/>
        <v>建筑结构</v>
      </c>
      <c r="R34" s="713" t="s">
        <v>17</v>
      </c>
      <c r="S34" s="714">
        <f t="shared" si="12"/>
        <v>100</v>
      </c>
      <c r="T34" s="713" t="s">
        <v>17</v>
      </c>
      <c r="U34" s="714">
        <f t="shared" si="13"/>
        <v>100</v>
      </c>
      <c r="V34" s="713" t="s">
        <v>17</v>
      </c>
      <c r="W34" s="714">
        <f t="shared" si="14"/>
        <v>100</v>
      </c>
      <c r="X34" s="1507"/>
      <c r="Y34" s="3465"/>
      <c r="Z34" s="1508" t="str">
        <f t="shared" si="15"/>
        <v>建筑结构</v>
      </c>
      <c r="AA34" s="1505">
        <f t="shared" si="3"/>
        <v>1</v>
      </c>
      <c r="AB34" s="1505">
        <f t="shared" si="4"/>
        <v>1</v>
      </c>
      <c r="AC34" s="1505">
        <f t="shared" si="5"/>
        <v>1</v>
      </c>
    </row>
    <row r="35" spans="1:29" ht="15">
      <c r="A35" s="431"/>
      <c r="B35" s="381" t="s">
        <v>2422</v>
      </c>
      <c r="C35" s="2060"/>
      <c r="D35" s="394">
        <v>100</v>
      </c>
      <c r="E35" s="2060"/>
      <c r="F35" s="420">
        <f>SUMIF(107:107,E35,108:108)-SUMIF(107:107,C35,108:108)+100</f>
        <v>100</v>
      </c>
      <c r="G35" s="2060"/>
      <c r="H35" s="394">
        <f>SUMIF(107:107,G35,108:108)-SUMIF(107:107,C35,108:108)+100</f>
        <v>100</v>
      </c>
      <c r="I35" s="2060"/>
      <c r="J35" s="394">
        <f>SUMIF(107:107,I35,108:108)-SUMIF(107:107,C35,108:108)+100</f>
        <v>100</v>
      </c>
      <c r="K35" s="569"/>
      <c r="L35" s="2918"/>
      <c r="M35" s="2912"/>
      <c r="N35" s="2912"/>
      <c r="O35" s="2912"/>
      <c r="P35" s="3463"/>
      <c r="Q35" s="1504" t="str">
        <f t="shared" si="11"/>
        <v>公共部分装修</v>
      </c>
      <c r="R35" s="713" t="s">
        <v>17</v>
      </c>
      <c r="S35" s="714">
        <f t="shared" si="12"/>
        <v>100</v>
      </c>
      <c r="T35" s="713" t="s">
        <v>17</v>
      </c>
      <c r="U35" s="714">
        <f t="shared" si="13"/>
        <v>100</v>
      </c>
      <c r="V35" s="713" t="s">
        <v>17</v>
      </c>
      <c r="W35" s="714">
        <f t="shared" si="14"/>
        <v>100</v>
      </c>
      <c r="X35" s="1507"/>
      <c r="Y35" s="3465"/>
      <c r="Z35" s="1508" t="str">
        <f t="shared" si="15"/>
        <v>公共部分装修</v>
      </c>
      <c r="AA35" s="1505">
        <f t="shared" si="3"/>
        <v>1</v>
      </c>
      <c r="AB35" s="1505">
        <f t="shared" si="4"/>
        <v>1</v>
      </c>
      <c r="AC35" s="1505">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463"/>
      <c r="Q36" s="1504" t="str">
        <f t="shared" si="11"/>
        <v>成新度</v>
      </c>
      <c r="R36" s="713" t="s">
        <v>17</v>
      </c>
      <c r="S36" s="714" t="e">
        <f t="shared" si="12"/>
        <v>#N/A</v>
      </c>
      <c r="T36" s="713" t="s">
        <v>17</v>
      </c>
      <c r="U36" s="714" t="e">
        <f t="shared" si="13"/>
        <v>#N/A</v>
      </c>
      <c r="V36" s="713" t="s">
        <v>17</v>
      </c>
      <c r="W36" s="714" t="e">
        <f t="shared" si="14"/>
        <v>#N/A</v>
      </c>
      <c r="X36" s="1507"/>
      <c r="Y36" s="3465"/>
      <c r="Z36" s="1508" t="str">
        <f t="shared" si="15"/>
        <v>成新度</v>
      </c>
      <c r="AA36" s="1505" t="e">
        <f t="shared" si="3"/>
        <v>#N/A</v>
      </c>
      <c r="AB36" s="1505" t="e">
        <f t="shared" si="4"/>
        <v>#N/A</v>
      </c>
      <c r="AC36" s="1505" t="e">
        <f t="shared" si="5"/>
        <v>#N/A</v>
      </c>
    </row>
    <row r="37" spans="1:29" s="113" customFormat="1" ht="15">
      <c r="A37" s="432"/>
      <c r="B37" s="381" t="s">
        <v>2424</v>
      </c>
      <c r="C37" s="2060"/>
      <c r="D37" s="132">
        <v>100</v>
      </c>
      <c r="E37" s="2060"/>
      <c r="F37" s="420">
        <f>SUMIF(112:112,E37,113:113)-SUMIF(112:112,C37,113:113)+100</f>
        <v>100</v>
      </c>
      <c r="G37" s="2060"/>
      <c r="H37" s="394">
        <f>SUMIF(112:112,G37,113:113)-SUMIF(112:112,C37,113:113)+100</f>
        <v>100</v>
      </c>
      <c r="I37" s="2060"/>
      <c r="J37" s="394">
        <f>SUMIF(112:112,I37,113:113)-SUMIF(112:112,C37,113:113)+100</f>
        <v>100</v>
      </c>
      <c r="K37" s="569"/>
      <c r="L37" s="2913"/>
      <c r="M37" s="2914"/>
      <c r="N37" s="2914"/>
      <c r="O37" s="2914"/>
      <c r="P37" s="3463"/>
      <c r="Q37" s="1495" t="str">
        <f t="shared" si="11"/>
        <v>市政基础设施</v>
      </c>
      <c r="R37" s="709" t="s">
        <v>17</v>
      </c>
      <c r="S37" s="710">
        <f t="shared" si="12"/>
        <v>100</v>
      </c>
      <c r="T37" s="709" t="s">
        <v>17</v>
      </c>
      <c r="U37" s="710">
        <f t="shared" si="13"/>
        <v>100</v>
      </c>
      <c r="V37" s="709" t="s">
        <v>17</v>
      </c>
      <c r="W37" s="710">
        <f t="shared" si="14"/>
        <v>100</v>
      </c>
      <c r="X37" s="711"/>
      <c r="Y37" s="3465"/>
      <c r="Z37" s="55" t="str">
        <f t="shared" si="15"/>
        <v>市政基础设施</v>
      </c>
      <c r="AA37" s="712">
        <f t="shared" si="3"/>
        <v>1</v>
      </c>
      <c r="AB37" s="712">
        <f t="shared" si="4"/>
        <v>1</v>
      </c>
      <c r="AC37" s="712">
        <f t="shared" si="5"/>
        <v>1</v>
      </c>
    </row>
    <row r="38" spans="1:29" ht="15">
      <c r="A38" s="431"/>
      <c r="B38" s="381" t="s">
        <v>2425</v>
      </c>
      <c r="C38" s="2060"/>
      <c r="D38" s="394">
        <v>100</v>
      </c>
      <c r="E38" s="2060"/>
      <c r="F38" s="420">
        <f>SUMIF(114:114,E38,115:115)-SUMIF(114:114,C38,115:115)+100</f>
        <v>100</v>
      </c>
      <c r="G38" s="2060"/>
      <c r="H38" s="394">
        <f>SUMIF(114:114,G38,115:115)-SUMIF(114:114,C38,115:115)+100</f>
        <v>100</v>
      </c>
      <c r="I38" s="2060"/>
      <c r="J38" s="394">
        <f>SUMIF(114:114,I38,115:115)-SUMIF(114:114,C38,115:115)+100</f>
        <v>100</v>
      </c>
      <c r="K38" s="569"/>
      <c r="L38" s="2918"/>
      <c r="M38" s="2912"/>
      <c r="N38" s="2912"/>
      <c r="O38" s="2912"/>
      <c r="P38" s="3463" t="s">
        <v>2326</v>
      </c>
      <c r="Q38" s="1504" t="str">
        <f t="shared" si="11"/>
        <v>业态</v>
      </c>
      <c r="R38" s="713" t="s">
        <v>17</v>
      </c>
      <c r="S38" s="714">
        <f t="shared" si="12"/>
        <v>100</v>
      </c>
      <c r="T38" s="713" t="s">
        <v>17</v>
      </c>
      <c r="U38" s="714">
        <f t="shared" si="13"/>
        <v>100</v>
      </c>
      <c r="V38" s="713" t="s">
        <v>17</v>
      </c>
      <c r="W38" s="714">
        <f t="shared" si="14"/>
        <v>100</v>
      </c>
      <c r="X38" s="1507"/>
      <c r="Y38" s="3465" t="s">
        <v>2326</v>
      </c>
      <c r="Z38" s="1508" t="str">
        <f t="shared" si="15"/>
        <v>业态</v>
      </c>
      <c r="AA38" s="1505">
        <f t="shared" si="3"/>
        <v>1</v>
      </c>
      <c r="AB38" s="1505">
        <f t="shared" si="4"/>
        <v>1</v>
      </c>
      <c r="AC38" s="1505">
        <f t="shared" si="5"/>
        <v>1</v>
      </c>
    </row>
    <row r="39" spans="1:29" ht="15">
      <c r="A39" s="431"/>
      <c r="B39" s="381" t="s">
        <v>2426</v>
      </c>
      <c r="C39" s="2060"/>
      <c r="D39" s="394">
        <v>100</v>
      </c>
      <c r="E39" s="2060"/>
      <c r="F39" s="420">
        <f>SUMIF(116:116,E39,117:117)-SUMIF(116:116,C39,117:117)+100</f>
        <v>100</v>
      </c>
      <c r="G39" s="2060"/>
      <c r="H39" s="394">
        <f>SUMIF(116:116,G39,117:117)-SUMIF(116:116,C39,117:117)+100</f>
        <v>100</v>
      </c>
      <c r="I39" s="2060"/>
      <c r="J39" s="394">
        <f>SUMIF(116:116,I39,117:117)-SUMIF(116:116,C39,117:117)+100</f>
        <v>100</v>
      </c>
      <c r="K39" s="569"/>
      <c r="L39" s="2918"/>
      <c r="M39" s="2912"/>
      <c r="N39" s="2912"/>
      <c r="O39" s="2912"/>
      <c r="P39" s="3463"/>
      <c r="Q39" s="1504" t="str">
        <f t="shared" si="11"/>
        <v>层高</v>
      </c>
      <c r="R39" s="713" t="s">
        <v>17</v>
      </c>
      <c r="S39" s="714">
        <f t="shared" si="12"/>
        <v>100</v>
      </c>
      <c r="T39" s="713" t="s">
        <v>17</v>
      </c>
      <c r="U39" s="714">
        <f t="shared" si="13"/>
        <v>100</v>
      </c>
      <c r="V39" s="713" t="s">
        <v>17</v>
      </c>
      <c r="W39" s="714">
        <f t="shared" si="14"/>
        <v>100</v>
      </c>
      <c r="X39" s="1507"/>
      <c r="Y39" s="3465"/>
      <c r="Z39" s="1508" t="str">
        <f t="shared" si="15"/>
        <v>层高</v>
      </c>
      <c r="AA39" s="1505">
        <f t="shared" si="3"/>
        <v>1</v>
      </c>
      <c r="AB39" s="1505">
        <f t="shared" si="4"/>
        <v>1</v>
      </c>
      <c r="AC39" s="1505">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463"/>
      <c r="Q40" s="1504" t="str">
        <f t="shared" si="11"/>
        <v>单套建筑面积</v>
      </c>
      <c r="R40" s="713" t="s">
        <v>17</v>
      </c>
      <c r="S40" s="714">
        <f t="shared" si="12"/>
        <v>100</v>
      </c>
      <c r="T40" s="713" t="s">
        <v>17</v>
      </c>
      <c r="U40" s="714">
        <f t="shared" si="13"/>
        <v>100</v>
      </c>
      <c r="V40" s="713" t="s">
        <v>17</v>
      </c>
      <c r="W40" s="714">
        <f t="shared" si="14"/>
        <v>100</v>
      </c>
      <c r="X40" s="1507"/>
      <c r="Y40" s="3465"/>
      <c r="Z40" s="1508" t="str">
        <f t="shared" si="15"/>
        <v>单套建筑面积</v>
      </c>
      <c r="AA40" s="1505">
        <f t="shared" si="3"/>
        <v>1</v>
      </c>
      <c r="AB40" s="1505">
        <f t="shared" si="4"/>
        <v>1</v>
      </c>
      <c r="AC40" s="1505">
        <f t="shared" si="5"/>
        <v>1</v>
      </c>
    </row>
    <row r="41" spans="1:29" s="430" customFormat="1" ht="15">
      <c r="A41" s="427"/>
      <c r="B41" s="1506"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463"/>
      <c r="Q41" s="715" t="str">
        <f t="shared" si="11"/>
        <v>进深比</v>
      </c>
      <c r="R41" s="716" t="s">
        <v>17</v>
      </c>
      <c r="S41" s="717">
        <f t="shared" si="12"/>
        <v>100</v>
      </c>
      <c r="T41" s="716" t="s">
        <v>17</v>
      </c>
      <c r="U41" s="717">
        <f t="shared" si="13"/>
        <v>100</v>
      </c>
      <c r="V41" s="716" t="s">
        <v>17</v>
      </c>
      <c r="W41" s="717">
        <f t="shared" si="14"/>
        <v>100</v>
      </c>
      <c r="X41" s="718"/>
      <c r="Y41" s="3465"/>
      <c r="Z41" s="719" t="str">
        <f t="shared" si="15"/>
        <v>进深比</v>
      </c>
      <c r="AA41" s="1505">
        <f t="shared" si="3"/>
        <v>1</v>
      </c>
      <c r="AB41" s="1505">
        <f t="shared" si="4"/>
        <v>1</v>
      </c>
      <c r="AC41" s="1505">
        <f t="shared" si="5"/>
        <v>1</v>
      </c>
    </row>
    <row r="42" spans="1:29" ht="15">
      <c r="A42" s="431"/>
      <c r="B42" s="381" t="s">
        <v>2429</v>
      </c>
      <c r="C42" s="2060"/>
      <c r="D42" s="394">
        <v>100</v>
      </c>
      <c r="E42" s="2060"/>
      <c r="F42" s="420">
        <f>SUMIF(122:122,E42,123:123)-SUMIF(122:122,C42,123:123)+100</f>
        <v>100</v>
      </c>
      <c r="G42" s="2060"/>
      <c r="H42" s="394">
        <f>SUMIF(122:122,G42,123:123)-SUMIF(122:122,C42,123:123)+100</f>
        <v>100</v>
      </c>
      <c r="I42" s="2060"/>
      <c r="J42" s="394">
        <f>SUMIF(122:122,I42,123:123)-SUMIF(122:122,C42,123:123)+100</f>
        <v>100</v>
      </c>
      <c r="K42" s="569"/>
      <c r="L42" s="2918"/>
      <c r="M42" s="2912"/>
      <c r="N42" s="2912"/>
      <c r="O42" s="2912"/>
      <c r="P42" s="3463"/>
      <c r="Q42" s="1504" t="str">
        <f t="shared" si="11"/>
        <v>内部装修</v>
      </c>
      <c r="R42" s="713" t="s">
        <v>17</v>
      </c>
      <c r="S42" s="714">
        <f t="shared" si="12"/>
        <v>100</v>
      </c>
      <c r="T42" s="713" t="s">
        <v>17</v>
      </c>
      <c r="U42" s="714">
        <f t="shared" si="13"/>
        <v>100</v>
      </c>
      <c r="V42" s="713" t="s">
        <v>17</v>
      </c>
      <c r="W42" s="714">
        <f t="shared" si="14"/>
        <v>100</v>
      </c>
      <c r="X42" s="1507"/>
      <c r="Y42" s="3465"/>
      <c r="Z42" s="1508" t="str">
        <f t="shared" si="15"/>
        <v>内部装修</v>
      </c>
      <c r="AA42" s="1505">
        <f t="shared" si="3"/>
        <v>1</v>
      </c>
      <c r="AB42" s="1505">
        <f t="shared" si="4"/>
        <v>1</v>
      </c>
      <c r="AC42" s="1505">
        <f t="shared" si="5"/>
        <v>1</v>
      </c>
    </row>
    <row r="43" spans="1:29" ht="15">
      <c r="A43" s="431"/>
      <c r="B43" s="381" t="s">
        <v>2337</v>
      </c>
      <c r="C43" s="2060"/>
      <c r="D43" s="394">
        <v>100</v>
      </c>
      <c r="E43" s="2060"/>
      <c r="F43" s="420">
        <f>SUMIF(124:124,E43,125:125)-SUMIF(124:124,C43,125:125)+100</f>
        <v>100</v>
      </c>
      <c r="G43" s="2060"/>
      <c r="H43" s="394">
        <f>SUMIF(124:124,G43,125:125)-SUMIF(124:124,C43,125:125)+100</f>
        <v>100</v>
      </c>
      <c r="I43" s="2060"/>
      <c r="J43" s="394">
        <f>SUMIF(124:124,I43,125:125)-SUMIF(124:124,C43,125:125)+100</f>
        <v>100</v>
      </c>
      <c r="K43" s="569"/>
      <c r="L43" s="2918"/>
      <c r="M43" s="2912"/>
      <c r="N43" s="2912"/>
      <c r="O43" s="2912"/>
      <c r="P43" s="3463"/>
      <c r="Q43" s="1504" t="str">
        <f t="shared" si="11"/>
        <v>内部装修维护情况</v>
      </c>
      <c r="R43" s="713" t="s">
        <v>17</v>
      </c>
      <c r="S43" s="714">
        <f t="shared" si="12"/>
        <v>100</v>
      </c>
      <c r="T43" s="713" t="s">
        <v>17</v>
      </c>
      <c r="U43" s="714">
        <f t="shared" si="13"/>
        <v>100</v>
      </c>
      <c r="V43" s="713" t="s">
        <v>17</v>
      </c>
      <c r="W43" s="714">
        <f t="shared" si="14"/>
        <v>100</v>
      </c>
      <c r="X43" s="1507"/>
      <c r="Y43" s="3465"/>
      <c r="Z43" s="1508" t="str">
        <f t="shared" si="15"/>
        <v>内部装修维护情况</v>
      </c>
      <c r="AA43" s="1505">
        <f t="shared" si="3"/>
        <v>1</v>
      </c>
      <c r="AB43" s="1505">
        <f t="shared" si="4"/>
        <v>1</v>
      </c>
      <c r="AC43" s="1505">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463"/>
      <c r="Q44" s="1495">
        <f t="shared" si="11"/>
        <v>111</v>
      </c>
      <c r="R44" s="709" t="s">
        <v>17</v>
      </c>
      <c r="S44" s="710">
        <f t="shared" si="12"/>
        <v>100</v>
      </c>
      <c r="T44" s="709" t="s">
        <v>17</v>
      </c>
      <c r="U44" s="710">
        <f t="shared" si="13"/>
        <v>100</v>
      </c>
      <c r="V44" s="709" t="s">
        <v>17</v>
      </c>
      <c r="W44" s="710">
        <f t="shared" si="14"/>
        <v>100</v>
      </c>
      <c r="X44" s="711"/>
      <c r="Y44" s="3465"/>
      <c r="Z44" s="55">
        <f t="shared" si="15"/>
        <v>111</v>
      </c>
      <c r="AA44" s="712">
        <f t="shared" si="3"/>
        <v>1</v>
      </c>
      <c r="AB44" s="712">
        <f t="shared" si="4"/>
        <v>1</v>
      </c>
      <c r="AC44" s="712">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463"/>
      <c r="Q45" s="1504">
        <f t="shared" si="11"/>
        <v>111</v>
      </c>
      <c r="R45" s="713" t="s">
        <v>17</v>
      </c>
      <c r="S45" s="714">
        <f t="shared" si="12"/>
        <v>100</v>
      </c>
      <c r="T45" s="713" t="s">
        <v>17</v>
      </c>
      <c r="U45" s="714">
        <f t="shared" si="13"/>
        <v>100</v>
      </c>
      <c r="V45" s="713" t="s">
        <v>17</v>
      </c>
      <c r="W45" s="714">
        <f t="shared" si="14"/>
        <v>100</v>
      </c>
      <c r="X45" s="1507"/>
      <c r="Y45" s="3465"/>
      <c r="Z45" s="1508">
        <f t="shared" si="15"/>
        <v>111</v>
      </c>
      <c r="AA45" s="1505">
        <f t="shared" si="3"/>
        <v>1</v>
      </c>
      <c r="AB45" s="1505">
        <f t="shared" si="4"/>
        <v>1</v>
      </c>
      <c r="AC45" s="1505">
        <f t="shared" si="5"/>
        <v>1</v>
      </c>
    </row>
    <row r="46" spans="1:29" ht="15.75" thickBot="1">
      <c r="A46" s="437"/>
      <c r="B46" s="204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464"/>
      <c r="Q46" s="1504">
        <f t="shared" si="11"/>
        <v>111</v>
      </c>
      <c r="R46" s="713" t="s">
        <v>17</v>
      </c>
      <c r="S46" s="714">
        <f t="shared" si="12"/>
        <v>100</v>
      </c>
      <c r="T46" s="713" t="s">
        <v>17</v>
      </c>
      <c r="U46" s="714">
        <f t="shared" si="13"/>
        <v>100</v>
      </c>
      <c r="V46" s="713" t="s">
        <v>17</v>
      </c>
      <c r="W46" s="714">
        <f t="shared" si="14"/>
        <v>100</v>
      </c>
      <c r="X46" s="1507"/>
      <c r="Y46" s="3466"/>
      <c r="Z46" s="1508">
        <f t="shared" si="15"/>
        <v>111</v>
      </c>
      <c r="AA46" s="1505">
        <f t="shared" si="3"/>
        <v>1</v>
      </c>
      <c r="AB46" s="1505">
        <f t="shared" si="4"/>
        <v>1</v>
      </c>
      <c r="AC46" s="1505">
        <f t="shared" si="5"/>
        <v>1</v>
      </c>
    </row>
    <row r="47" spans="1:29" ht="15">
      <c r="A47" s="438" t="s">
        <v>2338</v>
      </c>
      <c r="B47" s="439"/>
      <c r="C47" s="1286" t="s">
        <v>1</v>
      </c>
      <c r="D47" s="1287"/>
      <c r="E47" s="1288"/>
      <c r="F47" s="1289"/>
      <c r="G47" s="1290"/>
      <c r="H47" s="1291"/>
      <c r="I47" s="1288"/>
      <c r="J47" s="1291"/>
      <c r="K47" s="722"/>
      <c r="L47" s="2920"/>
      <c r="M47" s="2921"/>
      <c r="N47" s="2912"/>
      <c r="O47" s="2921"/>
      <c r="P47" s="3467" t="str">
        <f>A47</f>
        <v>成交单价（元/平方米）</v>
      </c>
      <c r="Q47" s="3467"/>
      <c r="R47" s="3455">
        <f>E47</f>
        <v>0</v>
      </c>
      <c r="S47" s="3455"/>
      <c r="T47" s="3455">
        <f>G47</f>
        <v>0</v>
      </c>
      <c r="U47" s="3455"/>
      <c r="V47" s="3455">
        <f>I47</f>
        <v>0</v>
      </c>
      <c r="W47" s="3455"/>
      <c r="X47" s="698"/>
      <c r="Y47" s="720"/>
      <c r="Z47" s="698"/>
      <c r="AA47" s="698"/>
      <c r="AB47" s="698"/>
      <c r="AC47" s="698"/>
    </row>
    <row r="48" spans="1:29" ht="15.75" thickBot="1">
      <c r="A48" s="445" t="s">
        <v>2430</v>
      </c>
      <c r="B48" s="446"/>
      <c r="C48" s="1292" t="e">
        <f>R49</f>
        <v>#DIV/0!</v>
      </c>
      <c r="D48" s="2505" t="s">
        <v>2819</v>
      </c>
      <c r="E48" s="1293" t="e">
        <f>R48</f>
        <v>#DIV/0!</v>
      </c>
      <c r="F48" s="2506"/>
      <c r="G48" s="1292" t="e">
        <f>T48</f>
        <v>#DIV/0!</v>
      </c>
      <c r="H48" s="2506"/>
      <c r="I48" s="1293" t="e">
        <f>V48</f>
        <v>#DIV/0!</v>
      </c>
      <c r="J48" s="2506"/>
      <c r="K48" s="2508">
        <f>F48+H48+J48</f>
        <v>0</v>
      </c>
      <c r="L48" s="2920"/>
      <c r="M48" s="2921"/>
      <c r="N48" s="2912"/>
      <c r="O48" s="2921"/>
      <c r="P48" s="3467" t="str">
        <f>A48</f>
        <v>比较价值（元/平方米）</v>
      </c>
      <c r="Q48" s="3467"/>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698"/>
      <c r="Y48" s="698"/>
      <c r="Z48" s="698"/>
      <c r="AA48" s="698"/>
      <c r="AB48" s="698"/>
      <c r="AC48" s="698"/>
    </row>
    <row r="49" spans="1:29" ht="15.75" thickBot="1">
      <c r="A49" s="449" t="s">
        <v>2431</v>
      </c>
      <c r="B49" s="450"/>
      <c r="C49" s="1295" t="e">
        <f>R49</f>
        <v>#DIV/0!</v>
      </c>
      <c r="D49" s="1295"/>
      <c r="E49" s="1295"/>
      <c r="F49" s="1295"/>
      <c r="G49" s="1295"/>
      <c r="H49" s="1295"/>
      <c r="I49" s="1295"/>
      <c r="J49" s="1295"/>
      <c r="K49" s="723"/>
      <c r="L49" s="2920"/>
      <c r="M49" s="2921"/>
      <c r="N49" s="2912"/>
      <c r="O49" s="2921"/>
      <c r="P49" s="3506" t="str">
        <f>A49</f>
        <v>估价对象XX用房的比较价值（楼面单价，元/平方米）</v>
      </c>
      <c r="Q49" s="3507"/>
      <c r="R49" s="3508" t="e">
        <f>IF(F1="售价",ROUND(IF(D48="简单平均",AVERAGE(R48:V48),R48*F48+T48*H48+V48*J48),0),ROUND(IF(D48="简单平均",AVERAGE(R48:V48),R48*F48+T48*H48+V48*J48),1))</f>
        <v>#DIV/0!</v>
      </c>
      <c r="S49" s="3508"/>
      <c r="T49" s="3508"/>
      <c r="U49" s="3508"/>
      <c r="V49" s="3508"/>
      <c r="W49" s="3508"/>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2" t="s">
        <v>2435</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5" customFormat="1" ht="15">
      <c r="A58" s="462" t="s">
        <v>2309</v>
      </c>
      <c r="B58" s="463"/>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6"/>
      <c r="Q58" s="2937"/>
      <c r="R58" s="2937"/>
      <c r="S58" s="2937"/>
      <c r="T58" s="2937"/>
      <c r="U58" s="2937"/>
      <c r="V58" s="2937"/>
      <c r="W58" s="2937"/>
      <c r="X58" s="2937"/>
      <c r="Y58" s="2937"/>
      <c r="Z58" s="2937"/>
      <c r="AA58" s="2937"/>
      <c r="AB58" s="2937"/>
      <c r="AC58" s="2937"/>
    </row>
    <row r="59" spans="1:29" s="113" customFormat="1" ht="15">
      <c r="A59" s="466"/>
      <c r="B59" s="467"/>
      <c r="C59" s="1315">
        <v>100</v>
      </c>
      <c r="D59" s="469"/>
      <c r="E59" s="469"/>
      <c r="F59" s="469"/>
      <c r="G59" s="469"/>
      <c r="H59" s="469"/>
      <c r="I59" s="469"/>
      <c r="J59" s="469"/>
      <c r="K59" s="469"/>
      <c r="L59" s="469"/>
      <c r="M59" s="470"/>
      <c r="N59" s="469"/>
      <c r="O59" s="470"/>
      <c r="P59" s="2938"/>
      <c r="Q59" s="2855"/>
      <c r="R59" s="2855"/>
      <c r="S59" s="2855"/>
      <c r="T59" s="2855"/>
      <c r="U59" s="2855"/>
      <c r="V59" s="2855"/>
      <c r="W59" s="2855"/>
      <c r="X59" s="2855"/>
      <c r="Y59" s="2855"/>
      <c r="Z59" s="2855"/>
      <c r="AA59" s="2855"/>
      <c r="AB59" s="2855"/>
      <c r="AC59" s="2855"/>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5"/>
      <c r="S60" s="2855"/>
      <c r="T60" s="2855"/>
      <c r="U60" s="2855"/>
      <c r="V60" s="2855"/>
      <c r="W60" s="2855"/>
      <c r="X60" s="2855"/>
      <c r="Y60" s="2855"/>
      <c r="Z60" s="2855"/>
      <c r="AA60" s="2855"/>
      <c r="AB60" s="2855"/>
      <c r="AC60" s="2855"/>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5"/>
      <c r="S62" s="2855"/>
      <c r="T62" s="2855"/>
      <c r="U62" s="2855"/>
      <c r="V62" s="2855"/>
      <c r="W62" s="2855"/>
      <c r="X62" s="2855"/>
      <c r="Y62" s="2855"/>
      <c r="Z62" s="2855"/>
      <c r="AA62" s="2855"/>
      <c r="AB62" s="2855"/>
      <c r="AC62" s="2855"/>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1"/>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1"/>
      <c r="G88" s="511"/>
      <c r="H88" s="511"/>
      <c r="I88" s="511"/>
      <c r="J88" s="511"/>
      <c r="K88" s="511"/>
      <c r="L88" s="511"/>
      <c r="M88" s="538"/>
      <c r="N88" s="2948"/>
      <c r="O88" s="2948"/>
      <c r="P88" s="2940"/>
      <c r="Q88" s="2935"/>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50"/>
      <c r="O89" s="2950"/>
      <c r="P89" s="2940"/>
      <c r="Q89" s="2935"/>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2"/>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2"/>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2090</v>
      </c>
      <c r="B3" s="566" t="e">
        <f ca="1">IF(C2="——",C43,ROUND(B2*10000/D3,0))</f>
        <v>#DIV/0!</v>
      </c>
      <c r="C3" s="360" t="s">
        <v>2405</v>
      </c>
      <c r="D3" s="359">
        <f>IF(D1="",'数据-汇总表'!E3,SUMIF('数据-汇总表'!$C19:$C33,D1,'数据-汇总表'!$E19:$E33))</f>
        <v>26834.3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2406</v>
      </c>
      <c r="B4" s="362"/>
      <c r="C4" s="3442" t="s">
        <v>2407</v>
      </c>
      <c r="D4" s="3443"/>
      <c r="E4" s="3444" t="s">
        <v>2408</v>
      </c>
      <c r="F4" s="3445"/>
      <c r="G4" s="3442" t="s">
        <v>2409</v>
      </c>
      <c r="H4" s="3443"/>
      <c r="I4" s="3442" t="s">
        <v>2410</v>
      </c>
      <c r="J4" s="3443"/>
      <c r="K4" s="567" t="s">
        <v>2411</v>
      </c>
      <c r="L4" s="1043"/>
      <c r="M4" s="1044"/>
      <c r="N4" s="1044"/>
      <c r="O4" s="1044"/>
      <c r="P4" s="3502" t="s">
        <v>2412</v>
      </c>
      <c r="Q4" s="3503"/>
      <c r="R4" s="3499" t="s">
        <v>2408</v>
      </c>
      <c r="S4" s="3500"/>
      <c r="T4" s="3499" t="s">
        <v>2409</v>
      </c>
      <c r="U4" s="3500"/>
      <c r="V4" s="3455" t="s">
        <v>2410</v>
      </c>
      <c r="W4" s="3455"/>
      <c r="X4" s="1507"/>
      <c r="Y4" s="3499" t="s">
        <v>2412</v>
      </c>
      <c r="Z4" s="3500"/>
      <c r="AA4" s="3498" t="s">
        <v>2408</v>
      </c>
      <c r="AB4" s="3421" t="s">
        <v>2409</v>
      </c>
      <c r="AC4" s="3498" t="s">
        <v>2410</v>
      </c>
    </row>
    <row r="5" spans="1:29" ht="15">
      <c r="A5" s="364"/>
      <c r="B5" s="365"/>
      <c r="C5" s="3431" t="s">
        <v>2303</v>
      </c>
      <c r="D5" s="3432"/>
      <c r="E5" s="3501" t="s">
        <v>2304</v>
      </c>
      <c r="F5" s="3430"/>
      <c r="G5" s="3431" t="s">
        <v>2305</v>
      </c>
      <c r="H5" s="3432"/>
      <c r="I5" s="3431" t="s">
        <v>2306</v>
      </c>
      <c r="J5" s="3432"/>
      <c r="K5" s="567"/>
      <c r="L5" s="1043"/>
      <c r="M5" s="1044"/>
      <c r="N5" s="1044"/>
      <c r="O5" s="1044"/>
      <c r="P5" s="3504"/>
      <c r="Q5" s="3449"/>
      <c r="R5" s="3427"/>
      <c r="S5" s="3428"/>
      <c r="T5" s="3427"/>
      <c r="U5" s="3428"/>
      <c r="V5" s="3455"/>
      <c r="W5" s="3455"/>
      <c r="X5" s="1507"/>
      <c r="Y5" s="3427"/>
      <c r="Z5" s="3428"/>
      <c r="AA5" s="3421"/>
      <c r="AB5" s="3421"/>
      <c r="AC5" s="3421"/>
    </row>
    <row r="6" spans="1:29" ht="15.75" thickBot="1">
      <c r="A6" s="366"/>
      <c r="B6" s="367"/>
      <c r="C6" s="3433" t="s">
        <v>2307</v>
      </c>
      <c r="D6" s="3434"/>
      <c r="E6" s="3436" t="s">
        <v>2307</v>
      </c>
      <c r="F6" s="3437"/>
      <c r="G6" s="3433" t="s">
        <v>2307</v>
      </c>
      <c r="H6" s="3434"/>
      <c r="I6" s="3433" t="s">
        <v>2307</v>
      </c>
      <c r="J6" s="3434"/>
      <c r="K6" s="567" t="s">
        <v>2308</v>
      </c>
      <c r="L6" s="1043"/>
      <c r="M6" s="1044"/>
      <c r="N6" s="1044"/>
      <c r="O6" s="1044"/>
      <c r="P6" s="3505"/>
      <c r="Q6" s="3451"/>
      <c r="R6" s="3427"/>
      <c r="S6" s="3428"/>
      <c r="T6" s="3452"/>
      <c r="U6" s="3453"/>
      <c r="V6" s="3455"/>
      <c r="W6" s="3455"/>
      <c r="X6" s="1507"/>
      <c r="Y6" s="3452"/>
      <c r="Z6" s="3453"/>
      <c r="AA6" s="3422"/>
      <c r="AB6" s="3422"/>
      <c r="AC6" s="3422"/>
    </row>
    <row r="7" spans="1:29" s="113" customFormat="1" ht="15.75" thickBot="1">
      <c r="A7" s="368" t="s">
        <v>2309</v>
      </c>
      <c r="B7" s="369"/>
      <c r="C7" s="370">
        <f>'数据-取费表'!B2</f>
        <v>44645</v>
      </c>
      <c r="D7" s="371">
        <v>100</v>
      </c>
      <c r="E7" s="372"/>
      <c r="F7" s="373">
        <f>SUMIF(52:52,YEAR(E7)&amp;"-"&amp;MONTH(E7),53:53)</f>
        <v>0</v>
      </c>
      <c r="G7" s="372"/>
      <c r="H7" s="371">
        <f>SUMIF(52:52,YEAR(G7)&amp;"-"&amp;MONTH(G7),53:53)</f>
        <v>0</v>
      </c>
      <c r="I7" s="372"/>
      <c r="J7" s="371">
        <f>SUMIF(52:52,YEAR(I7)&amp;"-"&amp;MONTH(I7),53:53)</f>
        <v>0</v>
      </c>
      <c r="K7" s="568"/>
      <c r="L7" s="1045"/>
      <c r="M7" s="1046"/>
      <c r="N7" s="1046"/>
      <c r="O7" s="1046"/>
      <c r="P7" s="3423" t="s">
        <v>2310</v>
      </c>
      <c r="Q7" s="3457"/>
      <c r="R7" s="709" t="s">
        <v>17</v>
      </c>
      <c r="S7" s="710">
        <f t="shared" ref="S7:S15" si="0">F7</f>
        <v>0</v>
      </c>
      <c r="T7" s="709" t="s">
        <v>17</v>
      </c>
      <c r="U7" s="710">
        <f t="shared" ref="U7:U15" si="1">H7</f>
        <v>0</v>
      </c>
      <c r="V7" s="709" t="s">
        <v>17</v>
      </c>
      <c r="W7" s="710">
        <f t="shared" ref="W7:W15" si="2">J7</f>
        <v>0</v>
      </c>
      <c r="X7" s="711"/>
      <c r="Y7" s="3423" t="s">
        <v>2310</v>
      </c>
      <c r="Z7" s="3424"/>
      <c r="AA7" s="712" t="e">
        <f>D7/F7</f>
        <v>#DIV/0!</v>
      </c>
      <c r="AB7" s="712" t="e">
        <f>D7/H7</f>
        <v>#DIV/0!</v>
      </c>
      <c r="AC7" s="712"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423" t="s">
        <v>2313</v>
      </c>
      <c r="Q8" s="3424"/>
      <c r="R8" s="709" t="s">
        <v>17</v>
      </c>
      <c r="S8" s="710">
        <f t="shared" si="0"/>
        <v>0</v>
      </c>
      <c r="T8" s="709" t="s">
        <v>17</v>
      </c>
      <c r="U8" s="710">
        <f t="shared" si="1"/>
        <v>0</v>
      </c>
      <c r="V8" s="709" t="s">
        <v>17</v>
      </c>
      <c r="W8" s="710">
        <f t="shared" si="2"/>
        <v>0</v>
      </c>
      <c r="X8" s="711"/>
      <c r="Y8" s="3423" t="s">
        <v>2313</v>
      </c>
      <c r="Z8" s="3424"/>
      <c r="AA8" s="712" t="e">
        <f t="shared" ref="AA8:AA40" si="3">D8/F8</f>
        <v>#DIV/0!</v>
      </c>
      <c r="AB8" s="712" t="e">
        <f t="shared" ref="AB8:AB40" si="4">D8/H8</f>
        <v>#DIV/0!</v>
      </c>
      <c r="AC8" s="712"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467" t="s">
        <v>2316</v>
      </c>
      <c r="Q9" s="1495" t="str">
        <f t="shared" ref="Q9:Q15" si="6">B9</f>
        <v>用途</v>
      </c>
      <c r="R9" s="709" t="s">
        <v>17</v>
      </c>
      <c r="S9" s="710">
        <f t="shared" si="0"/>
        <v>100</v>
      </c>
      <c r="T9" s="709" t="s">
        <v>17</v>
      </c>
      <c r="U9" s="710">
        <f t="shared" si="1"/>
        <v>100</v>
      </c>
      <c r="V9" s="709" t="s">
        <v>17</v>
      </c>
      <c r="W9" s="710">
        <f t="shared" si="2"/>
        <v>100</v>
      </c>
      <c r="X9" s="711"/>
      <c r="Y9" s="3393" t="s">
        <v>2317</v>
      </c>
      <c r="Z9" s="55" t="str">
        <f t="shared" ref="Z9:Z15" si="7">Q9</f>
        <v>用途</v>
      </c>
      <c r="AA9" s="712">
        <f t="shared" si="3"/>
        <v>1</v>
      </c>
      <c r="AB9" s="712">
        <f t="shared" si="4"/>
        <v>1</v>
      </c>
      <c r="AC9" s="712">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467"/>
      <c r="Q10" s="1495"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712">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467"/>
      <c r="Q11" s="1495" t="str">
        <f t="shared" si="6"/>
        <v>容积率</v>
      </c>
      <c r="R11" s="709" t="s">
        <v>17</v>
      </c>
      <c r="S11" s="710" t="e">
        <f t="shared" si="0"/>
        <v>#N/A</v>
      </c>
      <c r="T11" s="709" t="s">
        <v>17</v>
      </c>
      <c r="U11" s="710" t="e">
        <f t="shared" si="1"/>
        <v>#N/A</v>
      </c>
      <c r="V11" s="709" t="s">
        <v>17</v>
      </c>
      <c r="W11" s="710" t="e">
        <f t="shared" si="2"/>
        <v>#N/A</v>
      </c>
      <c r="X11" s="711"/>
      <c r="Y11" s="3393"/>
      <c r="Z11" s="55" t="str">
        <f t="shared" si="7"/>
        <v>容积率</v>
      </c>
      <c r="AA11" s="712" t="e">
        <f t="shared" si="3"/>
        <v>#N/A</v>
      </c>
      <c r="AB11" s="712" t="e">
        <f t="shared" si="4"/>
        <v>#N/A</v>
      </c>
      <c r="AC11" s="712" t="e">
        <f t="shared" si="5"/>
        <v>#N/A</v>
      </c>
    </row>
    <row r="12" spans="1:29" s="113" customFormat="1" ht="15">
      <c r="A12" s="390"/>
      <c r="B12" s="2047">
        <v>111</v>
      </c>
      <c r="C12" s="391"/>
      <c r="D12" s="392">
        <v>100</v>
      </c>
      <c r="E12" s="393"/>
      <c r="F12" s="132">
        <f>SUMIF(64:64,E12,65:65)-SUMIF(64:64,C12,65:65)+100</f>
        <v>100</v>
      </c>
      <c r="G12" s="2123"/>
      <c r="H12" s="132">
        <f>SUMIF(64:64,G12,65:65)-SUMIF(64:64,C12,65:65)+100</f>
        <v>100</v>
      </c>
      <c r="I12" s="428"/>
      <c r="J12" s="132">
        <f>SUMIF(64:64,I12,65:65)-SUMIF(64:64,C12,65:65)+100</f>
        <v>100</v>
      </c>
      <c r="K12" s="570"/>
      <c r="L12" s="1045"/>
      <c r="M12" s="1046"/>
      <c r="N12" s="1046"/>
      <c r="O12" s="1047"/>
      <c r="P12" s="3467"/>
      <c r="Q12" s="1495">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712">
        <f>D12/J12</f>
        <v>1</v>
      </c>
    </row>
    <row r="13" spans="1:29" ht="15">
      <c r="A13" s="387"/>
      <c r="B13" s="2047">
        <v>111</v>
      </c>
      <c r="C13" s="393"/>
      <c r="D13" s="394">
        <v>100</v>
      </c>
      <c r="E13" s="393"/>
      <c r="F13" s="132">
        <f>SUMIF(66:66,E13,67:67)-SUMIF(66:66,C13,67:67)+100</f>
        <v>100</v>
      </c>
      <c r="G13" s="2123"/>
      <c r="H13" s="394">
        <f>SUMIF(66:66,G13,67:67)-SUMIF(66:66,C13,67:67)+100</f>
        <v>100</v>
      </c>
      <c r="I13" s="428"/>
      <c r="J13" s="394">
        <f>SUMIF(66:66,I13,67:67)-SUMIF(66:66,C13,67:67)+100</f>
        <v>100</v>
      </c>
      <c r="K13" s="570"/>
      <c r="L13" s="1053"/>
      <c r="M13" s="1044"/>
      <c r="N13" s="1044"/>
      <c r="O13" s="1052"/>
      <c r="P13" s="3467"/>
      <c r="Q13" s="1495">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712">
        <f t="shared" si="5"/>
        <v>1</v>
      </c>
    </row>
    <row r="14" spans="1:29" ht="15.75" thickBot="1">
      <c r="A14" s="395"/>
      <c r="B14" s="2049">
        <v>111</v>
      </c>
      <c r="C14" s="396"/>
      <c r="D14" s="397">
        <v>100</v>
      </c>
      <c r="E14" s="396"/>
      <c r="F14" s="397">
        <f>SUMIF(68:68,E14,69:69)-SUMIF(68:68,C14,69:69)+100</f>
        <v>100</v>
      </c>
      <c r="G14" s="2123"/>
      <c r="H14" s="397">
        <f>SUMIF(68:68,G14,69:69)-SUMIF(68:68,C14,69:69)+100</f>
        <v>100</v>
      </c>
      <c r="I14" s="428"/>
      <c r="J14" s="397">
        <f>SUMIF(68:68,I14,69:69)-SUMIF(68:68,C14,69:69)+100</f>
        <v>100</v>
      </c>
      <c r="K14" s="570"/>
      <c r="L14" s="1053"/>
      <c r="M14" s="1044"/>
      <c r="N14" s="1044"/>
      <c r="O14" s="1052"/>
      <c r="P14" s="3467"/>
      <c r="Q14" s="1495">
        <f t="shared" si="6"/>
        <v>111</v>
      </c>
      <c r="R14" s="709" t="s">
        <v>17</v>
      </c>
      <c r="S14" s="710">
        <f t="shared" si="0"/>
        <v>100</v>
      </c>
      <c r="T14" s="709" t="s">
        <v>17</v>
      </c>
      <c r="U14" s="710">
        <f t="shared" si="1"/>
        <v>100</v>
      </c>
      <c r="V14" s="709" t="s">
        <v>17</v>
      </c>
      <c r="W14" s="710">
        <f t="shared" si="2"/>
        <v>100</v>
      </c>
      <c r="X14" s="711"/>
      <c r="Y14" s="3393"/>
      <c r="Z14" s="55">
        <f t="shared" si="7"/>
        <v>111</v>
      </c>
      <c r="AA14" s="712">
        <f t="shared" si="3"/>
        <v>1</v>
      </c>
      <c r="AB14" s="712">
        <f t="shared" si="4"/>
        <v>1</v>
      </c>
      <c r="AC14" s="712">
        <f t="shared" si="5"/>
        <v>1</v>
      </c>
    </row>
    <row r="15" spans="1:29" ht="57">
      <c r="A15" s="399" t="s">
        <v>2320</v>
      </c>
      <c r="B15" s="65" t="s">
        <v>2464</v>
      </c>
      <c r="C15" s="212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460" t="s">
        <v>2321</v>
      </c>
      <c r="Q15" s="1504" t="str">
        <f t="shared" si="6"/>
        <v>产业集聚程度</v>
      </c>
      <c r="R15" s="713" t="s">
        <v>17</v>
      </c>
      <c r="S15" s="714">
        <f t="shared" si="0"/>
        <v>100</v>
      </c>
      <c r="T15" s="713" t="s">
        <v>17</v>
      </c>
      <c r="U15" s="714">
        <f t="shared" si="1"/>
        <v>100</v>
      </c>
      <c r="V15" s="713" t="s">
        <v>17</v>
      </c>
      <c r="W15" s="714">
        <f t="shared" si="2"/>
        <v>100</v>
      </c>
      <c r="X15" s="1507"/>
      <c r="Y15" s="3460" t="s">
        <v>2321</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3"/>
      <c r="M16" s="1044"/>
      <c r="N16" s="1044"/>
      <c r="O16" s="1052"/>
      <c r="P16" s="3461"/>
      <c r="Q16" s="1504"/>
      <c r="R16" s="713"/>
      <c r="S16" s="714"/>
      <c r="T16" s="713"/>
      <c r="U16" s="714"/>
      <c r="V16" s="713"/>
      <c r="W16" s="714"/>
      <c r="X16" s="1507"/>
      <c r="Y16" s="3461"/>
      <c r="Z16" s="1508"/>
      <c r="AA16" s="1505">
        <v>1</v>
      </c>
      <c r="AB16" s="1505">
        <v>1</v>
      </c>
      <c r="AC16" s="1505">
        <v>1</v>
      </c>
    </row>
    <row r="17" spans="1:29" ht="85.5">
      <c r="A17" s="387"/>
      <c r="B17" s="410" t="s">
        <v>1885</v>
      </c>
      <c r="C17" s="205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461"/>
      <c r="Q17" s="1504" t="str">
        <f>B17</f>
        <v>交通便捷度</v>
      </c>
      <c r="R17" s="713" t="s">
        <v>17</v>
      </c>
      <c r="S17" s="714">
        <f>F17</f>
        <v>100</v>
      </c>
      <c r="T17" s="713" t="s">
        <v>17</v>
      </c>
      <c r="U17" s="714">
        <f>H17</f>
        <v>100</v>
      </c>
      <c r="V17" s="713" t="s">
        <v>17</v>
      </c>
      <c r="W17" s="714">
        <f>J17</f>
        <v>100</v>
      </c>
      <c r="X17" s="1507"/>
      <c r="Y17" s="3461"/>
      <c r="Z17" s="1508" t="str">
        <f>Q17</f>
        <v>交通便捷度</v>
      </c>
      <c r="AA17" s="1505">
        <f t="shared" si="3"/>
        <v>1</v>
      </c>
      <c r="AB17" s="1505">
        <f t="shared" si="4"/>
        <v>1</v>
      </c>
      <c r="AC17" s="1505">
        <f t="shared" si="5"/>
        <v>1</v>
      </c>
    </row>
    <row r="18" spans="1:29" ht="15">
      <c r="A18" s="387"/>
      <c r="B18" s="415"/>
      <c r="C18" s="2055"/>
      <c r="D18" s="409"/>
      <c r="E18" s="2057"/>
      <c r="F18" s="412"/>
      <c r="G18" s="2056"/>
      <c r="H18" s="407"/>
      <c r="I18" s="2057"/>
      <c r="J18" s="407"/>
      <c r="K18" s="572"/>
      <c r="L18" s="1053"/>
      <c r="M18" s="1044"/>
      <c r="N18" s="1044"/>
      <c r="O18" s="1052"/>
      <c r="P18" s="3461"/>
      <c r="Q18" s="1504"/>
      <c r="R18" s="713"/>
      <c r="S18" s="714"/>
      <c r="T18" s="713"/>
      <c r="U18" s="714"/>
      <c r="V18" s="713"/>
      <c r="W18" s="714"/>
      <c r="X18" s="1507"/>
      <c r="Y18" s="3461"/>
      <c r="Z18" s="1508"/>
      <c r="AA18" s="1505">
        <v>1</v>
      </c>
      <c r="AB18" s="1505">
        <v>1</v>
      </c>
      <c r="AC18" s="1505">
        <v>1</v>
      </c>
    </row>
    <row r="19" spans="1:29" ht="42.75">
      <c r="A19" s="387"/>
      <c r="B19" s="410" t="s">
        <v>2449</v>
      </c>
      <c r="C19" s="205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461"/>
      <c r="Q19" s="1504" t="str">
        <f>B19</f>
        <v>公共配套设施</v>
      </c>
      <c r="R19" s="713" t="s">
        <v>17</v>
      </c>
      <c r="S19" s="714">
        <f>F19</f>
        <v>100</v>
      </c>
      <c r="T19" s="713" t="s">
        <v>17</v>
      </c>
      <c r="U19" s="714">
        <f>H19</f>
        <v>100</v>
      </c>
      <c r="V19" s="713" t="s">
        <v>17</v>
      </c>
      <c r="W19" s="714">
        <f>J19</f>
        <v>100</v>
      </c>
      <c r="X19" s="1507"/>
      <c r="Y19" s="3461"/>
      <c r="Z19" s="1508" t="str">
        <f>Q19</f>
        <v>公共配套设施</v>
      </c>
      <c r="AA19" s="1505">
        <f t="shared" si="3"/>
        <v>1</v>
      </c>
      <c r="AB19" s="1505">
        <f t="shared" si="4"/>
        <v>1</v>
      </c>
      <c r="AC19" s="1505">
        <f t="shared" si="5"/>
        <v>1</v>
      </c>
    </row>
    <row r="20" spans="1:29" ht="15">
      <c r="A20" s="387"/>
      <c r="B20" s="415"/>
      <c r="C20" s="406"/>
      <c r="D20" s="407"/>
      <c r="E20" s="2052"/>
      <c r="F20" s="408"/>
      <c r="G20" s="2051"/>
      <c r="H20" s="407"/>
      <c r="I20" s="2052"/>
      <c r="J20" s="407"/>
      <c r="K20" s="572"/>
      <c r="L20" s="1053"/>
      <c r="M20" s="1044"/>
      <c r="N20" s="1044"/>
      <c r="O20" s="1052"/>
      <c r="P20" s="3461"/>
      <c r="Q20" s="1504"/>
      <c r="R20" s="713"/>
      <c r="S20" s="714"/>
      <c r="T20" s="713"/>
      <c r="U20" s="714"/>
      <c r="V20" s="713"/>
      <c r="W20" s="714"/>
      <c r="X20" s="1507"/>
      <c r="Y20" s="3461"/>
      <c r="Z20" s="1508"/>
      <c r="AA20" s="1505">
        <v>1</v>
      </c>
      <c r="AB20" s="1505">
        <v>1</v>
      </c>
      <c r="AC20" s="1505">
        <v>1</v>
      </c>
    </row>
    <row r="21" spans="1:29" ht="28.5">
      <c r="A21" s="387"/>
      <c r="B21" s="1263" t="s">
        <v>2450</v>
      </c>
      <c r="C21" s="205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461"/>
      <c r="Q21" s="1504" t="str">
        <f>B21</f>
        <v>基础设施水平</v>
      </c>
      <c r="R21" s="713" t="s">
        <v>17</v>
      </c>
      <c r="S21" s="714">
        <f>F21</f>
        <v>100</v>
      </c>
      <c r="T21" s="713" t="s">
        <v>17</v>
      </c>
      <c r="U21" s="714">
        <f>H21</f>
        <v>100</v>
      </c>
      <c r="V21" s="713" t="s">
        <v>17</v>
      </c>
      <c r="W21" s="714">
        <f>J21</f>
        <v>100</v>
      </c>
      <c r="X21" s="1507"/>
      <c r="Y21" s="3461"/>
      <c r="Z21" s="1508" t="str">
        <f>Q21</f>
        <v>基础设施水平</v>
      </c>
      <c r="AA21" s="1505">
        <f t="shared" ref="AA21" si="8">D21/F21</f>
        <v>1</v>
      </c>
      <c r="AB21" s="1505">
        <f t="shared" ref="AB21" si="9">D21/H21</f>
        <v>1</v>
      </c>
      <c r="AC21" s="1505">
        <f t="shared" ref="AC21" si="10">D21/J21</f>
        <v>1</v>
      </c>
    </row>
    <row r="22" spans="1:29" ht="15">
      <c r="A22" s="387"/>
      <c r="B22" s="1263"/>
      <c r="C22" s="2055"/>
      <c r="D22" s="407"/>
      <c r="E22" s="406"/>
      <c r="F22" s="408"/>
      <c r="G22" s="406"/>
      <c r="H22" s="407"/>
      <c r="I22" s="406"/>
      <c r="J22" s="407"/>
      <c r="K22" s="1262"/>
      <c r="L22" s="1053"/>
      <c r="M22" s="1044"/>
      <c r="N22" s="1044"/>
      <c r="O22" s="1052"/>
      <c r="P22" s="3461"/>
      <c r="Q22" s="1504"/>
      <c r="R22" s="713"/>
      <c r="S22" s="714"/>
      <c r="T22" s="713"/>
      <c r="U22" s="714"/>
      <c r="V22" s="713"/>
      <c r="W22" s="714"/>
      <c r="X22" s="1507"/>
      <c r="Y22" s="3461"/>
      <c r="Z22" s="1508"/>
      <c r="AA22" s="1505">
        <v>1</v>
      </c>
      <c r="AB22" s="1505">
        <v>1</v>
      </c>
      <c r="AC22" s="1505">
        <v>1</v>
      </c>
    </row>
    <row r="23" spans="1:29" ht="71.25">
      <c r="A23" s="387"/>
      <c r="B23" s="410" t="s">
        <v>2451</v>
      </c>
      <c r="C23" s="205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461"/>
      <c r="Q23" s="1504" t="str">
        <f>B23</f>
        <v>环境质量</v>
      </c>
      <c r="R23" s="713" t="s">
        <v>17</v>
      </c>
      <c r="S23" s="714">
        <f>F23</f>
        <v>100</v>
      </c>
      <c r="T23" s="713" t="s">
        <v>17</v>
      </c>
      <c r="U23" s="714">
        <f>H23</f>
        <v>100</v>
      </c>
      <c r="V23" s="713" t="s">
        <v>17</v>
      </c>
      <c r="W23" s="714">
        <f>J23</f>
        <v>100</v>
      </c>
      <c r="X23" s="1507"/>
      <c r="Y23" s="3461"/>
      <c r="Z23" s="1508" t="str">
        <f>Q23</f>
        <v>环境质量</v>
      </c>
      <c r="AA23" s="1505">
        <f t="shared" si="3"/>
        <v>1</v>
      </c>
      <c r="AB23" s="1505">
        <f t="shared" si="4"/>
        <v>1</v>
      </c>
      <c r="AC23" s="1505">
        <f t="shared" si="5"/>
        <v>1</v>
      </c>
    </row>
    <row r="24" spans="1:29" ht="15">
      <c r="A24" s="387"/>
      <c r="B24" s="1263"/>
      <c r="C24" s="406"/>
      <c r="D24" s="407"/>
      <c r="E24" s="2052"/>
      <c r="F24" s="408"/>
      <c r="G24" s="2051"/>
      <c r="H24" s="407"/>
      <c r="I24" s="2052"/>
      <c r="J24" s="407"/>
      <c r="K24" s="572"/>
      <c r="L24" s="1053"/>
      <c r="M24" s="1044"/>
      <c r="N24" s="1044"/>
      <c r="O24" s="1052"/>
      <c r="P24" s="3461"/>
      <c r="Q24" s="1504"/>
      <c r="R24" s="713"/>
      <c r="S24" s="714"/>
      <c r="T24" s="713"/>
      <c r="U24" s="714"/>
      <c r="V24" s="713"/>
      <c r="W24" s="714"/>
      <c r="X24" s="1507"/>
      <c r="Y24" s="3461"/>
      <c r="Z24" s="1508"/>
      <c r="AA24" s="1505">
        <v>1</v>
      </c>
      <c r="AB24" s="1505">
        <v>1</v>
      </c>
      <c r="AC24" s="1505">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461"/>
      <c r="Q25" s="1504">
        <f>B25</f>
        <v>111</v>
      </c>
      <c r="R25" s="713" t="s">
        <v>17</v>
      </c>
      <c r="S25" s="714">
        <f>F25</f>
        <v>100</v>
      </c>
      <c r="T25" s="713" t="s">
        <v>17</v>
      </c>
      <c r="U25" s="714">
        <f>H25</f>
        <v>100</v>
      </c>
      <c r="V25" s="713" t="s">
        <v>17</v>
      </c>
      <c r="W25" s="714">
        <f>J25</f>
        <v>100</v>
      </c>
      <c r="X25" s="1507"/>
      <c r="Y25" s="3461"/>
      <c r="Z25" s="1508">
        <f>Q25</f>
        <v>111</v>
      </c>
      <c r="AA25" s="1505">
        <f t="shared" si="3"/>
        <v>1</v>
      </c>
      <c r="AB25" s="1505">
        <f t="shared" si="4"/>
        <v>1</v>
      </c>
      <c r="AC25" s="1505">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461"/>
      <c r="Q26" s="1504">
        <f t="shared" ref="Q26:Q40" si="11">B26</f>
        <v>111</v>
      </c>
      <c r="R26" s="713" t="s">
        <v>17</v>
      </c>
      <c r="S26" s="714">
        <f>F26</f>
        <v>100</v>
      </c>
      <c r="T26" s="713" t="s">
        <v>17</v>
      </c>
      <c r="U26" s="714">
        <f>H26</f>
        <v>100</v>
      </c>
      <c r="V26" s="713" t="s">
        <v>17</v>
      </c>
      <c r="W26" s="714">
        <f>J26</f>
        <v>100</v>
      </c>
      <c r="X26" s="1507"/>
      <c r="Y26" s="3461"/>
      <c r="Z26" s="1508">
        <f>Q26</f>
        <v>111</v>
      </c>
      <c r="AA26" s="1505">
        <f t="shared" si="3"/>
        <v>1</v>
      </c>
      <c r="AB26" s="1505">
        <f t="shared" si="4"/>
        <v>1</v>
      </c>
      <c r="AC26" s="1505">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461"/>
      <c r="Q27" s="1495">
        <f t="shared" si="11"/>
        <v>111</v>
      </c>
      <c r="R27" s="709" t="s">
        <v>17</v>
      </c>
      <c r="S27" s="710">
        <f>F27</f>
        <v>100</v>
      </c>
      <c r="T27" s="709" t="s">
        <v>17</v>
      </c>
      <c r="U27" s="710">
        <f>H27</f>
        <v>100</v>
      </c>
      <c r="V27" s="709" t="s">
        <v>17</v>
      </c>
      <c r="W27" s="710">
        <f>J27</f>
        <v>100</v>
      </c>
      <c r="X27" s="711"/>
      <c r="Y27" s="3461"/>
      <c r="Z27" s="55">
        <f>Q27</f>
        <v>111</v>
      </c>
      <c r="AA27" s="1505">
        <f>D27/F27</f>
        <v>1</v>
      </c>
      <c r="AB27" s="1505">
        <f>D27/H27</f>
        <v>1</v>
      </c>
      <c r="AC27" s="1505">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461"/>
      <c r="Q28" s="1504">
        <f t="shared" si="11"/>
        <v>111</v>
      </c>
      <c r="R28" s="713" t="s">
        <v>17</v>
      </c>
      <c r="S28" s="714">
        <f t="shared" ref="S28:S40" si="12">F28</f>
        <v>100</v>
      </c>
      <c r="T28" s="713" t="s">
        <v>17</v>
      </c>
      <c r="U28" s="714">
        <f t="shared" ref="U28:U40" si="13">H28</f>
        <v>100</v>
      </c>
      <c r="V28" s="713" t="s">
        <v>17</v>
      </c>
      <c r="W28" s="714">
        <f t="shared" ref="W28:W40" si="14">J28</f>
        <v>100</v>
      </c>
      <c r="X28" s="1507"/>
      <c r="Y28" s="3461"/>
      <c r="Z28" s="1508">
        <f t="shared" ref="Z28:Z40" si="15">Q28</f>
        <v>111</v>
      </c>
      <c r="AA28" s="1505">
        <f t="shared" si="3"/>
        <v>1</v>
      </c>
      <c r="AB28" s="1505">
        <f t="shared" si="4"/>
        <v>1</v>
      </c>
      <c r="AC28" s="1505">
        <f t="shared" si="5"/>
        <v>1</v>
      </c>
    </row>
    <row r="29" spans="1:29" ht="28.5">
      <c r="A29" s="425" t="s">
        <v>2324</v>
      </c>
      <c r="B29" s="67" t="s">
        <v>2454</v>
      </c>
      <c r="C29" s="2120"/>
      <c r="D29" s="426">
        <v>100</v>
      </c>
      <c r="E29" s="2120"/>
      <c r="F29" s="420">
        <f>SUMIF(88:88,E29,89:89)-SUMIF(88:88,C29,89:89)+100</f>
        <v>100</v>
      </c>
      <c r="G29" s="2120"/>
      <c r="H29" s="394">
        <f>SUMIF(88:88,G29,89:89)-SUMIF(88:88,C29,89:89)+100</f>
        <v>100</v>
      </c>
      <c r="I29" s="2120"/>
      <c r="J29" s="426">
        <f>SUMIF(88:88,I29,89:89)-SUMIF(88:88,C29,89:89)+100</f>
        <v>100</v>
      </c>
      <c r="K29" s="569"/>
      <c r="L29" s="1053"/>
      <c r="M29" s="1044"/>
      <c r="N29" s="1044"/>
      <c r="O29" s="1052"/>
      <c r="P29" s="3509" t="s">
        <v>2326</v>
      </c>
      <c r="Q29" s="1504" t="str">
        <f t="shared" si="11"/>
        <v>建筑类型</v>
      </c>
      <c r="R29" s="713" t="s">
        <v>17</v>
      </c>
      <c r="S29" s="714">
        <f t="shared" si="12"/>
        <v>100</v>
      </c>
      <c r="T29" s="713" t="s">
        <v>17</v>
      </c>
      <c r="U29" s="714">
        <f t="shared" si="13"/>
        <v>100</v>
      </c>
      <c r="V29" s="713" t="s">
        <v>17</v>
      </c>
      <c r="W29" s="714">
        <f t="shared" si="14"/>
        <v>100</v>
      </c>
      <c r="X29" s="1507"/>
      <c r="Y29" s="3465" t="s">
        <v>2326</v>
      </c>
      <c r="Z29" s="1508" t="str">
        <f t="shared" si="15"/>
        <v>建筑类型</v>
      </c>
      <c r="AA29" s="1505">
        <f t="shared" si="3"/>
        <v>1</v>
      </c>
      <c r="AB29" s="1505">
        <f t="shared" si="4"/>
        <v>1</v>
      </c>
      <c r="AC29" s="1505">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465"/>
      <c r="Q30" s="715" t="str">
        <f t="shared" si="11"/>
        <v>项目建筑规模</v>
      </c>
      <c r="R30" s="716" t="s">
        <v>17</v>
      </c>
      <c r="S30" s="717" t="e">
        <f t="shared" si="12"/>
        <v>#N/A</v>
      </c>
      <c r="T30" s="716" t="s">
        <v>17</v>
      </c>
      <c r="U30" s="717" t="e">
        <f t="shared" si="13"/>
        <v>#N/A</v>
      </c>
      <c r="V30" s="716" t="s">
        <v>17</v>
      </c>
      <c r="W30" s="717" t="e">
        <f t="shared" si="14"/>
        <v>#N/A</v>
      </c>
      <c r="X30" s="718"/>
      <c r="Y30" s="3465"/>
      <c r="Z30" s="719" t="str">
        <f t="shared" si="15"/>
        <v>项目建筑规模</v>
      </c>
      <c r="AA30" s="1505" t="e">
        <f t="shared" si="3"/>
        <v>#N/A</v>
      </c>
      <c r="AB30" s="1505" t="e">
        <f t="shared" si="4"/>
        <v>#N/A</v>
      </c>
      <c r="AC30" s="1505"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465"/>
      <c r="Q31" s="1504" t="str">
        <f t="shared" si="11"/>
        <v>建筑结构</v>
      </c>
      <c r="R31" s="713" t="s">
        <v>17</v>
      </c>
      <c r="S31" s="714">
        <f t="shared" si="12"/>
        <v>100</v>
      </c>
      <c r="T31" s="713" t="s">
        <v>17</v>
      </c>
      <c r="U31" s="714">
        <f t="shared" si="13"/>
        <v>100</v>
      </c>
      <c r="V31" s="713" t="s">
        <v>17</v>
      </c>
      <c r="W31" s="714">
        <f t="shared" si="14"/>
        <v>100</v>
      </c>
      <c r="X31" s="1507"/>
      <c r="Y31" s="3465"/>
      <c r="Z31" s="1508" t="str">
        <f t="shared" si="15"/>
        <v>建筑结构</v>
      </c>
      <c r="AA31" s="1505">
        <f t="shared" si="3"/>
        <v>1</v>
      </c>
      <c r="AB31" s="1505">
        <f t="shared" si="4"/>
        <v>1</v>
      </c>
      <c r="AC31" s="1505">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465"/>
      <c r="Q32" s="1504" t="str">
        <f t="shared" si="11"/>
        <v>公共部分装修</v>
      </c>
      <c r="R32" s="713" t="s">
        <v>17</v>
      </c>
      <c r="S32" s="714">
        <f t="shared" si="12"/>
        <v>100</v>
      </c>
      <c r="T32" s="713" t="s">
        <v>17</v>
      </c>
      <c r="U32" s="714">
        <f t="shared" si="13"/>
        <v>100</v>
      </c>
      <c r="V32" s="713" t="s">
        <v>17</v>
      </c>
      <c r="W32" s="714">
        <f t="shared" si="14"/>
        <v>100</v>
      </c>
      <c r="X32" s="1507"/>
      <c r="Y32" s="3465"/>
      <c r="Z32" s="1508" t="str">
        <f t="shared" si="15"/>
        <v>公共部分装修</v>
      </c>
      <c r="AA32" s="1505">
        <f t="shared" si="3"/>
        <v>1</v>
      </c>
      <c r="AB32" s="1505">
        <f t="shared" si="4"/>
        <v>1</v>
      </c>
      <c r="AC32" s="1505">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465"/>
      <c r="Q33" s="1504" t="str">
        <f t="shared" si="11"/>
        <v>成新度</v>
      </c>
      <c r="R33" s="713" t="s">
        <v>17</v>
      </c>
      <c r="S33" s="714" t="e">
        <f t="shared" si="12"/>
        <v>#N/A</v>
      </c>
      <c r="T33" s="713" t="s">
        <v>17</v>
      </c>
      <c r="U33" s="714" t="e">
        <f t="shared" si="13"/>
        <v>#N/A</v>
      </c>
      <c r="V33" s="713" t="s">
        <v>17</v>
      </c>
      <c r="W33" s="714" t="e">
        <f t="shared" si="14"/>
        <v>#N/A</v>
      </c>
      <c r="X33" s="1507"/>
      <c r="Y33" s="3465"/>
      <c r="Z33" s="1508" t="str">
        <f t="shared" si="15"/>
        <v>成新度</v>
      </c>
      <c r="AA33" s="1505" t="e">
        <f t="shared" si="3"/>
        <v>#N/A</v>
      </c>
      <c r="AB33" s="1505" t="e">
        <f t="shared" si="4"/>
        <v>#N/A</v>
      </c>
      <c r="AC33" s="1505"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465"/>
      <c r="Q34" s="1495" t="str">
        <f t="shared" si="11"/>
        <v>物业管理</v>
      </c>
      <c r="R34" s="709" t="s">
        <v>17</v>
      </c>
      <c r="S34" s="710">
        <f t="shared" si="12"/>
        <v>100</v>
      </c>
      <c r="T34" s="709" t="s">
        <v>17</v>
      </c>
      <c r="U34" s="710">
        <f t="shared" si="13"/>
        <v>100</v>
      </c>
      <c r="V34" s="709" t="s">
        <v>17</v>
      </c>
      <c r="W34" s="710">
        <f t="shared" si="14"/>
        <v>100</v>
      </c>
      <c r="X34" s="711"/>
      <c r="Y34" s="3465"/>
      <c r="Z34" s="55" t="str">
        <f t="shared" si="15"/>
        <v>物业管理</v>
      </c>
      <c r="AA34" s="712">
        <f t="shared" si="3"/>
        <v>1</v>
      </c>
      <c r="AB34" s="712">
        <f t="shared" si="4"/>
        <v>1</v>
      </c>
      <c r="AC34" s="712">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465" t="s">
        <v>2326</v>
      </c>
      <c r="Q35" s="1504" t="str">
        <f t="shared" si="11"/>
        <v>市政基础设施</v>
      </c>
      <c r="R35" s="713" t="s">
        <v>17</v>
      </c>
      <c r="S35" s="714">
        <f t="shared" si="12"/>
        <v>100</v>
      </c>
      <c r="T35" s="713" t="s">
        <v>17</v>
      </c>
      <c r="U35" s="714">
        <f t="shared" si="13"/>
        <v>100</v>
      </c>
      <c r="V35" s="713" t="s">
        <v>17</v>
      </c>
      <c r="W35" s="714">
        <f t="shared" si="14"/>
        <v>100</v>
      </c>
      <c r="X35" s="1507"/>
      <c r="Y35" s="3465" t="s">
        <v>2326</v>
      </c>
      <c r="Z35" s="1508" t="str">
        <f t="shared" si="15"/>
        <v>市政基础设施</v>
      </c>
      <c r="AA35" s="1505">
        <f t="shared" si="3"/>
        <v>1</v>
      </c>
      <c r="AB35" s="1505">
        <f t="shared" si="4"/>
        <v>1</v>
      </c>
      <c r="AC35" s="1505">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465"/>
      <c r="Q36" s="1504" t="str">
        <f t="shared" si="11"/>
        <v>内部装修</v>
      </c>
      <c r="R36" s="713" t="s">
        <v>17</v>
      </c>
      <c r="S36" s="714">
        <f t="shared" si="12"/>
        <v>100</v>
      </c>
      <c r="T36" s="713" t="s">
        <v>17</v>
      </c>
      <c r="U36" s="714">
        <f t="shared" si="13"/>
        <v>100</v>
      </c>
      <c r="V36" s="713" t="s">
        <v>17</v>
      </c>
      <c r="W36" s="714">
        <f t="shared" si="14"/>
        <v>100</v>
      </c>
      <c r="X36" s="1507"/>
      <c r="Y36" s="3465"/>
      <c r="Z36" s="1508" t="str">
        <f t="shared" si="15"/>
        <v>内部装修</v>
      </c>
      <c r="AA36" s="1505">
        <f t="shared" si="3"/>
        <v>1</v>
      </c>
      <c r="AB36" s="1505">
        <f t="shared" si="4"/>
        <v>1</v>
      </c>
      <c r="AC36" s="1505">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465"/>
      <c r="Q37" s="1504" t="str">
        <f t="shared" si="11"/>
        <v>内部装修状况</v>
      </c>
      <c r="R37" s="713" t="s">
        <v>17</v>
      </c>
      <c r="S37" s="714">
        <f t="shared" si="12"/>
        <v>100</v>
      </c>
      <c r="T37" s="713" t="s">
        <v>17</v>
      </c>
      <c r="U37" s="714">
        <f t="shared" si="13"/>
        <v>100</v>
      </c>
      <c r="V37" s="713" t="s">
        <v>17</v>
      </c>
      <c r="W37" s="714">
        <f t="shared" si="14"/>
        <v>100</v>
      </c>
      <c r="X37" s="1507"/>
      <c r="Y37" s="3465"/>
      <c r="Z37" s="1508" t="str">
        <f t="shared" si="15"/>
        <v>内部装修状况</v>
      </c>
      <c r="AA37" s="1505">
        <f t="shared" si="3"/>
        <v>1</v>
      </c>
      <c r="AB37" s="1505">
        <f t="shared" si="4"/>
        <v>1</v>
      </c>
      <c r="AC37" s="1505">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465"/>
      <c r="Q38" s="715">
        <f t="shared" si="11"/>
        <v>111</v>
      </c>
      <c r="R38" s="716" t="s">
        <v>17</v>
      </c>
      <c r="S38" s="717">
        <f t="shared" si="12"/>
        <v>100</v>
      </c>
      <c r="T38" s="716" t="s">
        <v>17</v>
      </c>
      <c r="U38" s="717">
        <f t="shared" si="13"/>
        <v>100</v>
      </c>
      <c r="V38" s="716" t="s">
        <v>17</v>
      </c>
      <c r="W38" s="717">
        <f t="shared" si="14"/>
        <v>100</v>
      </c>
      <c r="X38" s="718"/>
      <c r="Y38" s="3465"/>
      <c r="Z38" s="719">
        <f t="shared" si="15"/>
        <v>111</v>
      </c>
      <c r="AA38" s="1505">
        <f t="shared" si="3"/>
        <v>1</v>
      </c>
      <c r="AB38" s="1505">
        <f t="shared" si="4"/>
        <v>1</v>
      </c>
      <c r="AC38" s="1505">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465"/>
      <c r="Q39" s="1504">
        <f t="shared" si="11"/>
        <v>111</v>
      </c>
      <c r="R39" s="713" t="s">
        <v>17</v>
      </c>
      <c r="S39" s="714">
        <f t="shared" si="12"/>
        <v>100</v>
      </c>
      <c r="T39" s="713" t="s">
        <v>17</v>
      </c>
      <c r="U39" s="714">
        <f t="shared" si="13"/>
        <v>100</v>
      </c>
      <c r="V39" s="713" t="s">
        <v>17</v>
      </c>
      <c r="W39" s="714">
        <f t="shared" si="14"/>
        <v>100</v>
      </c>
      <c r="X39" s="1507"/>
      <c r="Y39" s="3465"/>
      <c r="Z39" s="1508">
        <f t="shared" si="15"/>
        <v>111</v>
      </c>
      <c r="AA39" s="1505">
        <f t="shared" si="3"/>
        <v>1</v>
      </c>
      <c r="AB39" s="1505">
        <f t="shared" si="4"/>
        <v>1</v>
      </c>
      <c r="AC39" s="1505">
        <f t="shared" si="5"/>
        <v>1</v>
      </c>
    </row>
    <row r="40" spans="1:29" ht="15.75" thickBot="1">
      <c r="A40" s="437"/>
      <c r="B40" s="204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466"/>
      <c r="Q40" s="1504">
        <f t="shared" si="11"/>
        <v>111</v>
      </c>
      <c r="R40" s="713" t="s">
        <v>17</v>
      </c>
      <c r="S40" s="714">
        <f t="shared" si="12"/>
        <v>100</v>
      </c>
      <c r="T40" s="713" t="s">
        <v>17</v>
      </c>
      <c r="U40" s="714">
        <f t="shared" si="13"/>
        <v>100</v>
      </c>
      <c r="V40" s="713" t="s">
        <v>17</v>
      </c>
      <c r="W40" s="714">
        <f t="shared" si="14"/>
        <v>100</v>
      </c>
      <c r="X40" s="1507"/>
      <c r="Y40" s="3466"/>
      <c r="Z40" s="1508">
        <f t="shared" si="15"/>
        <v>111</v>
      </c>
      <c r="AA40" s="1505">
        <f t="shared" si="3"/>
        <v>1</v>
      </c>
      <c r="AB40" s="1505">
        <f t="shared" si="4"/>
        <v>1</v>
      </c>
      <c r="AC40" s="1505">
        <f t="shared" si="5"/>
        <v>1</v>
      </c>
    </row>
    <row r="41" spans="1:29" ht="15">
      <c r="A41" s="438" t="s">
        <v>2338</v>
      </c>
      <c r="B41" s="439"/>
      <c r="C41" s="1286" t="s">
        <v>1</v>
      </c>
      <c r="D41" s="1287"/>
      <c r="E41" s="1288"/>
      <c r="F41" s="1289"/>
      <c r="G41" s="1290"/>
      <c r="H41" s="1291"/>
      <c r="I41" s="1288"/>
      <c r="J41" s="1291"/>
      <c r="K41" s="722"/>
      <c r="L41" s="1056"/>
      <c r="M41" s="1057"/>
      <c r="N41" s="1044"/>
      <c r="O41" s="1057"/>
      <c r="P41" s="3467" t="str">
        <f>A41</f>
        <v>成交单价（元/平方米）</v>
      </c>
      <c r="Q41" s="3467"/>
      <c r="R41" s="3468">
        <f>E41</f>
        <v>0</v>
      </c>
      <c r="S41" s="3468"/>
      <c r="T41" s="3468">
        <f>G41</f>
        <v>0</v>
      </c>
      <c r="U41" s="3468"/>
      <c r="V41" s="3468">
        <f>I41</f>
        <v>0</v>
      </c>
      <c r="W41" s="3468"/>
      <c r="X41" s="698"/>
      <c r="Y41" s="720"/>
      <c r="Z41" s="698"/>
      <c r="AA41" s="698"/>
      <c r="AB41" s="698"/>
      <c r="AC41" s="698"/>
    </row>
    <row r="42" spans="1:29" ht="15.75" thickBot="1">
      <c r="A42" s="445" t="s">
        <v>2430</v>
      </c>
      <c r="B42" s="446"/>
      <c r="C42" s="1292" t="e">
        <f>R43</f>
        <v>#DIV/0!</v>
      </c>
      <c r="D42" s="2505" t="s">
        <v>2819</v>
      </c>
      <c r="E42" s="1293" t="e">
        <f>R42</f>
        <v>#DIV/0!</v>
      </c>
      <c r="F42" s="2506"/>
      <c r="G42" s="1292" t="e">
        <f>T42</f>
        <v>#DIV/0!</v>
      </c>
      <c r="H42" s="2506"/>
      <c r="I42" s="1293" t="e">
        <f>V42</f>
        <v>#DIV/0!</v>
      </c>
      <c r="J42" s="2506"/>
      <c r="K42" s="2508">
        <f>F42+H42+J42</f>
        <v>0</v>
      </c>
      <c r="L42" s="1056"/>
      <c r="M42" s="1057"/>
      <c r="N42" s="1044"/>
      <c r="O42" s="1057"/>
      <c r="P42" s="3467" t="str">
        <f>A42</f>
        <v>比较价值（元/平方米）</v>
      </c>
      <c r="Q42" s="3467"/>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698"/>
      <c r="Y42" s="698"/>
      <c r="Z42" s="698"/>
      <c r="AA42" s="698"/>
      <c r="AB42" s="698"/>
      <c r="AC42" s="698"/>
    </row>
    <row r="43" spans="1:29" ht="15.75" thickBot="1">
      <c r="A43" s="449" t="s">
        <v>2431</v>
      </c>
      <c r="B43" s="450"/>
      <c r="C43" s="1295" t="e">
        <f>R43</f>
        <v>#DIV/0!</v>
      </c>
      <c r="D43" s="1295"/>
      <c r="E43" s="1295"/>
      <c r="F43" s="1295"/>
      <c r="G43" s="1295"/>
      <c r="H43" s="1295"/>
      <c r="I43" s="1295"/>
      <c r="J43" s="1295"/>
      <c r="K43" s="723"/>
      <c r="L43" s="1056"/>
      <c r="M43" s="1057"/>
      <c r="N43" s="1057"/>
      <c r="O43" s="1057"/>
      <c r="P43" s="3506" t="str">
        <f>A43</f>
        <v>估价对象XX用房的比较价值（楼面单价，元/平方米）</v>
      </c>
      <c r="Q43" s="3507"/>
      <c r="R43" s="3508" t="e">
        <f>IF(F1="售价",ROUND(IF(D42="简单平均",AVERAGE(R42:V42),R42*F42+T42*H42+V42*J42),0),ROUND(IF(D42="简单平均",AVERAGE(R42:V42),R42*F42+T42*H42+V42*J42),1))</f>
        <v>#DIV/0!</v>
      </c>
      <c r="S43" s="3508"/>
      <c r="T43" s="3508"/>
      <c r="U43" s="3508"/>
      <c r="V43" s="3508"/>
      <c r="W43" s="3508"/>
      <c r="X43" s="698"/>
      <c r="Y43" s="698"/>
      <c r="Z43" s="698"/>
      <c r="AA43" s="698"/>
      <c r="AB43" s="698"/>
      <c r="AC43" s="698"/>
    </row>
    <row r="44" spans="1:29">
      <c r="A44" s="2921"/>
      <c r="B44" s="2921"/>
      <c r="C44" s="2921"/>
      <c r="D44" s="2921"/>
      <c r="E44" s="2921"/>
      <c r="F44" s="2921"/>
      <c r="G44" s="2925"/>
      <c r="H44" s="2921"/>
      <c r="I44" s="2921"/>
      <c r="J44" s="2921"/>
      <c r="K44" s="2926"/>
      <c r="L44" s="1019"/>
      <c r="M44" s="1057"/>
      <c r="N44" s="1057"/>
      <c r="O44" s="1057"/>
    </row>
    <row r="45" spans="1:29">
      <c r="A45" s="2921"/>
      <c r="B45" s="2921"/>
      <c r="C45" s="2921"/>
      <c r="D45" s="2921"/>
      <c r="E45" s="2921"/>
      <c r="F45" s="2921"/>
      <c r="G45" s="2921"/>
      <c r="H45" s="2921"/>
      <c r="I45" s="2921"/>
      <c r="J45" s="2921"/>
      <c r="K45" s="2926"/>
      <c r="L45" s="1019"/>
      <c r="M45" s="1057"/>
      <c r="N45" s="1057"/>
      <c r="O45" s="1057"/>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19"/>
      <c r="M46" s="1057"/>
      <c r="N46" s="1057"/>
      <c r="O46" s="1057"/>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19"/>
      <c r="M47" s="1057"/>
      <c r="N47" s="1057"/>
      <c r="O47" s="1057"/>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0"/>
      <c r="M48" s="1058"/>
      <c r="N48" s="1058"/>
      <c r="O48" s="1058"/>
    </row>
    <row r="49" spans="1:17" s="459" customFormat="1">
      <c r="A49" s="2924"/>
      <c r="B49" s="2927"/>
      <c r="C49" s="2928"/>
      <c r="D49" s="2924"/>
      <c r="E49" s="2924"/>
      <c r="F49" s="2924"/>
      <c r="G49" s="2924"/>
      <c r="H49" s="2924"/>
      <c r="I49" s="2924"/>
      <c r="J49" s="2924"/>
      <c r="K49" s="2929"/>
      <c r="L49" s="1060"/>
      <c r="M49" s="1058"/>
      <c r="N49" s="1058"/>
      <c r="O49" s="1058"/>
    </row>
    <row r="50" spans="1:17">
      <c r="A50" s="2921"/>
      <c r="B50" s="2927"/>
      <c r="C50" s="2928"/>
      <c r="D50" s="2921"/>
      <c r="E50" s="2921"/>
      <c r="F50" s="2921"/>
      <c r="G50" s="2921"/>
      <c r="H50" s="2921"/>
      <c r="I50" s="2921"/>
      <c r="J50" s="2921"/>
      <c r="K50" s="2926"/>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60"/>
      <c r="Q51" s="461"/>
    </row>
    <row r="52" spans="1:17" s="465" customFormat="1" ht="15">
      <c r="A52" s="462" t="s">
        <v>2309</v>
      </c>
      <c r="B52" s="463"/>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2349</v>
      </c>
      <c r="B57" s="485" t="s">
        <v>2315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1"/>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2"/>
      <c r="B87" s="526"/>
      <c r="C87" s="527"/>
      <c r="D87" s="527"/>
      <c r="E87" s="527"/>
      <c r="F87" s="527"/>
      <c r="G87" s="548"/>
      <c r="H87" s="548"/>
      <c r="I87" s="548"/>
      <c r="J87" s="548"/>
      <c r="K87" s="548"/>
      <c r="L87" s="548"/>
      <c r="M87" s="549"/>
      <c r="N87" s="1064"/>
      <c r="O87" s="1064"/>
      <c r="P87" s="45"/>
      <c r="Q87" s="461"/>
    </row>
    <row r="88" spans="1:17">
      <c r="A88" s="484" t="s">
        <v>2324</v>
      </c>
      <c r="B88" s="485" t="s">
        <v>2373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2375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2377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2378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2379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2381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估价对象为北京市房地产，为所有。根据《国有土地使用证》[]，估价对象（分摊）出让国有建设用地使用权面积为6706.16平方米，建筑面积为26834.3平方米。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估价对象为北京市房地产,属开发建设的，该项目尚在开发建设中。根据《国有土地使用证》[]，估价对象（分摊）出让国有建设用地使用权面积为6706.16平方米，规划建筑面积为26834.3平方米。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2022年3月25日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本次评估采用的主估价方法为基准地价系数修正法和收益法。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2088</v>
      </c>
      <c r="B2" s="1296"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0"/>
      <c r="M2" s="2931"/>
      <c r="N2" s="2931"/>
      <c r="O2" s="2931"/>
      <c r="P2" s="1297"/>
      <c r="Q2" s="707"/>
      <c r="R2" s="707"/>
      <c r="S2" s="707"/>
      <c r="T2" s="707"/>
      <c r="U2" s="707"/>
      <c r="V2" s="707"/>
      <c r="W2" s="707"/>
      <c r="X2" s="707"/>
      <c r="Y2" s="707"/>
      <c r="Z2" s="707"/>
      <c r="AA2" s="707"/>
      <c r="AB2" s="707"/>
      <c r="AC2" s="708"/>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8"/>
      <c r="H3" s="1038"/>
      <c r="I3" s="1038"/>
      <c r="J3" s="1038"/>
      <c r="K3" s="1040"/>
      <c r="L3" s="2930"/>
      <c r="M3" s="2931"/>
      <c r="N3" s="2931"/>
      <c r="O3" s="2931"/>
      <c r="P3" s="1297"/>
      <c r="Q3" s="707"/>
      <c r="R3" s="707"/>
      <c r="S3" s="707"/>
      <c r="T3" s="707"/>
      <c r="U3" s="707"/>
      <c r="V3" s="707"/>
      <c r="W3" s="707"/>
      <c r="X3" s="707"/>
      <c r="Y3" s="707"/>
      <c r="Z3" s="707"/>
      <c r="AA3" s="707"/>
      <c r="AB3" s="724"/>
      <c r="AC3" s="721"/>
    </row>
    <row r="4" spans="1:29" ht="15">
      <c r="A4" s="361" t="s">
        <v>2406</v>
      </c>
      <c r="B4" s="362"/>
      <c r="C4" s="3442" t="s">
        <v>2407</v>
      </c>
      <c r="D4" s="3443"/>
      <c r="E4" s="3444" t="s">
        <v>2408</v>
      </c>
      <c r="F4" s="3445"/>
      <c r="G4" s="3442" t="s">
        <v>2409</v>
      </c>
      <c r="H4" s="3443"/>
      <c r="I4" s="3442" t="s">
        <v>2410</v>
      </c>
      <c r="J4" s="3443"/>
      <c r="K4" s="567" t="s">
        <v>2411</v>
      </c>
      <c r="L4" s="2911"/>
      <c r="M4" s="2912"/>
      <c r="N4" s="2912"/>
      <c r="O4" s="2912"/>
      <c r="P4" s="3502" t="s">
        <v>2412</v>
      </c>
      <c r="Q4" s="3503"/>
      <c r="R4" s="3499" t="s">
        <v>2408</v>
      </c>
      <c r="S4" s="3500"/>
      <c r="T4" s="3499" t="s">
        <v>2409</v>
      </c>
      <c r="U4" s="3500"/>
      <c r="V4" s="3455" t="s">
        <v>2410</v>
      </c>
      <c r="W4" s="3455"/>
      <c r="X4" s="1507"/>
      <c r="Y4" s="3499" t="s">
        <v>2412</v>
      </c>
      <c r="Z4" s="3500"/>
      <c r="AA4" s="3498" t="s">
        <v>2408</v>
      </c>
      <c r="AB4" s="3421" t="s">
        <v>2409</v>
      </c>
      <c r="AC4" s="3498" t="s">
        <v>2410</v>
      </c>
    </row>
    <row r="5" spans="1:29" ht="15">
      <c r="A5" s="364"/>
      <c r="B5" s="365"/>
      <c r="C5" s="3431" t="s">
        <v>2303</v>
      </c>
      <c r="D5" s="3432"/>
      <c r="E5" s="3501" t="s">
        <v>2304</v>
      </c>
      <c r="F5" s="3430"/>
      <c r="G5" s="3431" t="s">
        <v>2305</v>
      </c>
      <c r="H5" s="3432"/>
      <c r="I5" s="3431" t="s">
        <v>2306</v>
      </c>
      <c r="J5" s="3432"/>
      <c r="K5" s="567"/>
      <c r="L5" s="2911"/>
      <c r="M5" s="2912"/>
      <c r="N5" s="2912"/>
      <c r="O5" s="2912"/>
      <c r="P5" s="3504"/>
      <c r="Q5" s="3449"/>
      <c r="R5" s="3427"/>
      <c r="S5" s="3428"/>
      <c r="T5" s="3427"/>
      <c r="U5" s="3428"/>
      <c r="V5" s="3455"/>
      <c r="W5" s="3455"/>
      <c r="X5" s="1507"/>
      <c r="Y5" s="3427"/>
      <c r="Z5" s="3428"/>
      <c r="AA5" s="3421"/>
      <c r="AB5" s="3421"/>
      <c r="AC5" s="3421"/>
    </row>
    <row r="6" spans="1:29" ht="15.75" thickBot="1">
      <c r="A6" s="366"/>
      <c r="B6" s="367"/>
      <c r="C6" s="3433" t="s">
        <v>2307</v>
      </c>
      <c r="D6" s="3434"/>
      <c r="E6" s="3436" t="s">
        <v>2307</v>
      </c>
      <c r="F6" s="3437"/>
      <c r="G6" s="3433" t="s">
        <v>2307</v>
      </c>
      <c r="H6" s="3434"/>
      <c r="I6" s="3433" t="s">
        <v>2307</v>
      </c>
      <c r="J6" s="3434"/>
      <c r="K6" s="567" t="s">
        <v>2308</v>
      </c>
      <c r="L6" s="2911"/>
      <c r="M6" s="2912"/>
      <c r="N6" s="2912"/>
      <c r="O6" s="2912"/>
      <c r="P6" s="3505"/>
      <c r="Q6" s="3451"/>
      <c r="R6" s="3427"/>
      <c r="S6" s="3428"/>
      <c r="T6" s="3452"/>
      <c r="U6" s="3453"/>
      <c r="V6" s="3455"/>
      <c r="W6" s="3455"/>
      <c r="X6" s="1507"/>
      <c r="Y6" s="3452"/>
      <c r="Z6" s="3453"/>
      <c r="AA6" s="3422"/>
      <c r="AB6" s="3422"/>
      <c r="AC6" s="3422"/>
    </row>
    <row r="7" spans="1:29" s="113" customFormat="1" ht="15.75" thickBot="1">
      <c r="A7" s="368" t="s">
        <v>2309</v>
      </c>
      <c r="B7" s="369"/>
      <c r="C7" s="370">
        <f>'数据-取费表'!B2</f>
        <v>44645</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23" t="s">
        <v>2310</v>
      </c>
      <c r="Q7" s="3457"/>
      <c r="R7" s="709" t="s">
        <v>17</v>
      </c>
      <c r="S7" s="710">
        <f t="shared" ref="S7:S14" si="0">F7</f>
        <v>0</v>
      </c>
      <c r="T7" s="709" t="s">
        <v>17</v>
      </c>
      <c r="U7" s="710">
        <f t="shared" ref="U7:U14" si="1">H7</f>
        <v>0</v>
      </c>
      <c r="V7" s="709" t="s">
        <v>17</v>
      </c>
      <c r="W7" s="710">
        <f t="shared" ref="W7:W14" si="2">J7</f>
        <v>0</v>
      </c>
      <c r="X7" s="711"/>
      <c r="Y7" s="3423" t="s">
        <v>2310</v>
      </c>
      <c r="Z7" s="3424"/>
      <c r="AA7" s="712" t="e">
        <f>D7/F7</f>
        <v>#DIV/0!</v>
      </c>
      <c r="AB7" s="712" t="e">
        <f>D7/H7</f>
        <v>#DIV/0!</v>
      </c>
      <c r="AC7" s="712"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23" t="s">
        <v>2313</v>
      </c>
      <c r="Q8" s="3424"/>
      <c r="R8" s="709" t="s">
        <v>17</v>
      </c>
      <c r="S8" s="710">
        <f t="shared" si="0"/>
        <v>0</v>
      </c>
      <c r="T8" s="709" t="s">
        <v>17</v>
      </c>
      <c r="U8" s="710">
        <f t="shared" si="1"/>
        <v>0</v>
      </c>
      <c r="V8" s="709" t="s">
        <v>17</v>
      </c>
      <c r="W8" s="710">
        <f t="shared" si="2"/>
        <v>0</v>
      </c>
      <c r="X8" s="711"/>
      <c r="Y8" s="3423" t="s">
        <v>2313</v>
      </c>
      <c r="Z8" s="3424"/>
      <c r="AA8" s="712" t="e">
        <f t="shared" ref="AA8:AA36" si="3">D8/F8</f>
        <v>#DIV/0!</v>
      </c>
      <c r="AB8" s="712" t="e">
        <f t="shared" ref="AB8:AB36" si="4">D8/H8</f>
        <v>#DIV/0!</v>
      </c>
      <c r="AC8" s="712"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67" t="s">
        <v>2316</v>
      </c>
      <c r="Q9" s="1495" t="str">
        <f t="shared" ref="Q9:Q14" si="6">B9</f>
        <v>用途</v>
      </c>
      <c r="R9" s="709" t="s">
        <v>17</v>
      </c>
      <c r="S9" s="710">
        <f t="shared" si="0"/>
        <v>100</v>
      </c>
      <c r="T9" s="709" t="s">
        <v>17</v>
      </c>
      <c r="U9" s="710">
        <f t="shared" si="1"/>
        <v>100</v>
      </c>
      <c r="V9" s="709" t="s">
        <v>17</v>
      </c>
      <c r="W9" s="710">
        <f t="shared" si="2"/>
        <v>100</v>
      </c>
      <c r="X9" s="711"/>
      <c r="Y9" s="3393" t="s">
        <v>2317</v>
      </c>
      <c r="Z9" s="55" t="str">
        <f t="shared" ref="Z9:Z14" si="7">Q9</f>
        <v>用途</v>
      </c>
      <c r="AA9" s="712">
        <f t="shared" si="3"/>
        <v>1</v>
      </c>
      <c r="AB9" s="712">
        <f t="shared" si="4"/>
        <v>1</v>
      </c>
      <c r="AC9" s="712">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67"/>
      <c r="Q10" s="1495"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67"/>
      <c r="Q11" s="1495">
        <f t="shared" si="6"/>
        <v>111</v>
      </c>
      <c r="R11" s="709" t="s">
        <v>17</v>
      </c>
      <c r="S11" s="710">
        <f t="shared" si="0"/>
        <v>100</v>
      </c>
      <c r="T11" s="709" t="s">
        <v>17</v>
      </c>
      <c r="U11" s="710">
        <f t="shared" si="1"/>
        <v>100</v>
      </c>
      <c r="V11" s="709" t="s">
        <v>17</v>
      </c>
      <c r="W11" s="710">
        <f t="shared" si="2"/>
        <v>100</v>
      </c>
      <c r="X11" s="711"/>
      <c r="Y11" s="3393"/>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67"/>
      <c r="Q12" s="1495">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67"/>
      <c r="Q13" s="1495">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712">
        <f t="shared" si="5"/>
        <v>1</v>
      </c>
    </row>
    <row r="14" spans="1:29" ht="85.5">
      <c r="A14" s="361" t="s">
        <v>2320</v>
      </c>
      <c r="B14" s="585" t="s">
        <v>2470</v>
      </c>
      <c r="C14" s="212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60" t="s">
        <v>2321</v>
      </c>
      <c r="Q14" s="1504" t="str">
        <f t="shared" si="6"/>
        <v>交通便捷度</v>
      </c>
      <c r="R14" s="713" t="s">
        <v>17</v>
      </c>
      <c r="S14" s="714">
        <f t="shared" si="0"/>
        <v>100</v>
      </c>
      <c r="T14" s="713" t="s">
        <v>17</v>
      </c>
      <c r="U14" s="714">
        <f t="shared" si="1"/>
        <v>100</v>
      </c>
      <c r="V14" s="713" t="s">
        <v>17</v>
      </c>
      <c r="W14" s="714">
        <f t="shared" si="2"/>
        <v>100</v>
      </c>
      <c r="X14" s="1507"/>
      <c r="Y14" s="3460" t="s">
        <v>2321</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8"/>
      <c r="M15" s="2912"/>
      <c r="N15" s="2912"/>
      <c r="O15" s="2912"/>
      <c r="P15" s="3461"/>
      <c r="Q15" s="1504"/>
      <c r="R15" s="713"/>
      <c r="S15" s="714"/>
      <c r="T15" s="713"/>
      <c r="U15" s="714"/>
      <c r="V15" s="713"/>
      <c r="W15" s="714"/>
      <c r="X15" s="1507"/>
      <c r="Y15" s="3461"/>
      <c r="Z15" s="1508"/>
      <c r="AA15" s="1505">
        <v>1</v>
      </c>
      <c r="AB15" s="1505">
        <v>1</v>
      </c>
      <c r="AC15" s="1505">
        <v>1</v>
      </c>
    </row>
    <row r="16" spans="1:29" ht="42.75">
      <c r="A16" s="364"/>
      <c r="B16" s="587" t="s">
        <v>2449</v>
      </c>
      <c r="C16" s="205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61"/>
      <c r="Q16" s="1504" t="str">
        <f>B16</f>
        <v>公共配套设施</v>
      </c>
      <c r="R16" s="713" t="s">
        <v>17</v>
      </c>
      <c r="S16" s="714">
        <f>F16</f>
        <v>100</v>
      </c>
      <c r="T16" s="713" t="s">
        <v>17</v>
      </c>
      <c r="U16" s="714">
        <f>H16</f>
        <v>100</v>
      </c>
      <c r="V16" s="713" t="s">
        <v>17</v>
      </c>
      <c r="W16" s="714">
        <f>J16</f>
        <v>100</v>
      </c>
      <c r="X16" s="1507"/>
      <c r="Y16" s="3461"/>
      <c r="Z16" s="1508" t="str">
        <f>Q16</f>
        <v>公共配套设施</v>
      </c>
      <c r="AA16" s="1505">
        <f t="shared" si="3"/>
        <v>1</v>
      </c>
      <c r="AB16" s="1505">
        <f t="shared" si="4"/>
        <v>1</v>
      </c>
      <c r="AC16" s="1505">
        <f t="shared" si="5"/>
        <v>1</v>
      </c>
    </row>
    <row r="17" spans="1:29" ht="15">
      <c r="A17" s="364"/>
      <c r="B17" s="588"/>
      <c r="C17" s="2055"/>
      <c r="D17" s="407"/>
      <c r="E17" s="406"/>
      <c r="F17" s="408"/>
      <c r="G17" s="406"/>
      <c r="H17" s="407"/>
      <c r="I17" s="406"/>
      <c r="J17" s="407"/>
      <c r="K17" s="572"/>
      <c r="L17" s="2918"/>
      <c r="M17" s="2912"/>
      <c r="N17" s="2912"/>
      <c r="O17" s="2912"/>
      <c r="P17" s="3461"/>
      <c r="Q17" s="1504"/>
      <c r="R17" s="713"/>
      <c r="S17" s="714"/>
      <c r="T17" s="713"/>
      <c r="U17" s="714"/>
      <c r="V17" s="713"/>
      <c r="W17" s="714"/>
      <c r="X17" s="1507"/>
      <c r="Y17" s="3461"/>
      <c r="Z17" s="1508"/>
      <c r="AA17" s="1505">
        <v>1</v>
      </c>
      <c r="AB17" s="1505">
        <v>1</v>
      </c>
      <c r="AC17" s="1505">
        <v>1</v>
      </c>
    </row>
    <row r="18" spans="1:29" ht="28.5">
      <c r="A18" s="364"/>
      <c r="B18" s="589" t="s">
        <v>2450</v>
      </c>
      <c r="C18" s="205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61"/>
      <c r="Q18" s="1504" t="str">
        <f>B18</f>
        <v>基础设施水平</v>
      </c>
      <c r="R18" s="713" t="s">
        <v>17</v>
      </c>
      <c r="S18" s="714">
        <f>F18</f>
        <v>100</v>
      </c>
      <c r="T18" s="713" t="s">
        <v>17</v>
      </c>
      <c r="U18" s="714">
        <f>H18</f>
        <v>100</v>
      </c>
      <c r="V18" s="713" t="s">
        <v>17</v>
      </c>
      <c r="W18" s="714">
        <f>J18</f>
        <v>100</v>
      </c>
      <c r="X18" s="1507"/>
      <c r="Y18" s="3461"/>
      <c r="Z18" s="1508" t="str">
        <f>Q18</f>
        <v>基础设施水平</v>
      </c>
      <c r="AA18" s="1505">
        <f t="shared" ref="AA18" si="8">D18/F18</f>
        <v>1</v>
      </c>
      <c r="AB18" s="1505">
        <f t="shared" ref="AB18" si="9">D18/H18</f>
        <v>1</v>
      </c>
      <c r="AC18" s="1505">
        <f t="shared" ref="AC18" si="10">D18/J18</f>
        <v>1</v>
      </c>
    </row>
    <row r="19" spans="1:29" ht="15">
      <c r="A19" s="364"/>
      <c r="B19" s="589"/>
      <c r="C19" s="2055"/>
      <c r="D19" s="409"/>
      <c r="E19" s="2055"/>
      <c r="F19" s="412"/>
      <c r="G19" s="2055"/>
      <c r="H19" s="407"/>
      <c r="I19" s="406"/>
      <c r="J19" s="407"/>
      <c r="K19" s="1262"/>
      <c r="L19" s="2918"/>
      <c r="M19" s="2912"/>
      <c r="N19" s="2912"/>
      <c r="O19" s="2912"/>
      <c r="P19" s="3461"/>
      <c r="Q19" s="1504"/>
      <c r="R19" s="713"/>
      <c r="S19" s="714"/>
      <c r="T19" s="713"/>
      <c r="U19" s="714"/>
      <c r="V19" s="713"/>
      <c r="W19" s="714"/>
      <c r="X19" s="1507"/>
      <c r="Y19" s="3461"/>
      <c r="Z19" s="1508"/>
      <c r="AA19" s="1505">
        <v>1</v>
      </c>
      <c r="AB19" s="1505">
        <v>1</v>
      </c>
      <c r="AC19" s="1505">
        <v>1</v>
      </c>
    </row>
    <row r="20" spans="1:29" ht="57">
      <c r="A20" s="364"/>
      <c r="B20" s="587" t="s">
        <v>2471</v>
      </c>
      <c r="C20" s="205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61"/>
      <c r="Q20" s="1504" t="str">
        <f>B20</f>
        <v>自然及人文环境</v>
      </c>
      <c r="R20" s="713" t="s">
        <v>17</v>
      </c>
      <c r="S20" s="714">
        <f>F20</f>
        <v>100</v>
      </c>
      <c r="T20" s="713" t="s">
        <v>17</v>
      </c>
      <c r="U20" s="714">
        <f>H20</f>
        <v>100</v>
      </c>
      <c r="V20" s="713" t="s">
        <v>17</v>
      </c>
      <c r="W20" s="714">
        <f>J20</f>
        <v>100</v>
      </c>
      <c r="X20" s="1507"/>
      <c r="Y20" s="3461"/>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8"/>
      <c r="M21" s="2912"/>
      <c r="N21" s="2912"/>
      <c r="O21" s="2912"/>
      <c r="P21" s="3461"/>
      <c r="Q21" s="1504"/>
      <c r="R21" s="713"/>
      <c r="S21" s="714"/>
      <c r="T21" s="713"/>
      <c r="U21" s="714"/>
      <c r="V21" s="713"/>
      <c r="W21" s="714"/>
      <c r="X21" s="1507"/>
      <c r="Y21" s="3461"/>
      <c r="Z21" s="1508"/>
      <c r="AA21" s="1505">
        <v>1</v>
      </c>
      <c r="AB21" s="1505">
        <v>1</v>
      </c>
      <c r="AC21" s="1505">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61"/>
      <c r="Q22" s="1504" t="str">
        <f>B22</f>
        <v>楼层</v>
      </c>
      <c r="R22" s="713" t="s">
        <v>17</v>
      </c>
      <c r="S22" s="714">
        <f>F22</f>
        <v>100</v>
      </c>
      <c r="T22" s="713" t="s">
        <v>17</v>
      </c>
      <c r="U22" s="714">
        <f>H22</f>
        <v>100</v>
      </c>
      <c r="V22" s="713" t="s">
        <v>17</v>
      </c>
      <c r="W22" s="714">
        <f>J22</f>
        <v>100</v>
      </c>
      <c r="X22" s="1507"/>
      <c r="Y22" s="3461"/>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61"/>
      <c r="Q23" s="1504">
        <f>B23</f>
        <v>111</v>
      </c>
      <c r="R23" s="713" t="s">
        <v>17</v>
      </c>
      <c r="S23" s="714">
        <f>F23</f>
        <v>100</v>
      </c>
      <c r="T23" s="713" t="s">
        <v>17</v>
      </c>
      <c r="U23" s="714">
        <f>H23</f>
        <v>100</v>
      </c>
      <c r="V23" s="713" t="s">
        <v>17</v>
      </c>
      <c r="W23" s="714">
        <f>J23</f>
        <v>100</v>
      </c>
      <c r="X23" s="1507"/>
      <c r="Y23" s="3461"/>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61"/>
      <c r="Q24" s="1504">
        <f t="shared" ref="Q24:Q36" si="11">B24</f>
        <v>111</v>
      </c>
      <c r="R24" s="713" t="s">
        <v>17</v>
      </c>
      <c r="S24" s="714">
        <f>F24</f>
        <v>100</v>
      </c>
      <c r="T24" s="713" t="s">
        <v>17</v>
      </c>
      <c r="U24" s="714">
        <f>H24</f>
        <v>100</v>
      </c>
      <c r="V24" s="713" t="s">
        <v>17</v>
      </c>
      <c r="W24" s="714">
        <f>J24</f>
        <v>100</v>
      </c>
      <c r="X24" s="1507"/>
      <c r="Y24" s="3461"/>
      <c r="Z24" s="1508">
        <f>Q24</f>
        <v>111</v>
      </c>
      <c r="AA24" s="1505">
        <f t="shared" si="3"/>
        <v>1</v>
      </c>
      <c r="AB24" s="1505">
        <f t="shared" si="4"/>
        <v>1</v>
      </c>
      <c r="AC24" s="150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61"/>
      <c r="Q25" s="1495">
        <f t="shared" si="11"/>
        <v>111</v>
      </c>
      <c r="R25" s="709" t="s">
        <v>17</v>
      </c>
      <c r="S25" s="710">
        <f>F25</f>
        <v>100</v>
      </c>
      <c r="T25" s="709" t="s">
        <v>17</v>
      </c>
      <c r="U25" s="710">
        <f>H25</f>
        <v>100</v>
      </c>
      <c r="V25" s="709" t="s">
        <v>17</v>
      </c>
      <c r="W25" s="710">
        <f>J25</f>
        <v>100</v>
      </c>
      <c r="X25" s="711"/>
      <c r="Y25" s="3461"/>
      <c r="Z25" s="55">
        <f>Q25</f>
        <v>111</v>
      </c>
      <c r="AA25" s="1505">
        <f>D25/F25</f>
        <v>1</v>
      </c>
      <c r="AB25" s="1505">
        <f>D25/H25</f>
        <v>1</v>
      </c>
      <c r="AC25" s="1505">
        <f>D25/J25</f>
        <v>1</v>
      </c>
    </row>
    <row r="26" spans="1:29" ht="28.5">
      <c r="A26" s="608" t="s">
        <v>2324</v>
      </c>
      <c r="B26" s="66" t="s">
        <v>2473</v>
      </c>
      <c r="C26" s="2125">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509" t="s">
        <v>2326</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465" t="s">
        <v>2326</v>
      </c>
      <c r="Z26" s="1508" t="str">
        <f t="shared" ref="Z26:Z36" si="15">Q26</f>
        <v>配套类型</v>
      </c>
      <c r="AA26" s="1505">
        <f t="shared" si="3"/>
        <v>1</v>
      </c>
      <c r="AB26" s="1505">
        <f t="shared" si="4"/>
        <v>1</v>
      </c>
      <c r="AC26" s="1505">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65"/>
      <c r="Q27" s="715" t="str">
        <f t="shared" si="11"/>
        <v>项目停车位配比</v>
      </c>
      <c r="R27" s="716" t="s">
        <v>17</v>
      </c>
      <c r="S27" s="717">
        <f t="shared" si="12"/>
        <v>100</v>
      </c>
      <c r="T27" s="716" t="s">
        <v>17</v>
      </c>
      <c r="U27" s="717">
        <f t="shared" si="13"/>
        <v>100</v>
      </c>
      <c r="V27" s="716" t="s">
        <v>17</v>
      </c>
      <c r="W27" s="717">
        <f t="shared" si="14"/>
        <v>100</v>
      </c>
      <c r="X27" s="718"/>
      <c r="Y27" s="3465"/>
      <c r="Z27" s="719" t="str">
        <f t="shared" si="15"/>
        <v>项目停车位配比</v>
      </c>
      <c r="AA27" s="1505">
        <f t="shared" si="3"/>
        <v>1</v>
      </c>
      <c r="AB27" s="1505">
        <f t="shared" si="4"/>
        <v>1</v>
      </c>
      <c r="AC27" s="1505">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65"/>
      <c r="Q28" s="1504" t="str">
        <f t="shared" si="11"/>
        <v>公共部分装修</v>
      </c>
      <c r="R28" s="713" t="s">
        <v>17</v>
      </c>
      <c r="S28" s="714">
        <f t="shared" si="12"/>
        <v>100</v>
      </c>
      <c r="T28" s="713" t="s">
        <v>17</v>
      </c>
      <c r="U28" s="714">
        <f t="shared" si="13"/>
        <v>100</v>
      </c>
      <c r="V28" s="713" t="s">
        <v>17</v>
      </c>
      <c r="W28" s="714">
        <f t="shared" si="14"/>
        <v>100</v>
      </c>
      <c r="X28" s="1507"/>
      <c r="Y28" s="3465"/>
      <c r="Z28" s="1508" t="str">
        <f t="shared" si="15"/>
        <v>公共部分装修</v>
      </c>
      <c r="AA28" s="1505">
        <f t="shared" si="3"/>
        <v>1</v>
      </c>
      <c r="AB28" s="1505">
        <f t="shared" si="4"/>
        <v>1</v>
      </c>
      <c r="AC28" s="1505">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65"/>
      <c r="Q29" s="1504" t="str">
        <f t="shared" si="11"/>
        <v>成新率</v>
      </c>
      <c r="R29" s="713" t="s">
        <v>17</v>
      </c>
      <c r="S29" s="714" t="e">
        <f t="shared" si="12"/>
        <v>#N/A</v>
      </c>
      <c r="T29" s="713" t="s">
        <v>17</v>
      </c>
      <c r="U29" s="714" t="e">
        <f t="shared" si="13"/>
        <v>#N/A</v>
      </c>
      <c r="V29" s="713" t="s">
        <v>17</v>
      </c>
      <c r="W29" s="714" t="e">
        <f t="shared" si="14"/>
        <v>#N/A</v>
      </c>
      <c r="X29" s="1507"/>
      <c r="Y29" s="3465"/>
      <c r="Z29" s="1508" t="str">
        <f t="shared" si="15"/>
        <v>成新率</v>
      </c>
      <c r="AA29" s="1505" t="e">
        <f t="shared" si="3"/>
        <v>#N/A</v>
      </c>
      <c r="AB29" s="1505" t="e">
        <f t="shared" si="4"/>
        <v>#N/A</v>
      </c>
      <c r="AC29" s="1505"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65"/>
      <c r="Q30" s="1504" t="str">
        <f t="shared" si="11"/>
        <v>物业等级</v>
      </c>
      <c r="R30" s="713" t="s">
        <v>17</v>
      </c>
      <c r="S30" s="714">
        <f t="shared" si="12"/>
        <v>100</v>
      </c>
      <c r="T30" s="713" t="s">
        <v>17</v>
      </c>
      <c r="U30" s="714">
        <f t="shared" si="13"/>
        <v>100</v>
      </c>
      <c r="V30" s="713" t="s">
        <v>17</v>
      </c>
      <c r="W30" s="714">
        <f t="shared" si="14"/>
        <v>100</v>
      </c>
      <c r="X30" s="1507"/>
      <c r="Y30" s="3465"/>
      <c r="Z30" s="1508" t="str">
        <f t="shared" si="15"/>
        <v>物业等级</v>
      </c>
      <c r="AA30" s="1505">
        <f t="shared" si="3"/>
        <v>1</v>
      </c>
      <c r="AB30" s="1505">
        <f t="shared" si="4"/>
        <v>1</v>
      </c>
      <c r="AC30" s="1505">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65"/>
      <c r="Q31" s="1495" t="str">
        <f t="shared" si="11"/>
        <v>停车位面积</v>
      </c>
      <c r="R31" s="709" t="s">
        <v>17</v>
      </c>
      <c r="S31" s="710" t="e">
        <f t="shared" si="12"/>
        <v>#N/A</v>
      </c>
      <c r="T31" s="709" t="s">
        <v>17</v>
      </c>
      <c r="U31" s="710" t="e">
        <f t="shared" si="13"/>
        <v>#N/A</v>
      </c>
      <c r="V31" s="709" t="s">
        <v>17</v>
      </c>
      <c r="W31" s="710" t="e">
        <f t="shared" si="14"/>
        <v>#N/A</v>
      </c>
      <c r="X31" s="711"/>
      <c r="Y31" s="3465"/>
      <c r="Z31" s="55" t="str">
        <f t="shared" si="15"/>
        <v>停车位面积</v>
      </c>
      <c r="AA31" s="712" t="e">
        <f t="shared" si="3"/>
        <v>#N/A</v>
      </c>
      <c r="AB31" s="712" t="e">
        <f t="shared" si="4"/>
        <v>#N/A</v>
      </c>
      <c r="AC31" s="712"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65" t="s">
        <v>2326</v>
      </c>
      <c r="Q32" s="1504" t="str">
        <f t="shared" si="11"/>
        <v>车位类型</v>
      </c>
      <c r="R32" s="713" t="s">
        <v>17</v>
      </c>
      <c r="S32" s="714">
        <f t="shared" si="12"/>
        <v>100</v>
      </c>
      <c r="T32" s="713" t="s">
        <v>17</v>
      </c>
      <c r="U32" s="714">
        <f t="shared" si="13"/>
        <v>100</v>
      </c>
      <c r="V32" s="713" t="s">
        <v>17</v>
      </c>
      <c r="W32" s="714">
        <f t="shared" si="14"/>
        <v>100</v>
      </c>
      <c r="X32" s="1507"/>
      <c r="Y32" s="3465" t="s">
        <v>2326</v>
      </c>
      <c r="Z32" s="1508" t="str">
        <f t="shared" si="15"/>
        <v>车位类型</v>
      </c>
      <c r="AA32" s="1505">
        <f t="shared" si="3"/>
        <v>1</v>
      </c>
      <c r="AB32" s="1505">
        <f t="shared" si="4"/>
        <v>1</v>
      </c>
      <c r="AC32" s="1505">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65"/>
      <c r="Q33" s="1504" t="str">
        <f t="shared" si="11"/>
        <v>是否直接入户</v>
      </c>
      <c r="R33" s="713" t="s">
        <v>17</v>
      </c>
      <c r="S33" s="714">
        <f t="shared" si="12"/>
        <v>100</v>
      </c>
      <c r="T33" s="713" t="s">
        <v>17</v>
      </c>
      <c r="U33" s="714">
        <f t="shared" si="13"/>
        <v>100</v>
      </c>
      <c r="V33" s="713" t="s">
        <v>17</v>
      </c>
      <c r="W33" s="714">
        <f t="shared" si="14"/>
        <v>100</v>
      </c>
      <c r="X33" s="1507"/>
      <c r="Y33" s="3465"/>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65"/>
      <c r="Q34" s="1504">
        <f t="shared" si="11"/>
        <v>111</v>
      </c>
      <c r="R34" s="713" t="s">
        <v>17</v>
      </c>
      <c r="S34" s="714">
        <f t="shared" si="12"/>
        <v>100</v>
      </c>
      <c r="T34" s="713" t="s">
        <v>17</v>
      </c>
      <c r="U34" s="714">
        <f t="shared" si="13"/>
        <v>100</v>
      </c>
      <c r="V34" s="713" t="s">
        <v>17</v>
      </c>
      <c r="W34" s="714">
        <f t="shared" si="14"/>
        <v>100</v>
      </c>
      <c r="X34" s="1507"/>
      <c r="Y34" s="3465"/>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65"/>
      <c r="Q35" s="715">
        <f t="shared" si="11"/>
        <v>111</v>
      </c>
      <c r="R35" s="716" t="s">
        <v>17</v>
      </c>
      <c r="S35" s="717">
        <f t="shared" si="12"/>
        <v>100</v>
      </c>
      <c r="T35" s="716" t="s">
        <v>17</v>
      </c>
      <c r="U35" s="717">
        <f t="shared" si="13"/>
        <v>100</v>
      </c>
      <c r="V35" s="716" t="s">
        <v>17</v>
      </c>
      <c r="W35" s="717">
        <f t="shared" si="14"/>
        <v>100</v>
      </c>
      <c r="X35" s="718"/>
      <c r="Y35" s="3465"/>
      <c r="Z35" s="719">
        <f t="shared" si="15"/>
        <v>111</v>
      </c>
      <c r="AA35" s="1505">
        <f t="shared" si="3"/>
        <v>1</v>
      </c>
      <c r="AB35" s="1505">
        <f t="shared" si="4"/>
        <v>1</v>
      </c>
      <c r="AC35" s="150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65"/>
      <c r="Q36" s="1504">
        <f t="shared" si="11"/>
        <v>111</v>
      </c>
      <c r="R36" s="713" t="s">
        <v>17</v>
      </c>
      <c r="S36" s="714">
        <f t="shared" si="12"/>
        <v>100</v>
      </c>
      <c r="T36" s="713" t="s">
        <v>17</v>
      </c>
      <c r="U36" s="714">
        <f t="shared" si="13"/>
        <v>100</v>
      </c>
      <c r="V36" s="713" t="s">
        <v>17</v>
      </c>
      <c r="W36" s="714">
        <f t="shared" si="14"/>
        <v>100</v>
      </c>
      <c r="X36" s="1507"/>
      <c r="Y36" s="3465"/>
      <c r="Z36" s="1508">
        <f t="shared" si="15"/>
        <v>111</v>
      </c>
      <c r="AA36" s="1505">
        <f t="shared" si="3"/>
        <v>1</v>
      </c>
      <c r="AB36" s="1505">
        <f t="shared" si="4"/>
        <v>1</v>
      </c>
      <c r="AC36" s="1505">
        <f t="shared" si="5"/>
        <v>1</v>
      </c>
    </row>
    <row r="37" spans="1:29" ht="15">
      <c r="A37" s="438" t="s">
        <v>2481</v>
      </c>
      <c r="B37" s="2126" t="s">
        <v>2482</v>
      </c>
      <c r="C37" s="1286" t="s">
        <v>1</v>
      </c>
      <c r="D37" s="1287"/>
      <c r="E37" s="1288"/>
      <c r="F37" s="1289"/>
      <c r="G37" s="1290"/>
      <c r="H37" s="1291"/>
      <c r="I37" s="1288"/>
      <c r="J37" s="1291"/>
      <c r="K37" s="576"/>
      <c r="L37" s="2920"/>
      <c r="M37" s="2921"/>
      <c r="N37" s="2912"/>
      <c r="O37" s="2921"/>
      <c r="P37" s="3467" t="str">
        <f>A37</f>
        <v>成交单价</v>
      </c>
      <c r="Q37" s="3467"/>
      <c r="R37" s="3468">
        <f>E37</f>
        <v>0</v>
      </c>
      <c r="S37" s="3468"/>
      <c r="T37" s="3468">
        <f>G37</f>
        <v>0</v>
      </c>
      <c r="U37" s="3468"/>
      <c r="V37" s="3468">
        <f>I37</f>
        <v>0</v>
      </c>
      <c r="W37" s="3468"/>
      <c r="X37" s="698"/>
      <c r="Y37" s="720"/>
      <c r="Z37" s="698"/>
      <c r="AA37" s="698"/>
      <c r="AB37" s="698"/>
      <c r="AC37" s="698"/>
    </row>
    <row r="38" spans="1:29" ht="15.75" thickBot="1">
      <c r="A38" s="445" t="s">
        <v>2483</v>
      </c>
      <c r="B38" s="446" t="str">
        <f>B37</f>
        <v>元/车位</v>
      </c>
      <c r="C38" s="1292" t="e">
        <f>R39</f>
        <v>#DIV/0!</v>
      </c>
      <c r="D38" s="2505" t="s">
        <v>2819</v>
      </c>
      <c r="E38" s="1293" t="e">
        <f>R38</f>
        <v>#DIV/0!</v>
      </c>
      <c r="F38" s="2506"/>
      <c r="G38" s="1292" t="e">
        <f>T38</f>
        <v>#DIV/0!</v>
      </c>
      <c r="H38" s="2506"/>
      <c r="I38" s="1293" t="e">
        <f>V38</f>
        <v>#DIV/0!</v>
      </c>
      <c r="J38" s="2506"/>
      <c r="K38" s="2508">
        <f>F38+H38+J38</f>
        <v>0</v>
      </c>
      <c r="L38" s="2920"/>
      <c r="M38" s="2921"/>
      <c r="N38" s="2921"/>
      <c r="O38" s="2921"/>
      <c r="P38" s="3467" t="str">
        <f>A38</f>
        <v>比较价值（元/平方米）</v>
      </c>
      <c r="Q38" s="3467"/>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698"/>
      <c r="Y38" s="698"/>
      <c r="Z38" s="698"/>
      <c r="AA38" s="698"/>
      <c r="AB38" s="698"/>
      <c r="AC38" s="698"/>
    </row>
    <row r="39" spans="1:29" ht="15.75" thickBot="1">
      <c r="A39" s="449" t="s">
        <v>2484</v>
      </c>
      <c r="B39" s="450"/>
      <c r="C39" s="1295" t="e">
        <f>R39</f>
        <v>#DIV/0!</v>
      </c>
      <c r="D39" s="1295"/>
      <c r="E39" s="1295"/>
      <c r="F39" s="1295"/>
      <c r="G39" s="1295"/>
      <c r="H39" s="1295"/>
      <c r="I39" s="1295"/>
      <c r="J39" s="1295"/>
      <c r="K39" s="577"/>
      <c r="L39" s="2920"/>
      <c r="M39" s="2921"/>
      <c r="N39" s="2921"/>
      <c r="O39" s="2921"/>
      <c r="P39" s="3506" t="str">
        <f>A39</f>
        <v>估价对象XX用房的比较价值（楼面单价，元/平方米）</v>
      </c>
      <c r="Q39" s="3507"/>
      <c r="R39" s="3510" t="e">
        <f>IF(F1="售价",ROUND(IF(D38="简单平均",AVERAGE(R38:W38),R38*F38+T38*H38+V38*J38),0),ROUND(IF(D38="简单平均",AVERAGE(R38:V38),R38*F38+T38*H38+V38*J38),1))</f>
        <v>#DIV/0!</v>
      </c>
      <c r="S39" s="3510"/>
      <c r="T39" s="3510"/>
      <c r="U39" s="3510"/>
      <c r="V39" s="3510"/>
      <c r="W39" s="3510"/>
      <c r="X39" s="698"/>
      <c r="Y39" s="698"/>
      <c r="Z39" s="698"/>
      <c r="AA39" s="698"/>
      <c r="AB39" s="698"/>
      <c r="AC39" s="698"/>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8" t="s">
        <v>2488</v>
      </c>
      <c r="B47" s="1057"/>
      <c r="C47" s="1070"/>
      <c r="D47" s="1070"/>
      <c r="E47" s="1070"/>
      <c r="F47" s="1299"/>
      <c r="G47" s="1299"/>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5"/>
      <c r="Q48" s="2937"/>
      <c r="R48" s="2937"/>
      <c r="S48" s="2937"/>
      <c r="T48" s="2937"/>
      <c r="U48" s="2937"/>
      <c r="V48" s="2937"/>
      <c r="W48" s="2937"/>
      <c r="X48" s="2937"/>
      <c r="Y48" s="2937"/>
      <c r="Z48" s="2937"/>
      <c r="AA48" s="2937"/>
      <c r="AB48" s="2937"/>
      <c r="AC48" s="2937"/>
    </row>
    <row r="49" spans="1:29" s="113" customFormat="1" ht="15">
      <c r="A49" s="466"/>
      <c r="B49" s="467"/>
      <c r="C49" s="1309">
        <v>100</v>
      </c>
      <c r="D49" s="469"/>
      <c r="E49" s="469"/>
      <c r="F49" s="469"/>
      <c r="G49" s="469"/>
      <c r="H49" s="469"/>
      <c r="I49" s="469"/>
      <c r="J49" s="469"/>
      <c r="K49" s="469"/>
      <c r="L49" s="469"/>
      <c r="M49" s="470"/>
      <c r="N49" s="469"/>
      <c r="O49" s="470"/>
      <c r="P49" s="2956"/>
      <c r="Q49" s="2855"/>
      <c r="R49" s="2855"/>
      <c r="S49" s="2855"/>
      <c r="T49" s="2855"/>
      <c r="U49" s="2855"/>
      <c r="V49" s="2855"/>
      <c r="W49" s="2855"/>
      <c r="X49" s="2855"/>
      <c r="Y49" s="2855"/>
      <c r="Z49" s="2855"/>
      <c r="AA49" s="2855"/>
      <c r="AB49" s="2855"/>
      <c r="AC49" s="2855"/>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5"/>
      <c r="S50" s="2855"/>
      <c r="T50" s="2855"/>
      <c r="U50" s="2855"/>
      <c r="V50" s="2855"/>
      <c r="W50" s="2855"/>
      <c r="X50" s="2855"/>
      <c r="Y50" s="2855"/>
      <c r="Z50" s="2855"/>
      <c r="AA50" s="2855"/>
      <c r="AB50" s="2855"/>
      <c r="AC50" s="2855"/>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5"/>
      <c r="S52" s="2855"/>
      <c r="T52" s="2855"/>
      <c r="U52" s="2855"/>
      <c r="V52" s="2855"/>
      <c r="W52" s="2855"/>
      <c r="X52" s="2855"/>
      <c r="Y52" s="2855"/>
      <c r="Z52" s="2855"/>
      <c r="AA52" s="2855"/>
      <c r="AB52" s="2855"/>
      <c r="AC52" s="2855"/>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1"/>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50"/>
      <c r="O74" s="2950"/>
      <c r="P74" s="2958"/>
      <c r="Q74" s="2935"/>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50"/>
      <c r="O76" s="2950"/>
      <c r="P76" s="2958"/>
      <c r="Q76" s="2935"/>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IF(C2="——",ROUND(C37*D3/10000,0),ROUND(C37*D3/10000,0)-D2)</f>
        <v>#DIV/0!</v>
      </c>
      <c r="C2" s="2035"/>
      <c r="D2" s="1037" t="e">
        <f ca="1">SUMIF(INDIRECT("'"&amp;F2&amp;"'"&amp;"!A:A"),"承租人权益价值",INDIRECT("'"&amp;F2&amp;"'"&amp;"!c:c"))</f>
        <v>#REF!</v>
      </c>
      <c r="E2" s="2036" t="s">
        <v>2089</v>
      </c>
      <c r="F2" s="2037"/>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8" customFormat="1" ht="28.5" customHeight="1" thickBot="1">
      <c r="A3" s="209" t="s">
        <v>2090</v>
      </c>
      <c r="B3" s="566" t="e">
        <f ca="1">IF(C2="——",C37,ROUND(B2*10000/D3,0))</f>
        <v>#DIV/0!</v>
      </c>
      <c r="C3" s="360" t="s">
        <v>2405</v>
      </c>
      <c r="D3" s="359">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1" t="s">
        <v>2406</v>
      </c>
      <c r="B4" s="362"/>
      <c r="C4" s="3442" t="s">
        <v>2407</v>
      </c>
      <c r="D4" s="3443"/>
      <c r="E4" s="3444" t="s">
        <v>2408</v>
      </c>
      <c r="F4" s="3445"/>
      <c r="G4" s="3442" t="s">
        <v>2409</v>
      </c>
      <c r="H4" s="3443"/>
      <c r="I4" s="3442" t="s">
        <v>2410</v>
      </c>
      <c r="J4" s="3443"/>
      <c r="K4" s="567" t="s">
        <v>2411</v>
      </c>
      <c r="L4" s="2911"/>
      <c r="M4" s="2912"/>
      <c r="N4" s="2912"/>
      <c r="O4" s="2912"/>
      <c r="P4" s="3502" t="s">
        <v>2412</v>
      </c>
      <c r="Q4" s="3503"/>
      <c r="R4" s="3499" t="s">
        <v>2408</v>
      </c>
      <c r="S4" s="3500"/>
      <c r="T4" s="3499" t="s">
        <v>2409</v>
      </c>
      <c r="U4" s="3500"/>
      <c r="V4" s="3455" t="s">
        <v>2410</v>
      </c>
      <c r="W4" s="3455"/>
      <c r="X4" s="1507"/>
      <c r="Y4" s="3499" t="s">
        <v>2412</v>
      </c>
      <c r="Z4" s="3500"/>
      <c r="AA4" s="3498" t="s">
        <v>2408</v>
      </c>
      <c r="AB4" s="3421" t="s">
        <v>2409</v>
      </c>
      <c r="AC4" s="3498" t="s">
        <v>2410</v>
      </c>
    </row>
    <row r="5" spans="1:29" ht="15">
      <c r="A5" s="364"/>
      <c r="B5" s="365"/>
      <c r="C5" s="3431" t="s">
        <v>2303</v>
      </c>
      <c r="D5" s="3432"/>
      <c r="E5" s="3501" t="s">
        <v>2304</v>
      </c>
      <c r="F5" s="3430"/>
      <c r="G5" s="3431" t="s">
        <v>2305</v>
      </c>
      <c r="H5" s="3432"/>
      <c r="I5" s="3431" t="s">
        <v>2306</v>
      </c>
      <c r="J5" s="3432"/>
      <c r="K5" s="567"/>
      <c r="L5" s="2911"/>
      <c r="M5" s="2912"/>
      <c r="N5" s="2912"/>
      <c r="O5" s="2912"/>
      <c r="P5" s="3504"/>
      <c r="Q5" s="3449"/>
      <c r="R5" s="3427"/>
      <c r="S5" s="3428"/>
      <c r="T5" s="3427"/>
      <c r="U5" s="3428"/>
      <c r="V5" s="3455"/>
      <c r="W5" s="3455"/>
      <c r="X5" s="1507"/>
      <c r="Y5" s="3427"/>
      <c r="Z5" s="3428"/>
      <c r="AA5" s="3421"/>
      <c r="AB5" s="3421"/>
      <c r="AC5" s="3421"/>
    </row>
    <row r="6" spans="1:29" ht="15.75" thickBot="1">
      <c r="A6" s="366"/>
      <c r="B6" s="367"/>
      <c r="C6" s="3433" t="s">
        <v>2307</v>
      </c>
      <c r="D6" s="3434"/>
      <c r="E6" s="3436" t="s">
        <v>2307</v>
      </c>
      <c r="F6" s="3437"/>
      <c r="G6" s="3433" t="s">
        <v>2307</v>
      </c>
      <c r="H6" s="3434"/>
      <c r="I6" s="3433" t="s">
        <v>2307</v>
      </c>
      <c r="J6" s="3434"/>
      <c r="K6" s="567" t="s">
        <v>2308</v>
      </c>
      <c r="L6" s="2911"/>
      <c r="M6" s="2912"/>
      <c r="N6" s="2912"/>
      <c r="O6" s="2912"/>
      <c r="P6" s="3505"/>
      <c r="Q6" s="3451"/>
      <c r="R6" s="3427"/>
      <c r="S6" s="3428"/>
      <c r="T6" s="3452"/>
      <c r="U6" s="3453"/>
      <c r="V6" s="3455"/>
      <c r="W6" s="3455"/>
      <c r="X6" s="1507"/>
      <c r="Y6" s="3452"/>
      <c r="Z6" s="3453"/>
      <c r="AA6" s="3422"/>
      <c r="AB6" s="3422"/>
      <c r="AC6" s="3422"/>
    </row>
    <row r="7" spans="1:29" s="113" customFormat="1" ht="15.75" thickBot="1">
      <c r="A7" s="368" t="s">
        <v>2309</v>
      </c>
      <c r="B7" s="369"/>
      <c r="C7" s="370">
        <f>'数据-取费表'!B2</f>
        <v>44645</v>
      </c>
      <c r="D7" s="371">
        <v>100</v>
      </c>
      <c r="E7" s="372"/>
      <c r="F7" s="373">
        <f>SUMIF(46:46,YEAR(E7)&amp;"-"&amp;MONTH(E7),47:47)</f>
        <v>0</v>
      </c>
      <c r="G7" s="2127"/>
      <c r="H7" s="371">
        <f>SUMIF(46:46,YEAR(G7)&amp;"-"&amp;MONTH(G7),47:47)</f>
        <v>0</v>
      </c>
      <c r="I7" s="372"/>
      <c r="J7" s="371">
        <f>SUMIF(46:46,YEAR(I7)&amp;"-"&amp;MONTH(I7),47:47)</f>
        <v>0</v>
      </c>
      <c r="K7" s="568"/>
      <c r="L7" s="2913"/>
      <c r="M7" s="2914"/>
      <c r="N7" s="2914"/>
      <c r="O7" s="2914"/>
      <c r="P7" s="3423" t="s">
        <v>2310</v>
      </c>
      <c r="Q7" s="3457"/>
      <c r="R7" s="709" t="s">
        <v>17</v>
      </c>
      <c r="S7" s="710">
        <f t="shared" ref="S7:S14" si="0">F7</f>
        <v>0</v>
      </c>
      <c r="T7" s="709" t="s">
        <v>17</v>
      </c>
      <c r="U7" s="710">
        <f t="shared" ref="U7:U14" si="1">H7</f>
        <v>0</v>
      </c>
      <c r="V7" s="709" t="s">
        <v>17</v>
      </c>
      <c r="W7" s="710">
        <f t="shared" ref="W7:W14" si="2">J7</f>
        <v>0</v>
      </c>
      <c r="X7" s="711"/>
      <c r="Y7" s="3423" t="s">
        <v>2310</v>
      </c>
      <c r="Z7" s="3424"/>
      <c r="AA7" s="712" t="e">
        <f>D7/F7</f>
        <v>#DIV/0!</v>
      </c>
      <c r="AB7" s="712" t="e">
        <f>D7/H7</f>
        <v>#DIV/0!</v>
      </c>
      <c r="AC7" s="712"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23" t="s">
        <v>2313</v>
      </c>
      <c r="Q8" s="3424"/>
      <c r="R8" s="709" t="s">
        <v>17</v>
      </c>
      <c r="S8" s="710">
        <f t="shared" si="0"/>
        <v>0</v>
      </c>
      <c r="T8" s="709" t="s">
        <v>17</v>
      </c>
      <c r="U8" s="710">
        <f t="shared" si="1"/>
        <v>0</v>
      </c>
      <c r="V8" s="709" t="s">
        <v>17</v>
      </c>
      <c r="W8" s="710">
        <f t="shared" si="2"/>
        <v>0</v>
      </c>
      <c r="X8" s="711"/>
      <c r="Y8" s="3423" t="s">
        <v>2313</v>
      </c>
      <c r="Z8" s="3424"/>
      <c r="AA8" s="712" t="e">
        <f t="shared" ref="AA8:AA34" si="3">D8/F8</f>
        <v>#DIV/0!</v>
      </c>
      <c r="AB8" s="712" t="e">
        <f t="shared" ref="AB8:AB34" si="4">D8/H8</f>
        <v>#DIV/0!</v>
      </c>
      <c r="AC8" s="712"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67" t="s">
        <v>2316</v>
      </c>
      <c r="Q9" s="1495" t="str">
        <f t="shared" ref="Q9:Q14" si="6">B9</f>
        <v>用途</v>
      </c>
      <c r="R9" s="709" t="s">
        <v>17</v>
      </c>
      <c r="S9" s="710">
        <f t="shared" si="0"/>
        <v>100</v>
      </c>
      <c r="T9" s="709" t="s">
        <v>17</v>
      </c>
      <c r="U9" s="710">
        <f t="shared" si="1"/>
        <v>100</v>
      </c>
      <c r="V9" s="709" t="s">
        <v>17</v>
      </c>
      <c r="W9" s="710">
        <f t="shared" si="2"/>
        <v>100</v>
      </c>
      <c r="X9" s="711"/>
      <c r="Y9" s="3393" t="s">
        <v>2317</v>
      </c>
      <c r="Z9" s="55" t="str">
        <f t="shared" ref="Z9:Z14" si="7">Q9</f>
        <v>用途</v>
      </c>
      <c r="AA9" s="712">
        <f t="shared" si="3"/>
        <v>1</v>
      </c>
      <c r="AB9" s="712">
        <f t="shared" si="4"/>
        <v>1</v>
      </c>
      <c r="AC9" s="712">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67"/>
      <c r="Q10" s="1495" t="str">
        <f t="shared" si="6"/>
        <v>土地使用年限（年）</v>
      </c>
      <c r="R10" s="709" t="s">
        <v>17</v>
      </c>
      <c r="S10" s="710">
        <f t="shared" si="0"/>
        <v>100</v>
      </c>
      <c r="T10" s="709" t="s">
        <v>17</v>
      </c>
      <c r="U10" s="710">
        <f t="shared" si="1"/>
        <v>100</v>
      </c>
      <c r="V10" s="709" t="s">
        <v>17</v>
      </c>
      <c r="W10" s="710">
        <f t="shared" si="2"/>
        <v>100</v>
      </c>
      <c r="X10" s="711"/>
      <c r="Y10" s="3393"/>
      <c r="Z10" s="55" t="str">
        <f t="shared" si="7"/>
        <v>土地使用年限（年）</v>
      </c>
      <c r="AA10" s="712">
        <f t="shared" si="3"/>
        <v>1</v>
      </c>
      <c r="AB10" s="712">
        <f t="shared" si="4"/>
        <v>1</v>
      </c>
      <c r="AC10" s="712">
        <f t="shared" si="5"/>
        <v>1</v>
      </c>
    </row>
    <row r="11" spans="1:29" ht="15">
      <c r="A11" s="387"/>
      <c r="B11" s="2047">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67"/>
      <c r="Q11" s="1495">
        <f t="shared" si="6"/>
        <v>111</v>
      </c>
      <c r="R11" s="709" t="s">
        <v>17</v>
      </c>
      <c r="S11" s="710">
        <f t="shared" si="0"/>
        <v>100</v>
      </c>
      <c r="T11" s="709" t="s">
        <v>17</v>
      </c>
      <c r="U11" s="710">
        <f t="shared" si="1"/>
        <v>100</v>
      </c>
      <c r="V11" s="709" t="s">
        <v>17</v>
      </c>
      <c r="W11" s="710">
        <f t="shared" si="2"/>
        <v>100</v>
      </c>
      <c r="X11" s="711"/>
      <c r="Y11" s="3393"/>
      <c r="Z11" s="55">
        <f t="shared" si="7"/>
        <v>111</v>
      </c>
      <c r="AA11" s="712">
        <f t="shared" si="3"/>
        <v>1</v>
      </c>
      <c r="AB11" s="712">
        <f t="shared" si="4"/>
        <v>1</v>
      </c>
      <c r="AC11" s="712">
        <f t="shared" si="5"/>
        <v>1</v>
      </c>
    </row>
    <row r="12" spans="1:29" s="113" customFormat="1" ht="15">
      <c r="A12" s="390"/>
      <c r="B12" s="2047">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67"/>
      <c r="Q12" s="1495">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712">
        <f>D12/J12</f>
        <v>1</v>
      </c>
    </row>
    <row r="13" spans="1:29" ht="15.75" thickBot="1">
      <c r="A13" s="387"/>
      <c r="B13" s="2047">
        <v>111</v>
      </c>
      <c r="C13" s="393"/>
      <c r="D13" s="394">
        <v>100</v>
      </c>
      <c r="E13" s="428"/>
      <c r="F13" s="384">
        <f>SUMIF(59:59,E13,60:60)-SUMIF(59:59,C13,60:60)+100</f>
        <v>100</v>
      </c>
      <c r="G13" s="2128"/>
      <c r="H13" s="397">
        <f>SUMIF(59:59,G13,60:60)-SUMIF(59:59,C13,60:60)+100</f>
        <v>100</v>
      </c>
      <c r="I13" s="428"/>
      <c r="J13" s="394">
        <f>SUMIF(59:59,I13,60:60)-SUMIF(59:59,C13,60:60)+100</f>
        <v>100</v>
      </c>
      <c r="K13" s="570"/>
      <c r="L13" s="2918"/>
      <c r="M13" s="2912"/>
      <c r="N13" s="2912"/>
      <c r="O13" s="2970"/>
      <c r="P13" s="3467"/>
      <c r="Q13" s="1495">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712">
        <f t="shared" si="5"/>
        <v>1</v>
      </c>
    </row>
    <row r="14" spans="1:29" ht="85.5">
      <c r="A14" s="399" t="s">
        <v>2320</v>
      </c>
      <c r="B14" s="65" t="s">
        <v>2470</v>
      </c>
      <c r="C14" s="212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60" t="s">
        <v>2321</v>
      </c>
      <c r="Q14" s="1504" t="str">
        <f t="shared" si="6"/>
        <v>交通便捷度</v>
      </c>
      <c r="R14" s="713" t="s">
        <v>17</v>
      </c>
      <c r="S14" s="714">
        <f t="shared" si="0"/>
        <v>100</v>
      </c>
      <c r="T14" s="713" t="s">
        <v>17</v>
      </c>
      <c r="U14" s="714">
        <f t="shared" si="1"/>
        <v>100</v>
      </c>
      <c r="V14" s="713" t="s">
        <v>17</v>
      </c>
      <c r="W14" s="714">
        <f t="shared" si="2"/>
        <v>100</v>
      </c>
      <c r="X14" s="1507"/>
      <c r="Y14" s="3460" t="s">
        <v>2321</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8"/>
      <c r="M15" s="2912"/>
      <c r="N15" s="2912"/>
      <c r="O15" s="2970"/>
      <c r="P15" s="3461"/>
      <c r="Q15" s="1504"/>
      <c r="R15" s="713"/>
      <c r="S15" s="714"/>
      <c r="T15" s="713"/>
      <c r="U15" s="714"/>
      <c r="V15" s="713"/>
      <c r="W15" s="714"/>
      <c r="X15" s="1507"/>
      <c r="Y15" s="3461"/>
      <c r="Z15" s="1508"/>
      <c r="AA15" s="1505">
        <v>1</v>
      </c>
      <c r="AB15" s="1505">
        <v>1</v>
      </c>
      <c r="AC15" s="1505">
        <v>1</v>
      </c>
    </row>
    <row r="16" spans="1:29" ht="42.75">
      <c r="A16" s="387"/>
      <c r="B16" s="410" t="s">
        <v>2449</v>
      </c>
      <c r="C16" s="205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61"/>
      <c r="Q16" s="1504" t="str">
        <f>B16</f>
        <v>公共配套设施</v>
      </c>
      <c r="R16" s="713" t="s">
        <v>17</v>
      </c>
      <c r="S16" s="714">
        <f>F16</f>
        <v>100</v>
      </c>
      <c r="T16" s="713" t="s">
        <v>17</v>
      </c>
      <c r="U16" s="714">
        <f>H16</f>
        <v>100</v>
      </c>
      <c r="V16" s="713" t="s">
        <v>17</v>
      </c>
      <c r="W16" s="714">
        <f>J16</f>
        <v>100</v>
      </c>
      <c r="X16" s="1507"/>
      <c r="Y16" s="3461"/>
      <c r="Z16" s="1508" t="str">
        <f>Q16</f>
        <v>公共配套设施</v>
      </c>
      <c r="AA16" s="1505">
        <f t="shared" si="3"/>
        <v>1</v>
      </c>
      <c r="AB16" s="1505">
        <f t="shared" si="4"/>
        <v>1</v>
      </c>
      <c r="AC16" s="1505">
        <f t="shared" si="5"/>
        <v>1</v>
      </c>
    </row>
    <row r="17" spans="1:29" ht="15">
      <c r="A17" s="387"/>
      <c r="B17" s="415"/>
      <c r="C17" s="2055"/>
      <c r="D17" s="407"/>
      <c r="E17" s="406"/>
      <c r="F17" s="408"/>
      <c r="G17" s="406"/>
      <c r="H17" s="407"/>
      <c r="I17" s="406"/>
      <c r="J17" s="407"/>
      <c r="K17" s="572"/>
      <c r="L17" s="2918"/>
      <c r="M17" s="2912"/>
      <c r="N17" s="2912"/>
      <c r="O17" s="2970"/>
      <c r="P17" s="3461"/>
      <c r="Q17" s="1504"/>
      <c r="R17" s="713"/>
      <c r="S17" s="714"/>
      <c r="T17" s="713"/>
      <c r="U17" s="714"/>
      <c r="V17" s="713"/>
      <c r="W17" s="714"/>
      <c r="X17" s="1507"/>
      <c r="Y17" s="3461"/>
      <c r="Z17" s="1508"/>
      <c r="AA17" s="1505">
        <v>1</v>
      </c>
      <c r="AB17" s="1505">
        <v>1</v>
      </c>
      <c r="AC17" s="1505">
        <v>1</v>
      </c>
    </row>
    <row r="18" spans="1:29" ht="28.5">
      <c r="A18" s="387"/>
      <c r="B18" s="1263" t="s">
        <v>2450</v>
      </c>
      <c r="C18" s="205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61"/>
      <c r="Q18" s="1504" t="str">
        <f>B18</f>
        <v>基础设施水平</v>
      </c>
      <c r="R18" s="713" t="s">
        <v>17</v>
      </c>
      <c r="S18" s="714">
        <f>F18</f>
        <v>100</v>
      </c>
      <c r="T18" s="713" t="s">
        <v>17</v>
      </c>
      <c r="U18" s="714">
        <f>H18</f>
        <v>100</v>
      </c>
      <c r="V18" s="713" t="s">
        <v>17</v>
      </c>
      <c r="W18" s="714">
        <f>J18</f>
        <v>100</v>
      </c>
      <c r="X18" s="1507"/>
      <c r="Y18" s="3461"/>
      <c r="Z18" s="1508" t="str">
        <f>Q18</f>
        <v>基础设施水平</v>
      </c>
      <c r="AA18" s="1505">
        <f t="shared" ref="AA18" si="8">D18/F18</f>
        <v>1</v>
      </c>
      <c r="AB18" s="1505">
        <f t="shared" ref="AB18" si="9">D18/H18</f>
        <v>1</v>
      </c>
      <c r="AC18" s="1505">
        <f t="shared" ref="AC18" si="10">D18/J18</f>
        <v>1</v>
      </c>
    </row>
    <row r="19" spans="1:29" ht="15">
      <c r="A19" s="387"/>
      <c r="B19" s="1263"/>
      <c r="C19" s="2055"/>
      <c r="D19" s="409"/>
      <c r="E19" s="2055"/>
      <c r="F19" s="412"/>
      <c r="G19" s="2055"/>
      <c r="H19" s="407"/>
      <c r="I19" s="406"/>
      <c r="J19" s="407"/>
      <c r="K19" s="1262"/>
      <c r="L19" s="2918"/>
      <c r="M19" s="2912"/>
      <c r="N19" s="2912"/>
      <c r="O19" s="2970"/>
      <c r="P19" s="3461"/>
      <c r="Q19" s="1504"/>
      <c r="R19" s="713"/>
      <c r="S19" s="714"/>
      <c r="T19" s="713"/>
      <c r="U19" s="714"/>
      <c r="V19" s="713"/>
      <c r="W19" s="714"/>
      <c r="X19" s="1507"/>
      <c r="Y19" s="3461"/>
      <c r="Z19" s="1508"/>
      <c r="AA19" s="1505">
        <v>1</v>
      </c>
      <c r="AB19" s="1505">
        <v>1</v>
      </c>
      <c r="AC19" s="1505">
        <v>1</v>
      </c>
    </row>
    <row r="20" spans="1:29" ht="57">
      <c r="A20" s="387"/>
      <c r="B20" s="410" t="s">
        <v>2471</v>
      </c>
      <c r="C20" s="205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61"/>
      <c r="Q20" s="1504" t="str">
        <f>B20</f>
        <v>自然及人文环境</v>
      </c>
      <c r="R20" s="713" t="s">
        <v>17</v>
      </c>
      <c r="S20" s="714">
        <f>F20</f>
        <v>100</v>
      </c>
      <c r="T20" s="713" t="s">
        <v>17</v>
      </c>
      <c r="U20" s="714">
        <f>H20</f>
        <v>100</v>
      </c>
      <c r="V20" s="713" t="s">
        <v>17</v>
      </c>
      <c r="W20" s="714">
        <f>J20</f>
        <v>100</v>
      </c>
      <c r="X20" s="1507"/>
      <c r="Y20" s="3461"/>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8"/>
      <c r="M21" s="2912"/>
      <c r="N21" s="2912"/>
      <c r="O21" s="2970"/>
      <c r="P21" s="3461"/>
      <c r="Q21" s="1504"/>
      <c r="R21" s="713"/>
      <c r="S21" s="714"/>
      <c r="T21" s="713"/>
      <c r="U21" s="714"/>
      <c r="V21" s="713"/>
      <c r="W21" s="714"/>
      <c r="X21" s="1507"/>
      <c r="Y21" s="3461"/>
      <c r="Z21" s="1508"/>
      <c r="AA21" s="1505">
        <v>1</v>
      </c>
      <c r="AB21" s="1505">
        <v>1</v>
      </c>
      <c r="AC21" s="1505">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61"/>
      <c r="Q22" s="1504" t="str">
        <f>B22</f>
        <v>楼层</v>
      </c>
      <c r="R22" s="713" t="s">
        <v>17</v>
      </c>
      <c r="S22" s="714">
        <f>F22</f>
        <v>100</v>
      </c>
      <c r="T22" s="713" t="s">
        <v>17</v>
      </c>
      <c r="U22" s="714">
        <f>H22</f>
        <v>100</v>
      </c>
      <c r="V22" s="713" t="s">
        <v>17</v>
      </c>
      <c r="W22" s="714">
        <f>J22</f>
        <v>100</v>
      </c>
      <c r="X22" s="1507"/>
      <c r="Y22" s="3461"/>
      <c r="Z22" s="1508" t="str">
        <f>Q22</f>
        <v>楼层</v>
      </c>
      <c r="AA22" s="1505">
        <f t="shared" si="3"/>
        <v>1</v>
      </c>
      <c r="AB22" s="1505">
        <f t="shared" si="4"/>
        <v>1</v>
      </c>
      <c r="AC22" s="1505">
        <f t="shared" si="5"/>
        <v>1</v>
      </c>
    </row>
    <row r="23" spans="1:29" ht="15">
      <c r="A23" s="364"/>
      <c r="B23" s="2047">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61"/>
      <c r="Q23" s="1504">
        <f>B23</f>
        <v>111</v>
      </c>
      <c r="R23" s="713" t="s">
        <v>17</v>
      </c>
      <c r="S23" s="714">
        <f>F23</f>
        <v>100</v>
      </c>
      <c r="T23" s="713" t="s">
        <v>17</v>
      </c>
      <c r="U23" s="714">
        <f>H23</f>
        <v>100</v>
      </c>
      <c r="V23" s="713" t="s">
        <v>17</v>
      </c>
      <c r="W23" s="714">
        <f>J23</f>
        <v>100</v>
      </c>
      <c r="X23" s="1507"/>
      <c r="Y23" s="3461"/>
      <c r="Z23" s="1508">
        <f>Q23</f>
        <v>111</v>
      </c>
      <c r="AA23" s="1505">
        <f t="shared" si="3"/>
        <v>1</v>
      </c>
      <c r="AB23" s="1505">
        <f t="shared" si="4"/>
        <v>1</v>
      </c>
      <c r="AC23" s="1505">
        <f t="shared" si="5"/>
        <v>1</v>
      </c>
    </row>
    <row r="24" spans="1:29" ht="15">
      <c r="A24" s="387"/>
      <c r="B24" s="2047">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61"/>
      <c r="Q24" s="1504">
        <f t="shared" ref="Q24:Q34" si="11">B24</f>
        <v>111</v>
      </c>
      <c r="R24" s="713" t="s">
        <v>17</v>
      </c>
      <c r="S24" s="714">
        <f>F24</f>
        <v>100</v>
      </c>
      <c r="T24" s="713" t="s">
        <v>17</v>
      </c>
      <c r="U24" s="714">
        <f>H24</f>
        <v>100</v>
      </c>
      <c r="V24" s="713" t="s">
        <v>17</v>
      </c>
      <c r="W24" s="714">
        <f>J24</f>
        <v>100</v>
      </c>
      <c r="X24" s="1507"/>
      <c r="Y24" s="3461"/>
      <c r="Z24" s="1508">
        <f>Q24</f>
        <v>111</v>
      </c>
      <c r="AA24" s="1505">
        <f t="shared" si="3"/>
        <v>1</v>
      </c>
      <c r="AB24" s="1505">
        <f t="shared" si="4"/>
        <v>1</v>
      </c>
      <c r="AC24" s="1505">
        <f t="shared" si="5"/>
        <v>1</v>
      </c>
    </row>
    <row r="25" spans="1:29" s="113" customFormat="1" ht="15.75" thickBot="1">
      <c r="A25" s="390"/>
      <c r="B25" s="2047">
        <v>111</v>
      </c>
      <c r="C25" s="2129"/>
      <c r="D25" s="621">
        <v>100</v>
      </c>
      <c r="E25" s="2129"/>
      <c r="F25" s="622">
        <f>SUMIF(75:75,E25,76:76)-SUMIF(75:75,C25,76:76)+100</f>
        <v>100</v>
      </c>
      <c r="G25" s="2129"/>
      <c r="H25" s="621">
        <f>SUMIF(75:75,G25,76:76)-SUMIF(75:75,C25,76:76)+100</f>
        <v>100</v>
      </c>
      <c r="I25" s="2129"/>
      <c r="J25" s="621">
        <f>SUMIF(75:75,I25,76:76)-SUMIF(75:75,C25,76:76)+100</f>
        <v>100</v>
      </c>
      <c r="K25" s="570"/>
      <c r="L25" s="2913"/>
      <c r="M25" s="2914"/>
      <c r="N25" s="2914"/>
      <c r="O25" s="2968"/>
      <c r="P25" s="3461"/>
      <c r="Q25" s="1495">
        <f t="shared" si="11"/>
        <v>111</v>
      </c>
      <c r="R25" s="709" t="s">
        <v>17</v>
      </c>
      <c r="S25" s="710">
        <f>F25</f>
        <v>100</v>
      </c>
      <c r="T25" s="709" t="s">
        <v>17</v>
      </c>
      <c r="U25" s="710">
        <f>H25</f>
        <v>100</v>
      </c>
      <c r="V25" s="709" t="s">
        <v>17</v>
      </c>
      <c r="W25" s="710">
        <f>J25</f>
        <v>100</v>
      </c>
      <c r="X25" s="711"/>
      <c r="Y25" s="3461"/>
      <c r="Z25" s="55">
        <f>Q25</f>
        <v>111</v>
      </c>
      <c r="AA25" s="1505">
        <f>D25/F25</f>
        <v>1</v>
      </c>
      <c r="AB25" s="1505">
        <f>D25/H25</f>
        <v>1</v>
      </c>
      <c r="AC25" s="1505">
        <f>D25/J25</f>
        <v>1</v>
      </c>
    </row>
    <row r="26" spans="1:29" ht="28.5">
      <c r="A26" s="425" t="s">
        <v>2324</v>
      </c>
      <c r="B26" s="67" t="s">
        <v>2475</v>
      </c>
      <c r="C26" s="2120"/>
      <c r="D26" s="426">
        <v>100</v>
      </c>
      <c r="E26" s="2120"/>
      <c r="F26" s="623">
        <f>SUMIF(77:77,E26,78:78)-SUMIF(77:77,C26,78:78)+100</f>
        <v>100</v>
      </c>
      <c r="G26" s="2120"/>
      <c r="H26" s="426">
        <f>SUMIF(77:77,G26,78:78)-SUMIF(77:77,C26,78:78)+100</f>
        <v>100</v>
      </c>
      <c r="I26" s="2120"/>
      <c r="J26" s="426">
        <f>SUMIF(77:77,I26,78:78)-SUMIF(77:77,C26,78:78)+100</f>
        <v>100</v>
      </c>
      <c r="K26" s="569"/>
      <c r="L26" s="2918"/>
      <c r="M26" s="2912"/>
      <c r="N26" s="2912"/>
      <c r="O26" s="2970"/>
      <c r="P26" s="3509" t="s">
        <v>2326</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465" t="s">
        <v>2326</v>
      </c>
      <c r="Z26" s="1508" t="str">
        <f t="shared" ref="Z26:Z34" si="15">Q26</f>
        <v>公共部分装修</v>
      </c>
      <c r="AA26" s="1505">
        <f t="shared" si="3"/>
        <v>1</v>
      </c>
      <c r="AB26" s="1505">
        <f t="shared" si="4"/>
        <v>1</v>
      </c>
      <c r="AC26" s="1505">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65"/>
      <c r="Q27" s="715" t="str">
        <f t="shared" si="11"/>
        <v>成新率</v>
      </c>
      <c r="R27" s="716" t="s">
        <v>17</v>
      </c>
      <c r="S27" s="717" t="e">
        <f t="shared" si="12"/>
        <v>#N/A</v>
      </c>
      <c r="T27" s="716" t="s">
        <v>17</v>
      </c>
      <c r="U27" s="717" t="e">
        <f t="shared" si="13"/>
        <v>#N/A</v>
      </c>
      <c r="V27" s="716" t="s">
        <v>17</v>
      </c>
      <c r="W27" s="717" t="e">
        <f t="shared" si="14"/>
        <v>#N/A</v>
      </c>
      <c r="X27" s="718"/>
      <c r="Y27" s="3465"/>
      <c r="Z27" s="719" t="str">
        <f t="shared" si="15"/>
        <v>成新率</v>
      </c>
      <c r="AA27" s="1505" t="e">
        <f t="shared" si="3"/>
        <v>#N/A</v>
      </c>
      <c r="AB27" s="1505" t="e">
        <f t="shared" si="4"/>
        <v>#N/A</v>
      </c>
      <c r="AC27" s="1505"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65"/>
      <c r="Q28" s="1504" t="str">
        <f t="shared" si="11"/>
        <v>物业等级</v>
      </c>
      <c r="R28" s="713" t="s">
        <v>17</v>
      </c>
      <c r="S28" s="714">
        <f t="shared" si="12"/>
        <v>100</v>
      </c>
      <c r="T28" s="713" t="s">
        <v>17</v>
      </c>
      <c r="U28" s="714">
        <f t="shared" si="13"/>
        <v>100</v>
      </c>
      <c r="V28" s="713" t="s">
        <v>17</v>
      </c>
      <c r="W28" s="714">
        <f t="shared" si="14"/>
        <v>100</v>
      </c>
      <c r="X28" s="1507"/>
      <c r="Y28" s="3465"/>
      <c r="Z28" s="1508" t="str">
        <f t="shared" si="15"/>
        <v>物业等级</v>
      </c>
      <c r="AA28" s="1505">
        <f t="shared" si="3"/>
        <v>1</v>
      </c>
      <c r="AB28" s="1505">
        <f t="shared" si="4"/>
        <v>1</v>
      </c>
      <c r="AC28" s="1505">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65"/>
      <c r="Q29" s="1504" t="str">
        <f t="shared" si="11"/>
        <v>有无电梯</v>
      </c>
      <c r="R29" s="713" t="s">
        <v>17</v>
      </c>
      <c r="S29" s="714">
        <f t="shared" si="12"/>
        <v>100</v>
      </c>
      <c r="T29" s="713" t="s">
        <v>17</v>
      </c>
      <c r="U29" s="714">
        <f t="shared" si="13"/>
        <v>100</v>
      </c>
      <c r="V29" s="713" t="s">
        <v>17</v>
      </c>
      <c r="W29" s="714">
        <f t="shared" si="14"/>
        <v>100</v>
      </c>
      <c r="X29" s="1507"/>
      <c r="Y29" s="3465"/>
      <c r="Z29" s="1508" t="str">
        <f t="shared" si="15"/>
        <v>有无电梯</v>
      </c>
      <c r="AA29" s="1505">
        <f t="shared" si="3"/>
        <v>1</v>
      </c>
      <c r="AB29" s="1505">
        <f t="shared" si="4"/>
        <v>1</v>
      </c>
      <c r="AC29" s="1505">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65"/>
      <c r="Q30" s="1504" t="str">
        <f t="shared" si="11"/>
        <v>建筑面积</v>
      </c>
      <c r="R30" s="713" t="s">
        <v>17</v>
      </c>
      <c r="S30" s="714" t="e">
        <f t="shared" si="12"/>
        <v>#N/A</v>
      </c>
      <c r="T30" s="713" t="s">
        <v>17</v>
      </c>
      <c r="U30" s="714" t="e">
        <f t="shared" si="13"/>
        <v>#N/A</v>
      </c>
      <c r="V30" s="713" t="s">
        <v>17</v>
      </c>
      <c r="W30" s="714" t="e">
        <f t="shared" si="14"/>
        <v>#N/A</v>
      </c>
      <c r="X30" s="1507"/>
      <c r="Y30" s="3465"/>
      <c r="Z30" s="1508" t="str">
        <f t="shared" si="15"/>
        <v>建筑面积</v>
      </c>
      <c r="AA30" s="1505" t="e">
        <f t="shared" si="3"/>
        <v>#N/A</v>
      </c>
      <c r="AB30" s="1505" t="e">
        <f t="shared" si="4"/>
        <v>#N/A</v>
      </c>
      <c r="AC30" s="1505"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65"/>
      <c r="Q31" s="1495" t="str">
        <f t="shared" si="11"/>
        <v>是否封闭</v>
      </c>
      <c r="R31" s="709" t="s">
        <v>17</v>
      </c>
      <c r="S31" s="710">
        <f t="shared" si="12"/>
        <v>100</v>
      </c>
      <c r="T31" s="709" t="s">
        <v>17</v>
      </c>
      <c r="U31" s="710">
        <f t="shared" si="13"/>
        <v>100</v>
      </c>
      <c r="V31" s="709" t="s">
        <v>17</v>
      </c>
      <c r="W31" s="710">
        <f t="shared" si="14"/>
        <v>100</v>
      </c>
      <c r="X31" s="711"/>
      <c r="Y31" s="3465"/>
      <c r="Z31" s="55" t="str">
        <f t="shared" si="15"/>
        <v>是否封闭</v>
      </c>
      <c r="AA31" s="712">
        <f t="shared" si="3"/>
        <v>1</v>
      </c>
      <c r="AB31" s="712">
        <f t="shared" si="4"/>
        <v>1</v>
      </c>
      <c r="AC31" s="712">
        <f t="shared" si="5"/>
        <v>1</v>
      </c>
    </row>
    <row r="32" spans="1:29" ht="15">
      <c r="A32" s="431"/>
      <c r="B32" s="2047">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65" t="s">
        <v>2326</v>
      </c>
      <c r="Q32" s="1504">
        <f t="shared" si="11"/>
        <v>111</v>
      </c>
      <c r="R32" s="713" t="s">
        <v>17</v>
      </c>
      <c r="S32" s="714">
        <f t="shared" si="12"/>
        <v>100</v>
      </c>
      <c r="T32" s="713" t="s">
        <v>17</v>
      </c>
      <c r="U32" s="714">
        <f t="shared" si="13"/>
        <v>100</v>
      </c>
      <c r="V32" s="713" t="s">
        <v>17</v>
      </c>
      <c r="W32" s="714">
        <f t="shared" si="14"/>
        <v>100</v>
      </c>
      <c r="X32" s="1507"/>
      <c r="Y32" s="3465" t="s">
        <v>2326</v>
      </c>
      <c r="Z32" s="1508">
        <f t="shared" si="15"/>
        <v>111</v>
      </c>
      <c r="AA32" s="1505">
        <f t="shared" si="3"/>
        <v>1</v>
      </c>
      <c r="AB32" s="1505">
        <f t="shared" si="4"/>
        <v>1</v>
      </c>
      <c r="AC32" s="1505">
        <f t="shared" si="5"/>
        <v>1</v>
      </c>
    </row>
    <row r="33" spans="1:30" ht="15">
      <c r="A33" s="431"/>
      <c r="B33" s="2047">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65"/>
      <c r="Q33" s="1504">
        <f t="shared" si="11"/>
        <v>111</v>
      </c>
      <c r="R33" s="713" t="s">
        <v>17</v>
      </c>
      <c r="S33" s="714">
        <f t="shared" si="12"/>
        <v>100</v>
      </c>
      <c r="T33" s="713" t="s">
        <v>17</v>
      </c>
      <c r="U33" s="714">
        <f t="shared" si="13"/>
        <v>100</v>
      </c>
      <c r="V33" s="713" t="s">
        <v>17</v>
      </c>
      <c r="W33" s="714">
        <f t="shared" si="14"/>
        <v>100</v>
      </c>
      <c r="X33" s="1507"/>
      <c r="Y33" s="3465"/>
      <c r="Z33" s="1508">
        <f t="shared" si="15"/>
        <v>111</v>
      </c>
      <c r="AA33" s="1505">
        <f t="shared" si="3"/>
        <v>1</v>
      </c>
      <c r="AB33" s="1505">
        <f t="shared" si="4"/>
        <v>1</v>
      </c>
      <c r="AC33" s="1505">
        <f t="shared" si="5"/>
        <v>1</v>
      </c>
    </row>
    <row r="34" spans="1:30" ht="15.75" thickBot="1">
      <c r="A34" s="437"/>
      <c r="B34" s="2049">
        <v>111</v>
      </c>
      <c r="C34" s="396"/>
      <c r="D34" s="397">
        <v>100</v>
      </c>
      <c r="E34" s="2128"/>
      <c r="F34" s="398">
        <f>SUMIF(95:95,E34,96:96)-SUMIF(95:95,C34,96:96)+100</f>
        <v>100</v>
      </c>
      <c r="G34" s="2128"/>
      <c r="H34" s="397">
        <f>SUMIF(95:95,G34,96:96)-SUMIF(95:95,C34,96:96)+100</f>
        <v>100</v>
      </c>
      <c r="I34" s="2128"/>
      <c r="J34" s="397">
        <f>SUMIF(95:95,I34,96:96)-SUMIF(95:95,C34,96:96)+100</f>
        <v>100</v>
      </c>
      <c r="K34" s="570"/>
      <c r="L34" s="2918"/>
      <c r="M34" s="2912"/>
      <c r="N34" s="2912"/>
      <c r="O34" s="2970"/>
      <c r="P34" s="3465"/>
      <c r="Q34" s="1504">
        <f t="shared" si="11"/>
        <v>111</v>
      </c>
      <c r="R34" s="713" t="s">
        <v>17</v>
      </c>
      <c r="S34" s="714">
        <f t="shared" si="12"/>
        <v>100</v>
      </c>
      <c r="T34" s="713" t="s">
        <v>17</v>
      </c>
      <c r="U34" s="714">
        <f t="shared" si="13"/>
        <v>100</v>
      </c>
      <c r="V34" s="713" t="s">
        <v>17</v>
      </c>
      <c r="W34" s="714">
        <f t="shared" si="14"/>
        <v>100</v>
      </c>
      <c r="X34" s="1507"/>
      <c r="Y34" s="3465"/>
      <c r="Z34" s="1508">
        <f t="shared" si="15"/>
        <v>111</v>
      </c>
      <c r="AA34" s="1505">
        <f t="shared" si="3"/>
        <v>1</v>
      </c>
      <c r="AB34" s="1505">
        <f t="shared" si="4"/>
        <v>1</v>
      </c>
      <c r="AC34" s="1505">
        <f t="shared" si="5"/>
        <v>1</v>
      </c>
    </row>
    <row r="35" spans="1:30" ht="15">
      <c r="A35" s="438" t="s">
        <v>2338</v>
      </c>
      <c r="B35" s="439"/>
      <c r="C35" s="1286" t="s">
        <v>1</v>
      </c>
      <c r="D35" s="1287"/>
      <c r="E35" s="1288"/>
      <c r="F35" s="1289"/>
      <c r="G35" s="1290"/>
      <c r="H35" s="1291"/>
      <c r="I35" s="1288"/>
      <c r="J35" s="1291"/>
      <c r="K35" s="722"/>
      <c r="L35" s="2920"/>
      <c r="M35" s="2921"/>
      <c r="N35" s="2912"/>
      <c r="O35" s="2921"/>
      <c r="P35" s="3467" t="str">
        <f>A35</f>
        <v>成交单价（元/平方米）</v>
      </c>
      <c r="Q35" s="3467"/>
      <c r="R35" s="3468">
        <f>E35</f>
        <v>0</v>
      </c>
      <c r="S35" s="3468"/>
      <c r="T35" s="3468">
        <f>G35</f>
        <v>0</v>
      </c>
      <c r="U35" s="3468"/>
      <c r="V35" s="3468">
        <f>I35</f>
        <v>0</v>
      </c>
      <c r="W35" s="3468"/>
      <c r="X35" s="698"/>
      <c r="Y35" s="720"/>
      <c r="Z35" s="698"/>
      <c r="AA35" s="698"/>
      <c r="AB35" s="698"/>
      <c r="AC35" s="698"/>
    </row>
    <row r="36" spans="1:30" ht="15.75" thickBot="1">
      <c r="A36" s="445" t="s">
        <v>2430</v>
      </c>
      <c r="B36" s="446"/>
      <c r="C36" s="1292" t="e">
        <f>R37</f>
        <v>#DIV/0!</v>
      </c>
      <c r="D36" s="2505" t="s">
        <v>2819</v>
      </c>
      <c r="E36" s="1293" t="e">
        <f>R36</f>
        <v>#DIV/0!</v>
      </c>
      <c r="F36" s="2506"/>
      <c r="G36" s="1292" t="e">
        <f>T36</f>
        <v>#DIV/0!</v>
      </c>
      <c r="H36" s="2506"/>
      <c r="I36" s="1293" t="e">
        <f>V36</f>
        <v>#DIV/0!</v>
      </c>
      <c r="J36" s="2506"/>
      <c r="K36" s="2508">
        <f>F36+H36+J36</f>
        <v>0</v>
      </c>
      <c r="L36" s="2920"/>
      <c r="M36" s="2921"/>
      <c r="N36" s="2912"/>
      <c r="O36" s="2921"/>
      <c r="P36" s="3467" t="str">
        <f>A36</f>
        <v>比较价值（元/平方米）</v>
      </c>
      <c r="Q36" s="3467"/>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698"/>
      <c r="Y36" s="698"/>
      <c r="Z36" s="698"/>
      <c r="AA36" s="698"/>
      <c r="AB36" s="698"/>
      <c r="AC36" s="698"/>
    </row>
    <row r="37" spans="1:30" ht="15.75" thickBot="1">
      <c r="A37" s="449" t="s">
        <v>2431</v>
      </c>
      <c r="B37" s="450"/>
      <c r="C37" s="1295" t="e">
        <f>R37</f>
        <v>#DIV/0!</v>
      </c>
      <c r="D37" s="1295"/>
      <c r="E37" s="1295"/>
      <c r="F37" s="1295"/>
      <c r="G37" s="1295"/>
      <c r="H37" s="1295"/>
      <c r="I37" s="1295"/>
      <c r="J37" s="1295"/>
      <c r="K37" s="723"/>
      <c r="L37" s="2920"/>
      <c r="M37" s="2921"/>
      <c r="N37" s="2921"/>
      <c r="O37" s="2921"/>
      <c r="P37" s="3506" t="str">
        <f>A37</f>
        <v>估价对象XX用房的比较价值（楼面单价，元/平方米）</v>
      </c>
      <c r="Q37" s="3507"/>
      <c r="R37" s="3510" t="e">
        <f>IF(F1="售价",ROUND(IF(D36="简单平均",AVERAGE(R36:W36),R36*F36+T36*H36+V36*J36),0),ROUND(IF(D36="简单平均",AVERAGE(R36:V36),R36*F36+T36*H36+V36*J36),1))</f>
        <v>#DIV/0!</v>
      </c>
      <c r="S37" s="3510"/>
      <c r="T37" s="3510"/>
      <c r="U37" s="3510"/>
      <c r="V37" s="3510"/>
      <c r="W37" s="3510"/>
      <c r="X37" s="698"/>
      <c r="Y37" s="698"/>
      <c r="Z37" s="698"/>
      <c r="AA37" s="698"/>
      <c r="AB37" s="698"/>
      <c r="AC37" s="698"/>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2" t="s">
        <v>2435</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5">
        <v>100</v>
      </c>
      <c r="D47" s="469"/>
      <c r="E47" s="469"/>
      <c r="F47" s="469"/>
      <c r="G47" s="469"/>
      <c r="H47" s="469"/>
      <c r="I47" s="469"/>
      <c r="J47" s="469"/>
      <c r="K47" s="469"/>
      <c r="L47" s="469"/>
      <c r="M47" s="470"/>
      <c r="N47" s="469"/>
      <c r="O47" s="471"/>
      <c r="P47" s="2935"/>
      <c r="Q47" s="2855"/>
      <c r="R47" s="2855"/>
      <c r="S47" s="2855"/>
      <c r="T47" s="2855"/>
      <c r="U47" s="2855"/>
      <c r="V47" s="2855"/>
      <c r="W47" s="2855"/>
      <c r="X47" s="2855"/>
      <c r="Y47" s="2855"/>
      <c r="Z47" s="2855"/>
      <c r="AA47" s="2855"/>
      <c r="AB47" s="2855"/>
      <c r="AC47" s="2855"/>
      <c r="AD47" s="2855"/>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5"/>
      <c r="S48" s="2855"/>
      <c r="T48" s="2855"/>
      <c r="U48" s="2855"/>
      <c r="V48" s="2855"/>
      <c r="W48" s="2855"/>
      <c r="X48" s="2855"/>
      <c r="Y48" s="2855"/>
      <c r="Z48" s="2855"/>
      <c r="AA48" s="2855"/>
      <c r="AB48" s="2855"/>
      <c r="AC48" s="2855"/>
      <c r="AD48" s="2855"/>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5"/>
      <c r="S50" s="2855"/>
      <c r="T50" s="2855"/>
      <c r="U50" s="2855"/>
      <c r="V50" s="2855"/>
      <c r="W50" s="2855"/>
      <c r="X50" s="2855"/>
      <c r="Y50" s="2855"/>
      <c r="Z50" s="2855"/>
      <c r="AA50" s="2855"/>
      <c r="AB50" s="2855"/>
      <c r="AC50" s="2855"/>
      <c r="AD50" s="2855"/>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1"/>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50"/>
      <c r="O74" s="2950"/>
      <c r="P74" s="2974"/>
      <c r="Q74" s="2935"/>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2088</v>
      </c>
      <c r="B2" s="627" t="e">
        <f>F66</f>
        <v>#DIV/0!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7"/>
    </row>
    <row r="3" spans="1:30" s="358" customFormat="1" ht="28.5" customHeight="1" thickBot="1">
      <c r="A3" s="209" t="s">
        <v>2090</v>
      </c>
      <c r="B3" s="566" t="e">
        <f>ROUND(IF(D3="",B2*10000/'数据-汇总表'!E3,B2*10000/D3),0)</f>
        <v>#DIV/0!</v>
      </c>
      <c r="C3" s="209" t="s">
        <v>2507</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ht="15">
      <c r="A4" s="361" t="s">
        <v>2406</v>
      </c>
      <c r="B4" s="362"/>
      <c r="C4" s="3442" t="s">
        <v>2407</v>
      </c>
      <c r="D4" s="3443"/>
      <c r="E4" s="3444" t="s">
        <v>2408</v>
      </c>
      <c r="F4" s="3445"/>
      <c r="G4" s="3442" t="s">
        <v>2409</v>
      </c>
      <c r="H4" s="3443"/>
      <c r="I4" s="3442" t="s">
        <v>2410</v>
      </c>
      <c r="J4" s="3443"/>
      <c r="K4" s="567" t="s">
        <v>2411</v>
      </c>
      <c r="L4" s="2911"/>
      <c r="M4" s="2912"/>
      <c r="N4" s="2912"/>
      <c r="O4" s="2912"/>
      <c r="P4" s="3502" t="s">
        <v>2412</v>
      </c>
      <c r="Q4" s="3503"/>
      <c r="R4" s="3499" t="s">
        <v>2408</v>
      </c>
      <c r="S4" s="3500"/>
      <c r="T4" s="3499" t="s">
        <v>2409</v>
      </c>
      <c r="U4" s="3500"/>
      <c r="V4" s="3455" t="s">
        <v>2410</v>
      </c>
      <c r="W4" s="3455"/>
      <c r="X4" s="1507"/>
      <c r="Y4" s="3499" t="s">
        <v>2412</v>
      </c>
      <c r="Z4" s="3500"/>
      <c r="AA4" s="3498" t="s">
        <v>2408</v>
      </c>
      <c r="AB4" s="3421" t="s">
        <v>2409</v>
      </c>
      <c r="AC4" s="3498" t="s">
        <v>2410</v>
      </c>
    </row>
    <row r="5" spans="1:30" ht="15">
      <c r="A5" s="364"/>
      <c r="B5" s="365"/>
      <c r="C5" s="3431" t="s">
        <v>2303</v>
      </c>
      <c r="D5" s="3432"/>
      <c r="E5" s="3501" t="s">
        <v>2304</v>
      </c>
      <c r="F5" s="3430"/>
      <c r="G5" s="3431" t="s">
        <v>2305</v>
      </c>
      <c r="H5" s="3432"/>
      <c r="I5" s="3431" t="s">
        <v>2306</v>
      </c>
      <c r="J5" s="3432"/>
      <c r="K5" s="567"/>
      <c r="L5" s="2911"/>
      <c r="M5" s="2912"/>
      <c r="N5" s="2912"/>
      <c r="O5" s="2912"/>
      <c r="P5" s="3504"/>
      <c r="Q5" s="3449"/>
      <c r="R5" s="3427"/>
      <c r="S5" s="3428"/>
      <c r="T5" s="3427"/>
      <c r="U5" s="3428"/>
      <c r="V5" s="3455"/>
      <c r="W5" s="3455"/>
      <c r="X5" s="1507"/>
      <c r="Y5" s="3427"/>
      <c r="Z5" s="3428"/>
      <c r="AA5" s="3421"/>
      <c r="AB5" s="3421"/>
      <c r="AC5" s="3421"/>
    </row>
    <row r="6" spans="1:30" ht="15.75" thickBot="1">
      <c r="A6" s="366"/>
      <c r="B6" s="367"/>
      <c r="C6" s="3433" t="s">
        <v>2307</v>
      </c>
      <c r="D6" s="3434"/>
      <c r="E6" s="3436" t="s">
        <v>2307</v>
      </c>
      <c r="F6" s="3437"/>
      <c r="G6" s="3433" t="s">
        <v>2307</v>
      </c>
      <c r="H6" s="3434"/>
      <c r="I6" s="3433" t="s">
        <v>2307</v>
      </c>
      <c r="J6" s="3434"/>
      <c r="K6" s="567" t="s">
        <v>2308</v>
      </c>
      <c r="L6" s="2911"/>
      <c r="M6" s="2912"/>
      <c r="N6" s="2912"/>
      <c r="O6" s="2912"/>
      <c r="P6" s="3505"/>
      <c r="Q6" s="3451"/>
      <c r="R6" s="3427"/>
      <c r="S6" s="3428"/>
      <c r="T6" s="3452"/>
      <c r="U6" s="3453"/>
      <c r="V6" s="3455"/>
      <c r="W6" s="3455"/>
      <c r="X6" s="1507"/>
      <c r="Y6" s="3452"/>
      <c r="Z6" s="3453"/>
      <c r="AA6" s="3422"/>
      <c r="AB6" s="3422"/>
      <c r="AC6" s="3422"/>
    </row>
    <row r="7" spans="1:30" s="113" customFormat="1" ht="15.75" thickBot="1">
      <c r="A7" s="368" t="s">
        <v>2309</v>
      </c>
      <c r="B7" s="369"/>
      <c r="C7" s="370">
        <f>'数据-取费表'!B2</f>
        <v>44645</v>
      </c>
      <c r="D7" s="371">
        <v>100</v>
      </c>
      <c r="E7" s="372"/>
      <c r="F7" s="373">
        <f>SUMIF(70:70,YEAR(E7)&amp;"-"&amp;INT((MONTH(E7)+2)/3),71:71)</f>
        <v>0</v>
      </c>
      <c r="G7" s="2127"/>
      <c r="H7" s="371">
        <f>SUMIF(70:70,YEAR(G7)&amp;"-"&amp;INT((MONTH(G7)+2)/3),71:71)</f>
        <v>0</v>
      </c>
      <c r="I7" s="2127"/>
      <c r="J7" s="371">
        <f>SUMIF(70:70,YEAR(I7)&amp;"-"&amp;INT((MONTH(I7)+2)/3),71:71)</f>
        <v>0</v>
      </c>
      <c r="K7" s="568"/>
      <c r="L7" s="2913"/>
      <c r="M7" s="2914"/>
      <c r="N7" s="2914"/>
      <c r="O7" s="2914"/>
      <c r="P7" s="3423" t="s">
        <v>2310</v>
      </c>
      <c r="Q7" s="3457"/>
      <c r="R7" s="709" t="s">
        <v>17</v>
      </c>
      <c r="S7" s="710">
        <f t="shared" ref="S7:S15" si="0">F7</f>
        <v>0</v>
      </c>
      <c r="T7" s="709" t="s">
        <v>17</v>
      </c>
      <c r="U7" s="710">
        <f t="shared" ref="U7:U15" si="1">H7</f>
        <v>0</v>
      </c>
      <c r="V7" s="709" t="s">
        <v>17</v>
      </c>
      <c r="W7" s="710">
        <f t="shared" ref="W7:W15" si="2">J7</f>
        <v>0</v>
      </c>
      <c r="X7" s="711"/>
      <c r="Y7" s="3423" t="s">
        <v>2310</v>
      </c>
      <c r="Z7" s="3424"/>
      <c r="AA7" s="712" t="e">
        <f>D7/F7</f>
        <v>#DIV/0!</v>
      </c>
      <c r="AB7" s="712" t="e">
        <f>D7/H7</f>
        <v>#DIV/0!</v>
      </c>
      <c r="AC7" s="712"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23" t="s">
        <v>2313</v>
      </c>
      <c r="Q8" s="3424"/>
      <c r="R8" s="709" t="s">
        <v>17</v>
      </c>
      <c r="S8" s="710">
        <f t="shared" si="0"/>
        <v>0</v>
      </c>
      <c r="T8" s="709" t="s">
        <v>17</v>
      </c>
      <c r="U8" s="710">
        <f t="shared" si="1"/>
        <v>0</v>
      </c>
      <c r="V8" s="709" t="s">
        <v>17</v>
      </c>
      <c r="W8" s="710">
        <f t="shared" si="2"/>
        <v>0</v>
      </c>
      <c r="X8" s="711"/>
      <c r="Y8" s="3423" t="s">
        <v>2313</v>
      </c>
      <c r="Z8" s="3424"/>
      <c r="AA8" s="712" t="e">
        <f t="shared" ref="AA8:AA45" si="3">D8/F8</f>
        <v>#DIV/0!</v>
      </c>
      <c r="AB8" s="712" t="e">
        <f t="shared" ref="AB8:AB45" si="4">D8/H8</f>
        <v>#DIV/0!</v>
      </c>
      <c r="AC8" s="712" t="e">
        <f t="shared" ref="AC8:AC45" si="5">D8/J8</f>
        <v>#DIV/0!</v>
      </c>
    </row>
    <row r="9" spans="1:30" s="113" customFormat="1">
      <c r="A9" s="375" t="s">
        <v>2314</v>
      </c>
      <c r="B9" s="67" t="s">
        <v>2315</v>
      </c>
      <c r="C9" s="2130"/>
      <c r="D9" s="131">
        <v>100</v>
      </c>
      <c r="E9" s="2130"/>
      <c r="F9" s="131">
        <f>SUMIF(75:75,E9,76:76)-SUMIF(75:75,C9,76:76)+100</f>
        <v>100</v>
      </c>
      <c r="G9" s="2130"/>
      <c r="H9" s="131">
        <f>SUMIF(75:75,G9,76:76)-SUMIF(75:75,C9,76:76)+100</f>
        <v>100</v>
      </c>
      <c r="I9" s="2130"/>
      <c r="J9" s="131">
        <f>SUMIF(75:75,I9,76:76)-SUMIF(75:75,C9,76:76)+100</f>
        <v>100</v>
      </c>
      <c r="K9" s="568"/>
      <c r="L9" s="2913"/>
      <c r="M9" s="2914"/>
      <c r="N9" s="2914"/>
      <c r="O9" s="2968"/>
      <c r="P9" s="3467" t="s">
        <v>2316</v>
      </c>
      <c r="Q9" s="1495" t="str">
        <f t="shared" ref="Q9:Q15" si="6">B9</f>
        <v>用途</v>
      </c>
      <c r="R9" s="709" t="s">
        <v>17</v>
      </c>
      <c r="S9" s="710">
        <f t="shared" si="0"/>
        <v>100</v>
      </c>
      <c r="T9" s="709" t="s">
        <v>17</v>
      </c>
      <c r="U9" s="710">
        <f t="shared" si="1"/>
        <v>100</v>
      </c>
      <c r="V9" s="709" t="s">
        <v>17</v>
      </c>
      <c r="W9" s="710">
        <f t="shared" si="2"/>
        <v>100</v>
      </c>
      <c r="X9" s="711"/>
      <c r="Y9" s="3393" t="s">
        <v>2317</v>
      </c>
      <c r="Z9" s="55" t="str">
        <f t="shared" ref="Z9:Z15" si="7">Q9</f>
        <v>用途</v>
      </c>
      <c r="AA9" s="712">
        <f t="shared" si="3"/>
        <v>1</v>
      </c>
      <c r="AB9" s="712">
        <f t="shared" si="4"/>
        <v>1</v>
      </c>
      <c r="AC9" s="712">
        <f t="shared" si="5"/>
        <v>1</v>
      </c>
    </row>
    <row r="10" spans="1:30" s="386" customFormat="1" ht="27">
      <c r="A10" s="380"/>
      <c r="B10" s="381" t="s">
        <v>2318</v>
      </c>
      <c r="C10" s="391"/>
      <c r="D10" s="132">
        <v>100</v>
      </c>
      <c r="E10" s="424"/>
      <c r="F10" s="132">
        <f>ROUND(100/'数据-取费表'!G16,0)</f>
        <v>118</v>
      </c>
      <c r="G10" s="422"/>
      <c r="H10" s="132">
        <f>ROUND(100/'数据-取费表'!G16,0)</f>
        <v>118</v>
      </c>
      <c r="I10" s="422"/>
      <c r="J10" s="132">
        <f>ROUND(100/'数据-取费表'!G16,0)</f>
        <v>118</v>
      </c>
      <c r="K10" s="628"/>
      <c r="L10" s="2915"/>
      <c r="M10" s="2916"/>
      <c r="N10" s="2916"/>
      <c r="O10" s="2969"/>
      <c r="P10" s="3467"/>
      <c r="Q10" s="1495" t="str">
        <f t="shared" si="6"/>
        <v>土地使用年限（年）</v>
      </c>
      <c r="R10" s="709" t="s">
        <v>17</v>
      </c>
      <c r="S10" s="710">
        <f t="shared" si="0"/>
        <v>118</v>
      </c>
      <c r="T10" s="709" t="s">
        <v>17</v>
      </c>
      <c r="U10" s="710">
        <f t="shared" si="1"/>
        <v>118</v>
      </c>
      <c r="V10" s="709" t="s">
        <v>17</v>
      </c>
      <c r="W10" s="710">
        <f t="shared" si="2"/>
        <v>118</v>
      </c>
      <c r="X10" s="711"/>
      <c r="Y10" s="3393"/>
      <c r="Z10" s="55" t="str">
        <f t="shared" si="7"/>
        <v>土地使用年限（年）</v>
      </c>
      <c r="AA10" s="712">
        <f t="shared" si="3"/>
        <v>0.84745762711864403</v>
      </c>
      <c r="AB10" s="712">
        <f t="shared" si="4"/>
        <v>0.84745762711864403</v>
      </c>
      <c r="AC10" s="712">
        <f t="shared" si="5"/>
        <v>0.84745762711864403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67"/>
      <c r="Q11" s="1495" t="str">
        <f t="shared" si="6"/>
        <v>容积率</v>
      </c>
      <c r="R11" s="709" t="s">
        <v>17</v>
      </c>
      <c r="S11" s="710" t="e">
        <f t="shared" si="0"/>
        <v>#N/A</v>
      </c>
      <c r="T11" s="709" t="s">
        <v>17</v>
      </c>
      <c r="U11" s="710" t="e">
        <f t="shared" si="1"/>
        <v>#N/A</v>
      </c>
      <c r="V11" s="709" t="s">
        <v>17</v>
      </c>
      <c r="W11" s="710" t="e">
        <f t="shared" si="2"/>
        <v>#N/A</v>
      </c>
      <c r="X11" s="711"/>
      <c r="Y11" s="3393"/>
      <c r="Z11" s="55" t="str">
        <f t="shared" si="7"/>
        <v>容积率</v>
      </c>
      <c r="AA11" s="712" t="e">
        <f t="shared" si="3"/>
        <v>#N/A</v>
      </c>
      <c r="AB11" s="712" t="e">
        <f t="shared" si="4"/>
        <v>#N/A</v>
      </c>
      <c r="AC11" s="712" t="e">
        <f t="shared" si="5"/>
        <v>#N/A</v>
      </c>
    </row>
    <row r="12" spans="1:30" s="113" customFormat="1" ht="15">
      <c r="A12" s="390"/>
      <c r="B12" s="2047"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67"/>
      <c r="Q12" s="1495" t="str">
        <f t="shared" si="6"/>
        <v>配建</v>
      </c>
      <c r="R12" s="709" t="s">
        <v>17</v>
      </c>
      <c r="S12" s="710">
        <f t="shared" si="0"/>
        <v>100</v>
      </c>
      <c r="T12" s="709" t="s">
        <v>17</v>
      </c>
      <c r="U12" s="710">
        <f t="shared" si="1"/>
        <v>100</v>
      </c>
      <c r="V12" s="709" t="s">
        <v>17</v>
      </c>
      <c r="W12" s="710">
        <f t="shared" si="2"/>
        <v>100</v>
      </c>
      <c r="X12" s="711"/>
      <c r="Y12" s="3393"/>
      <c r="Z12" s="55" t="str">
        <f t="shared" si="7"/>
        <v>配建</v>
      </c>
      <c r="AA12" s="712">
        <f>D12/F12</f>
        <v>1</v>
      </c>
      <c r="AB12" s="712">
        <f>D12/H12</f>
        <v>1</v>
      </c>
      <c r="AC12" s="712">
        <f>D12/J12</f>
        <v>1</v>
      </c>
    </row>
    <row r="13" spans="1:30" ht="15">
      <c r="A13" s="387"/>
      <c r="B13" s="2047">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67"/>
      <c r="Q13" s="1495">
        <f t="shared" si="6"/>
        <v>111</v>
      </c>
      <c r="R13" s="709" t="s">
        <v>17</v>
      </c>
      <c r="S13" s="710">
        <f t="shared" si="0"/>
        <v>100</v>
      </c>
      <c r="T13" s="709" t="s">
        <v>17</v>
      </c>
      <c r="U13" s="710">
        <f t="shared" si="1"/>
        <v>100</v>
      </c>
      <c r="V13" s="709" t="s">
        <v>17</v>
      </c>
      <c r="W13" s="710">
        <f t="shared" si="2"/>
        <v>100</v>
      </c>
      <c r="X13" s="711"/>
      <c r="Y13" s="3393"/>
      <c r="Z13" s="55">
        <f t="shared" si="7"/>
        <v>111</v>
      </c>
      <c r="AA13" s="712">
        <f>D13/F13</f>
        <v>1</v>
      </c>
      <c r="AB13" s="712">
        <f>D13/H13</f>
        <v>1</v>
      </c>
      <c r="AC13" s="712">
        <f>D13/J13</f>
        <v>1</v>
      </c>
    </row>
    <row r="14" spans="1:30" ht="15.75" thickBot="1">
      <c r="A14" s="395"/>
      <c r="B14" s="2049">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67"/>
      <c r="Q14" s="1495">
        <f t="shared" si="6"/>
        <v>111</v>
      </c>
      <c r="R14" s="709" t="s">
        <v>17</v>
      </c>
      <c r="S14" s="710">
        <f t="shared" si="0"/>
        <v>100</v>
      </c>
      <c r="T14" s="709" t="s">
        <v>17</v>
      </c>
      <c r="U14" s="710">
        <f t="shared" si="1"/>
        <v>100</v>
      </c>
      <c r="V14" s="709" t="s">
        <v>17</v>
      </c>
      <c r="W14" s="710">
        <f t="shared" si="2"/>
        <v>100</v>
      </c>
      <c r="X14" s="711"/>
      <c r="Y14" s="3393"/>
      <c r="Z14" s="55">
        <f t="shared" si="7"/>
        <v>111</v>
      </c>
      <c r="AA14" s="712">
        <f>D14/F14</f>
        <v>1</v>
      </c>
      <c r="AB14" s="712">
        <f>D14/H14</f>
        <v>1</v>
      </c>
      <c r="AC14" s="712">
        <f>D14/J14</f>
        <v>1</v>
      </c>
    </row>
    <row r="15" spans="1:30" ht="99.75">
      <c r="A15" s="399" t="s">
        <v>2320</v>
      </c>
      <c r="B15" s="65" t="s">
        <v>1883</v>
      </c>
      <c r="C15" s="205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60" t="s">
        <v>2321</v>
      </c>
      <c r="Q15" s="1504" t="str">
        <f t="shared" si="6"/>
        <v>居住社区成熟度</v>
      </c>
      <c r="R15" s="713" t="s">
        <v>17</v>
      </c>
      <c r="S15" s="714">
        <f t="shared" si="0"/>
        <v>100</v>
      </c>
      <c r="T15" s="713" t="s">
        <v>17</v>
      </c>
      <c r="U15" s="714">
        <f t="shared" si="1"/>
        <v>100</v>
      </c>
      <c r="V15" s="713" t="s">
        <v>17</v>
      </c>
      <c r="W15" s="714">
        <f t="shared" si="2"/>
        <v>100</v>
      </c>
      <c r="X15" s="1507"/>
      <c r="Y15" s="3460" t="s">
        <v>2321</v>
      </c>
      <c r="Z15" s="1508" t="str">
        <f t="shared" si="7"/>
        <v>居住社区成熟度</v>
      </c>
      <c r="AA15" s="1505">
        <f t="shared" si="3"/>
        <v>1</v>
      </c>
      <c r="AB15" s="1505">
        <f t="shared" si="4"/>
        <v>1</v>
      </c>
      <c r="AC15" s="1505">
        <f t="shared" si="5"/>
        <v>1</v>
      </c>
    </row>
    <row r="16" spans="1:30" ht="15">
      <c r="A16" s="387"/>
      <c r="B16" s="405"/>
      <c r="C16" s="406"/>
      <c r="D16" s="407"/>
      <c r="E16" s="2052"/>
      <c r="F16" s="407"/>
      <c r="G16" s="2052"/>
      <c r="H16" s="409"/>
      <c r="I16" s="2051"/>
      <c r="J16" s="407"/>
      <c r="K16" s="628"/>
      <c r="L16" s="2918"/>
      <c r="M16" s="2912"/>
      <c r="N16" s="2912"/>
      <c r="O16" s="2970"/>
      <c r="P16" s="3461"/>
      <c r="Q16" s="1504"/>
      <c r="R16" s="713"/>
      <c r="S16" s="714"/>
      <c r="T16" s="713"/>
      <c r="U16" s="714"/>
      <c r="V16" s="713"/>
      <c r="W16" s="714"/>
      <c r="X16" s="1507"/>
      <c r="Y16" s="3461"/>
      <c r="Z16" s="1508"/>
      <c r="AA16" s="1505">
        <v>1</v>
      </c>
      <c r="AB16" s="1505">
        <v>1</v>
      </c>
      <c r="AC16" s="1505">
        <v>1</v>
      </c>
    </row>
    <row r="17" spans="1:29" ht="71.25">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61"/>
      <c r="Q17" s="1504" t="str">
        <f>B17</f>
        <v>商业繁华度</v>
      </c>
      <c r="R17" s="713" t="s">
        <v>17</v>
      </c>
      <c r="S17" s="714">
        <f>F17</f>
        <v>100</v>
      </c>
      <c r="T17" s="713" t="s">
        <v>17</v>
      </c>
      <c r="U17" s="714">
        <f>H17</f>
        <v>100</v>
      </c>
      <c r="V17" s="713" t="s">
        <v>17</v>
      </c>
      <c r="W17" s="714">
        <f>J17</f>
        <v>100</v>
      </c>
      <c r="X17" s="1507"/>
      <c r="Y17" s="3461"/>
      <c r="Z17" s="1508" t="str">
        <f>Q17</f>
        <v>商业繁华度</v>
      </c>
      <c r="AA17" s="1505">
        <f t="shared" si="3"/>
        <v>1</v>
      </c>
      <c r="AB17" s="1505">
        <f t="shared" si="4"/>
        <v>1</v>
      </c>
      <c r="AC17" s="1505">
        <f t="shared" si="5"/>
        <v>1</v>
      </c>
    </row>
    <row r="18" spans="1:29" ht="15">
      <c r="A18" s="387"/>
      <c r="B18" s="415"/>
      <c r="C18" s="2055"/>
      <c r="D18" s="409"/>
      <c r="E18" s="2057"/>
      <c r="F18" s="409"/>
      <c r="G18" s="2057"/>
      <c r="H18" s="407"/>
      <c r="I18" s="2056"/>
      <c r="J18" s="407"/>
      <c r="K18" s="628"/>
      <c r="L18" s="2918"/>
      <c r="M18" s="2912"/>
      <c r="N18" s="2912"/>
      <c r="O18" s="2970"/>
      <c r="P18" s="3461"/>
      <c r="Q18" s="1504"/>
      <c r="R18" s="713"/>
      <c r="S18" s="714"/>
      <c r="T18" s="713"/>
      <c r="U18" s="714"/>
      <c r="V18" s="713"/>
      <c r="W18" s="714"/>
      <c r="X18" s="1507"/>
      <c r="Y18" s="3461"/>
      <c r="Z18" s="1508"/>
      <c r="AA18" s="1505">
        <v>1</v>
      </c>
      <c r="AB18" s="1505">
        <v>1</v>
      </c>
      <c r="AC18" s="1505">
        <v>1</v>
      </c>
    </row>
    <row r="19" spans="1:29" ht="71.25">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61"/>
      <c r="Q19" s="1504" t="str">
        <f>B19</f>
        <v>办公集聚程度</v>
      </c>
      <c r="R19" s="713" t="s">
        <v>17</v>
      </c>
      <c r="S19" s="714">
        <f>F19</f>
        <v>100</v>
      </c>
      <c r="T19" s="713" t="s">
        <v>17</v>
      </c>
      <c r="U19" s="714">
        <f>H19</f>
        <v>100</v>
      </c>
      <c r="V19" s="713" t="s">
        <v>17</v>
      </c>
      <c r="W19" s="714">
        <f>J19</f>
        <v>100</v>
      </c>
      <c r="X19" s="1507"/>
      <c r="Y19" s="3461"/>
      <c r="Z19" s="1508" t="str">
        <f>Q19</f>
        <v>办公集聚程度</v>
      </c>
      <c r="AA19" s="1505">
        <f t="shared" si="3"/>
        <v>1</v>
      </c>
      <c r="AB19" s="1505">
        <f t="shared" si="4"/>
        <v>1</v>
      </c>
      <c r="AC19" s="1505">
        <f t="shared" si="5"/>
        <v>1</v>
      </c>
    </row>
    <row r="20" spans="1:29" ht="15">
      <c r="A20" s="387"/>
      <c r="B20" s="415"/>
      <c r="C20" s="406"/>
      <c r="D20" s="407"/>
      <c r="E20" s="2052"/>
      <c r="F20" s="407"/>
      <c r="G20" s="2052"/>
      <c r="H20" s="407"/>
      <c r="I20" s="2051"/>
      <c r="J20" s="407"/>
      <c r="K20" s="628"/>
      <c r="L20" s="2918"/>
      <c r="M20" s="2912"/>
      <c r="N20" s="2912"/>
      <c r="O20" s="2970"/>
      <c r="P20" s="3461"/>
      <c r="Q20" s="1504"/>
      <c r="R20" s="713"/>
      <c r="S20" s="714"/>
      <c r="T20" s="713"/>
      <c r="U20" s="714"/>
      <c r="V20" s="713"/>
      <c r="W20" s="714"/>
      <c r="X20" s="1507"/>
      <c r="Y20" s="3461"/>
      <c r="Z20" s="1508"/>
      <c r="AA20" s="1505">
        <v>1</v>
      </c>
      <c r="AB20" s="1505">
        <v>1</v>
      </c>
      <c r="AC20" s="1505">
        <v>1</v>
      </c>
    </row>
    <row r="21" spans="1:29" ht="85.5">
      <c r="A21" s="387"/>
      <c r="B21" s="410" t="s">
        <v>2470</v>
      </c>
      <c r="C21" s="205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61"/>
      <c r="Q21" s="1504" t="str">
        <f>B21</f>
        <v>交通便捷度</v>
      </c>
      <c r="R21" s="713" t="s">
        <v>17</v>
      </c>
      <c r="S21" s="714">
        <f>F21</f>
        <v>100</v>
      </c>
      <c r="T21" s="713" t="s">
        <v>17</v>
      </c>
      <c r="U21" s="714">
        <f>H21</f>
        <v>100</v>
      </c>
      <c r="V21" s="713" t="s">
        <v>17</v>
      </c>
      <c r="W21" s="714">
        <f>J21</f>
        <v>100</v>
      </c>
      <c r="X21" s="1507"/>
      <c r="Y21" s="3461"/>
      <c r="Z21" s="1508" t="str">
        <f>Q21</f>
        <v>交通便捷度</v>
      </c>
      <c r="AA21" s="1505">
        <f t="shared" si="3"/>
        <v>1</v>
      </c>
      <c r="AB21" s="1505">
        <f t="shared" si="4"/>
        <v>1</v>
      </c>
      <c r="AC21" s="1505">
        <f t="shared" si="5"/>
        <v>1</v>
      </c>
    </row>
    <row r="22" spans="1:29" ht="15">
      <c r="A22" s="387"/>
      <c r="B22" s="1263"/>
      <c r="C22" s="406"/>
      <c r="D22" s="409"/>
      <c r="E22" s="2052"/>
      <c r="F22" s="407"/>
      <c r="G22" s="2052"/>
      <c r="H22" s="407"/>
      <c r="I22" s="2051"/>
      <c r="J22" s="407"/>
      <c r="K22" s="628"/>
      <c r="L22" s="2918"/>
      <c r="M22" s="2912"/>
      <c r="N22" s="2912"/>
      <c r="O22" s="2970"/>
      <c r="P22" s="3461"/>
      <c r="Q22" s="1504"/>
      <c r="R22" s="713"/>
      <c r="S22" s="714"/>
      <c r="T22" s="713"/>
      <c r="U22" s="714"/>
      <c r="V22" s="713"/>
      <c r="W22" s="714"/>
      <c r="X22" s="1507"/>
      <c r="Y22" s="3461"/>
      <c r="Z22" s="1508"/>
      <c r="AA22" s="1505">
        <v>1</v>
      </c>
      <c r="AB22" s="1505">
        <v>1</v>
      </c>
      <c r="AC22" s="1505">
        <v>1</v>
      </c>
    </row>
    <row r="23" spans="1:29" ht="15">
      <c r="A23" s="364"/>
      <c r="B23" s="410" t="s">
        <v>2509</v>
      </c>
      <c r="C23" s="126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61"/>
      <c r="Q23" s="1504" t="str">
        <f t="shared" ref="Q23:Q37" si="8">B23</f>
        <v>区域土地利用方向</v>
      </c>
      <c r="R23" s="713" t="s">
        <v>17</v>
      </c>
      <c r="S23" s="714">
        <f>F23</f>
        <v>100</v>
      </c>
      <c r="T23" s="713" t="s">
        <v>17</v>
      </c>
      <c r="U23" s="714">
        <f>H23</f>
        <v>100</v>
      </c>
      <c r="V23" s="713" t="s">
        <v>17</v>
      </c>
      <c r="W23" s="714">
        <f>J23</f>
        <v>100</v>
      </c>
      <c r="X23" s="1507"/>
      <c r="Y23" s="3461"/>
      <c r="Z23" s="1508" t="str">
        <f>Q23</f>
        <v>区域土地利用方向</v>
      </c>
      <c r="AA23" s="1505">
        <f t="shared" si="3"/>
        <v>1</v>
      </c>
      <c r="AB23" s="1505">
        <f t="shared" si="4"/>
        <v>1</v>
      </c>
      <c r="AC23" s="1505">
        <f t="shared" si="5"/>
        <v>1</v>
      </c>
    </row>
    <row r="24" spans="1:29" ht="15">
      <c r="A24" s="364"/>
      <c r="B24" s="415"/>
      <c r="C24" s="573"/>
      <c r="D24" s="407"/>
      <c r="E24" s="2052"/>
      <c r="F24" s="407"/>
      <c r="G24" s="2051"/>
      <c r="H24" s="407"/>
      <c r="I24" s="2051"/>
      <c r="J24" s="407"/>
      <c r="K24" s="750"/>
      <c r="L24" s="2918"/>
      <c r="M24" s="2912"/>
      <c r="N24" s="2912"/>
      <c r="O24" s="2970"/>
      <c r="P24" s="3461"/>
      <c r="Q24" s="1504"/>
      <c r="R24" s="713"/>
      <c r="S24" s="714"/>
      <c r="T24" s="713"/>
      <c r="U24" s="714"/>
      <c r="V24" s="713"/>
      <c r="W24" s="714"/>
      <c r="X24" s="1507"/>
      <c r="Y24" s="3461"/>
      <c r="Z24" s="1508"/>
      <c r="AA24" s="1505"/>
      <c r="AB24" s="1505"/>
      <c r="AC24" s="1505"/>
    </row>
    <row r="25" spans="1:29" ht="57">
      <c r="A25" s="364"/>
      <c r="B25" s="1263"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61"/>
      <c r="Q25" s="1504" t="str">
        <f t="shared" si="8"/>
        <v>自然及人文环境状况</v>
      </c>
      <c r="R25" s="713" t="s">
        <v>17</v>
      </c>
      <c r="S25" s="714">
        <f>F25</f>
        <v>100</v>
      </c>
      <c r="T25" s="713" t="s">
        <v>17</v>
      </c>
      <c r="U25" s="714">
        <f>H25</f>
        <v>100</v>
      </c>
      <c r="V25" s="713" t="s">
        <v>17</v>
      </c>
      <c r="W25" s="714">
        <f>J25</f>
        <v>100</v>
      </c>
      <c r="X25" s="1507"/>
      <c r="Y25" s="3461"/>
      <c r="Z25" s="1508" t="str">
        <f>Q25</f>
        <v>自然及人文环境状况</v>
      </c>
      <c r="AA25" s="1505">
        <f t="shared" si="3"/>
        <v>1</v>
      </c>
      <c r="AB25" s="1505">
        <f t="shared" si="4"/>
        <v>1</v>
      </c>
      <c r="AC25" s="1505">
        <f t="shared" si="5"/>
        <v>1</v>
      </c>
    </row>
    <row r="26" spans="1:29" ht="15">
      <c r="A26" s="364"/>
      <c r="B26" s="415"/>
      <c r="C26" s="406"/>
      <c r="D26" s="407"/>
      <c r="E26" s="2058"/>
      <c r="F26" s="407"/>
      <c r="G26" s="2058"/>
      <c r="H26" s="407"/>
      <c r="I26" s="406"/>
      <c r="J26" s="407"/>
      <c r="K26" s="628"/>
      <c r="L26" s="2918"/>
      <c r="M26" s="2912"/>
      <c r="N26" s="2912"/>
      <c r="O26" s="2970"/>
      <c r="P26" s="3461"/>
      <c r="Q26" s="1504"/>
      <c r="R26" s="713"/>
      <c r="S26" s="714"/>
      <c r="T26" s="713"/>
      <c r="U26" s="714"/>
      <c r="V26" s="713"/>
      <c r="W26" s="714"/>
      <c r="X26" s="1507"/>
      <c r="Y26" s="3461"/>
      <c r="Z26" s="1508"/>
      <c r="AA26" s="1505">
        <v>1</v>
      </c>
      <c r="AB26" s="1505">
        <v>1</v>
      </c>
      <c r="AC26" s="1505">
        <v>1</v>
      </c>
    </row>
    <row r="27" spans="1:29" s="113" customFormat="1" ht="42.75">
      <c r="A27" s="605"/>
      <c r="B27" s="1263" t="s">
        <v>2415</v>
      </c>
      <c r="C27" s="205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61"/>
      <c r="Q27" s="1495" t="str">
        <f t="shared" si="8"/>
        <v>公共配套设施</v>
      </c>
      <c r="R27" s="709" t="s">
        <v>17</v>
      </c>
      <c r="S27" s="710">
        <f>F27</f>
        <v>100</v>
      </c>
      <c r="T27" s="709" t="s">
        <v>17</v>
      </c>
      <c r="U27" s="710">
        <f>H27</f>
        <v>100</v>
      </c>
      <c r="V27" s="709" t="s">
        <v>17</v>
      </c>
      <c r="W27" s="710">
        <f>J27</f>
        <v>100</v>
      </c>
      <c r="X27" s="711"/>
      <c r="Y27" s="3461"/>
      <c r="Z27" s="55" t="str">
        <f>Q27</f>
        <v>公共配套设施</v>
      </c>
      <c r="AA27" s="1505">
        <f>D27/F27</f>
        <v>1</v>
      </c>
      <c r="AB27" s="1505">
        <f>D27/H27</f>
        <v>1</v>
      </c>
      <c r="AC27" s="1505">
        <f>D27/J27</f>
        <v>1</v>
      </c>
    </row>
    <row r="28" spans="1:29" s="113" customFormat="1" ht="15">
      <c r="A28" s="605"/>
      <c r="B28" s="415"/>
      <c r="C28" s="2131"/>
      <c r="D28" s="407"/>
      <c r="E28" s="2058"/>
      <c r="F28" s="407"/>
      <c r="G28" s="2058"/>
      <c r="H28" s="407"/>
      <c r="I28" s="406"/>
      <c r="J28" s="407"/>
      <c r="K28" s="628"/>
      <c r="L28" s="2913"/>
      <c r="M28" s="2914"/>
      <c r="N28" s="2914"/>
      <c r="O28" s="2968"/>
      <c r="P28" s="3461"/>
      <c r="Q28" s="1495"/>
      <c r="R28" s="709"/>
      <c r="S28" s="710"/>
      <c r="T28" s="709"/>
      <c r="U28" s="710"/>
      <c r="V28" s="709"/>
      <c r="W28" s="710"/>
      <c r="X28" s="711"/>
      <c r="Y28" s="3461"/>
      <c r="Z28" s="55"/>
      <c r="AA28" s="1505">
        <v>1</v>
      </c>
      <c r="AB28" s="1505">
        <v>1</v>
      </c>
      <c r="AC28" s="1505">
        <v>1</v>
      </c>
    </row>
    <row r="29" spans="1:29" s="113" customFormat="1" ht="28.5">
      <c r="A29" s="605"/>
      <c r="B29" s="1263" t="s">
        <v>2416</v>
      </c>
      <c r="C29" s="205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61"/>
      <c r="Q29" s="1495" t="str">
        <f t="shared" ref="Q29" si="9">B29</f>
        <v>基础设施水平</v>
      </c>
      <c r="R29" s="709" t="s">
        <v>17</v>
      </c>
      <c r="S29" s="710">
        <f>F29</f>
        <v>100</v>
      </c>
      <c r="T29" s="709" t="s">
        <v>17</v>
      </c>
      <c r="U29" s="710">
        <f>H29</f>
        <v>100</v>
      </c>
      <c r="V29" s="709" t="s">
        <v>17</v>
      </c>
      <c r="W29" s="710">
        <f>J29</f>
        <v>100</v>
      </c>
      <c r="X29" s="711"/>
      <c r="Y29" s="3461"/>
      <c r="Z29" s="55" t="str">
        <f>Q29</f>
        <v>基础设施水平</v>
      </c>
      <c r="AA29" s="1505">
        <f>D29/F29</f>
        <v>1</v>
      </c>
      <c r="AB29" s="1505">
        <f>D29/H29</f>
        <v>1</v>
      </c>
      <c r="AC29" s="1505">
        <f>D29/J29</f>
        <v>1</v>
      </c>
    </row>
    <row r="30" spans="1:29" s="113" customFormat="1" ht="15">
      <c r="A30" s="605"/>
      <c r="B30" s="415"/>
      <c r="C30" s="2131"/>
      <c r="D30" s="407"/>
      <c r="E30" s="2132"/>
      <c r="F30" s="407"/>
      <c r="G30" s="2132"/>
      <c r="H30" s="407"/>
      <c r="I30" s="2132"/>
      <c r="J30" s="407"/>
      <c r="K30" s="628"/>
      <c r="L30" s="2913"/>
      <c r="M30" s="2914"/>
      <c r="N30" s="2914"/>
      <c r="O30" s="2968"/>
      <c r="P30" s="3461"/>
      <c r="Q30" s="1495"/>
      <c r="R30" s="709"/>
      <c r="S30" s="710"/>
      <c r="T30" s="709"/>
      <c r="U30" s="710"/>
      <c r="V30" s="709"/>
      <c r="W30" s="710"/>
      <c r="X30" s="711"/>
      <c r="Y30" s="3461"/>
      <c r="Z30" s="55"/>
      <c r="AA30" s="1505">
        <v>1</v>
      </c>
      <c r="AB30" s="1505">
        <v>1</v>
      </c>
      <c r="AC30" s="1505">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61"/>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461"/>
      <c r="Z31" s="1508" t="str">
        <f t="shared" ref="Z31:Z45" si="13">Q31</f>
        <v>临街状况</v>
      </c>
      <c r="AA31" s="1505">
        <f t="shared" si="3"/>
        <v>1</v>
      </c>
      <c r="AB31" s="1505">
        <f t="shared" si="4"/>
        <v>1</v>
      </c>
      <c r="AC31" s="1505">
        <f t="shared" si="5"/>
        <v>1</v>
      </c>
    </row>
    <row r="32" spans="1:29" ht="27">
      <c r="A32" s="387"/>
      <c r="B32" s="1263"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61"/>
      <c r="Q32" s="1504" t="str">
        <f t="shared" si="8"/>
        <v>毗邻道路的类型与等级</v>
      </c>
      <c r="R32" s="713" t="s">
        <v>17</v>
      </c>
      <c r="S32" s="714">
        <f t="shared" si="10"/>
        <v>100</v>
      </c>
      <c r="T32" s="713" t="s">
        <v>17</v>
      </c>
      <c r="U32" s="714">
        <f t="shared" si="11"/>
        <v>100</v>
      </c>
      <c r="V32" s="713" t="s">
        <v>17</v>
      </c>
      <c r="W32" s="714">
        <f t="shared" si="12"/>
        <v>100</v>
      </c>
      <c r="X32" s="1507"/>
      <c r="Y32" s="3461"/>
      <c r="Z32" s="1508" t="str">
        <f t="shared" si="13"/>
        <v>毗邻道路的类型与等级</v>
      </c>
      <c r="AA32" s="1505">
        <f t="shared" si="3"/>
        <v>1</v>
      </c>
      <c r="AB32" s="1505">
        <f t="shared" si="4"/>
        <v>1</v>
      </c>
      <c r="AC32" s="1505">
        <f t="shared" si="5"/>
        <v>1</v>
      </c>
    </row>
    <row r="33" spans="1:29" ht="15">
      <c r="A33" s="387"/>
      <c r="B33" s="415"/>
      <c r="C33" s="406"/>
      <c r="D33" s="407"/>
      <c r="E33" s="2058"/>
      <c r="F33" s="407"/>
      <c r="G33" s="2058"/>
      <c r="H33" s="407"/>
      <c r="I33" s="406"/>
      <c r="J33" s="407"/>
      <c r="K33" s="570"/>
      <c r="L33" s="2918"/>
      <c r="M33" s="2912"/>
      <c r="N33" s="2912"/>
      <c r="O33" s="2970"/>
      <c r="P33" s="3461"/>
      <c r="Q33" s="1504"/>
      <c r="R33" s="713"/>
      <c r="S33" s="714"/>
      <c r="T33" s="713"/>
      <c r="U33" s="714"/>
      <c r="V33" s="713"/>
      <c r="W33" s="714"/>
      <c r="X33" s="1507"/>
      <c r="Y33" s="3461"/>
      <c r="Z33" s="1508"/>
      <c r="AA33" s="1505">
        <v>1</v>
      </c>
      <c r="AB33" s="1505">
        <v>1</v>
      </c>
      <c r="AC33" s="1505">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61"/>
      <c r="Q34" s="1504" t="str">
        <f t="shared" si="8"/>
        <v>土地级别</v>
      </c>
      <c r="R34" s="713" t="s">
        <v>17</v>
      </c>
      <c r="S34" s="714">
        <f t="shared" si="10"/>
        <v>100</v>
      </c>
      <c r="T34" s="713" t="s">
        <v>17</v>
      </c>
      <c r="U34" s="714">
        <f t="shared" si="11"/>
        <v>100</v>
      </c>
      <c r="V34" s="713" t="s">
        <v>17</v>
      </c>
      <c r="W34" s="714">
        <f t="shared" si="12"/>
        <v>100</v>
      </c>
      <c r="X34" s="1507"/>
      <c r="Y34" s="3461"/>
      <c r="Z34" s="1508" t="str">
        <f t="shared" si="13"/>
        <v>土地级别</v>
      </c>
      <c r="AA34" s="1505">
        <f t="shared" si="3"/>
        <v>1</v>
      </c>
      <c r="AB34" s="1505">
        <f t="shared" si="4"/>
        <v>1</v>
      </c>
      <c r="AC34" s="1505">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61"/>
      <c r="Q35" s="1504">
        <f t="shared" si="8"/>
        <v>111</v>
      </c>
      <c r="R35" s="713" t="s">
        <v>17</v>
      </c>
      <c r="S35" s="714">
        <f t="shared" si="10"/>
        <v>100</v>
      </c>
      <c r="T35" s="713" t="s">
        <v>17</v>
      </c>
      <c r="U35" s="714">
        <f t="shared" si="11"/>
        <v>100</v>
      </c>
      <c r="V35" s="713" t="s">
        <v>17</v>
      </c>
      <c r="W35" s="714">
        <f t="shared" si="12"/>
        <v>100</v>
      </c>
      <c r="X35" s="1507"/>
      <c r="Y35" s="3461"/>
      <c r="Z35" s="1508">
        <f t="shared" si="13"/>
        <v>111</v>
      </c>
      <c r="AA35" s="1505">
        <f t="shared" si="3"/>
        <v>1</v>
      </c>
      <c r="AB35" s="1505">
        <f t="shared" si="4"/>
        <v>1</v>
      </c>
      <c r="AC35" s="1505">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509" t="s">
        <v>2326</v>
      </c>
      <c r="Q36" s="1504">
        <f t="shared" si="8"/>
        <v>111</v>
      </c>
      <c r="R36" s="713" t="s">
        <v>17</v>
      </c>
      <c r="S36" s="714">
        <f t="shared" si="10"/>
        <v>100</v>
      </c>
      <c r="T36" s="713" t="s">
        <v>17</v>
      </c>
      <c r="U36" s="714">
        <f t="shared" si="11"/>
        <v>100</v>
      </c>
      <c r="V36" s="713" t="s">
        <v>17</v>
      </c>
      <c r="W36" s="714">
        <f t="shared" si="12"/>
        <v>100</v>
      </c>
      <c r="X36" s="1507"/>
      <c r="Y36" s="3465" t="s">
        <v>2326</v>
      </c>
      <c r="Z36" s="1508">
        <f t="shared" si="13"/>
        <v>111</v>
      </c>
      <c r="AA36" s="1505">
        <f t="shared" si="3"/>
        <v>1</v>
      </c>
      <c r="AB36" s="1505">
        <f t="shared" si="4"/>
        <v>1</v>
      </c>
      <c r="AC36" s="1505">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65"/>
      <c r="Q37" s="1504">
        <f t="shared" si="8"/>
        <v>111</v>
      </c>
      <c r="R37" s="716" t="s">
        <v>17</v>
      </c>
      <c r="S37" s="717">
        <f t="shared" si="10"/>
        <v>100</v>
      </c>
      <c r="T37" s="716" t="s">
        <v>17</v>
      </c>
      <c r="U37" s="717">
        <f t="shared" si="11"/>
        <v>100</v>
      </c>
      <c r="V37" s="716" t="s">
        <v>17</v>
      </c>
      <c r="W37" s="717">
        <f t="shared" si="12"/>
        <v>100</v>
      </c>
      <c r="X37" s="718"/>
      <c r="Y37" s="3465"/>
      <c r="Z37" s="719">
        <f t="shared" si="13"/>
        <v>111</v>
      </c>
      <c r="AA37" s="1505">
        <f t="shared" si="3"/>
        <v>1</v>
      </c>
      <c r="AB37" s="1505">
        <f t="shared" si="4"/>
        <v>1</v>
      </c>
      <c r="AC37" s="1505">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65"/>
      <c r="Q38" s="1504" t="str">
        <f>B38</f>
        <v>宗地面积</v>
      </c>
      <c r="R38" s="713" t="s">
        <v>17</v>
      </c>
      <c r="S38" s="714" t="e">
        <f t="shared" si="10"/>
        <v>#N/A</v>
      </c>
      <c r="T38" s="713" t="s">
        <v>17</v>
      </c>
      <c r="U38" s="714" t="e">
        <f t="shared" si="11"/>
        <v>#N/A</v>
      </c>
      <c r="V38" s="713" t="s">
        <v>17</v>
      </c>
      <c r="W38" s="714" t="e">
        <f t="shared" si="12"/>
        <v>#N/A</v>
      </c>
      <c r="X38" s="1507"/>
      <c r="Y38" s="3465"/>
      <c r="Z38" s="1508" t="str">
        <f t="shared" si="13"/>
        <v>宗地面积</v>
      </c>
      <c r="AA38" s="1505" t="e">
        <f t="shared" si="3"/>
        <v>#N/A</v>
      </c>
      <c r="AB38" s="1505" t="e">
        <f t="shared" si="4"/>
        <v>#N/A</v>
      </c>
      <c r="AC38" s="1505" t="e">
        <f t="shared" si="5"/>
        <v>#N/A</v>
      </c>
    </row>
    <row r="39" spans="1:29" ht="15">
      <c r="A39" s="431"/>
      <c r="B39" s="381" t="s">
        <v>2513</v>
      </c>
      <c r="C39" s="2060"/>
      <c r="D39" s="394">
        <v>100</v>
      </c>
      <c r="E39" s="2060"/>
      <c r="F39" s="394">
        <f>SUMIF(119:119,E39,120:120)-SUMIF(119:119,C39,120:120)+100</f>
        <v>100</v>
      </c>
      <c r="G39" s="2060"/>
      <c r="H39" s="394">
        <f>SUMIF(119:119,G39,120:120)-SUMIF(119:119,C39,120:120)+100</f>
        <v>100</v>
      </c>
      <c r="I39" s="2060"/>
      <c r="J39" s="394">
        <f>SUMIF(119:119,I39,120:120)-SUMIF(119:119,C39,120:120)+100</f>
        <v>100</v>
      </c>
      <c r="K39" s="569"/>
      <c r="L39" s="2918"/>
      <c r="M39" s="2912"/>
      <c r="N39" s="2912"/>
      <c r="O39" s="2970"/>
      <c r="P39" s="3465"/>
      <c r="Q39" s="1504" t="str">
        <f t="shared" ref="Q39:Q45" si="14">B39</f>
        <v>宗地形状</v>
      </c>
      <c r="R39" s="713" t="s">
        <v>17</v>
      </c>
      <c r="S39" s="714">
        <f t="shared" si="10"/>
        <v>100</v>
      </c>
      <c r="T39" s="713" t="s">
        <v>17</v>
      </c>
      <c r="U39" s="714">
        <f t="shared" si="11"/>
        <v>100</v>
      </c>
      <c r="V39" s="713" t="s">
        <v>17</v>
      </c>
      <c r="W39" s="714">
        <f t="shared" si="12"/>
        <v>100</v>
      </c>
      <c r="X39" s="1507"/>
      <c r="Y39" s="3465"/>
      <c r="Z39" s="1508" t="str">
        <f t="shared" si="13"/>
        <v>宗地形状</v>
      </c>
      <c r="AA39" s="1505">
        <f t="shared" si="3"/>
        <v>1</v>
      </c>
      <c r="AB39" s="1505">
        <f t="shared" si="4"/>
        <v>1</v>
      </c>
      <c r="AC39" s="1505">
        <f t="shared" si="5"/>
        <v>1</v>
      </c>
    </row>
    <row r="40" spans="1:29" ht="15">
      <c r="A40" s="431"/>
      <c r="B40" s="381" t="s">
        <v>2514</v>
      </c>
      <c r="C40" s="2060"/>
      <c r="D40" s="394">
        <v>100</v>
      </c>
      <c r="E40" s="2060"/>
      <c r="F40" s="394">
        <f>SUMIF(121:121,E40,122:122)-SUMIF(121:121,C40,122:122)+100</f>
        <v>100</v>
      </c>
      <c r="G40" s="2060"/>
      <c r="H40" s="394">
        <f>SUMIF(121:121,G40,122:122)-SUMIF(121:121,C40,122:122)+100</f>
        <v>100</v>
      </c>
      <c r="I40" s="2060"/>
      <c r="J40" s="394">
        <f>SUMIF(121:121,I40,122:122)-SUMIF(121:121,C40,122:122)+100</f>
        <v>100</v>
      </c>
      <c r="K40" s="569"/>
      <c r="L40" s="2918"/>
      <c r="M40" s="2912"/>
      <c r="N40" s="2912"/>
      <c r="O40" s="2970"/>
      <c r="P40" s="3465"/>
      <c r="Q40" s="1504" t="str">
        <f t="shared" si="14"/>
        <v>临街宽度及深度</v>
      </c>
      <c r="R40" s="713" t="s">
        <v>17</v>
      </c>
      <c r="S40" s="714">
        <f t="shared" si="10"/>
        <v>100</v>
      </c>
      <c r="T40" s="713" t="s">
        <v>17</v>
      </c>
      <c r="U40" s="714">
        <f t="shared" si="11"/>
        <v>100</v>
      </c>
      <c r="V40" s="713" t="s">
        <v>17</v>
      </c>
      <c r="W40" s="714">
        <f t="shared" si="12"/>
        <v>100</v>
      </c>
      <c r="X40" s="1507"/>
      <c r="Y40" s="3465"/>
      <c r="Z40" s="1508" t="str">
        <f t="shared" si="13"/>
        <v>临街宽度及深度</v>
      </c>
      <c r="AA40" s="1505">
        <f t="shared" si="3"/>
        <v>1</v>
      </c>
      <c r="AB40" s="1505">
        <f t="shared" si="4"/>
        <v>1</v>
      </c>
      <c r="AC40" s="1505">
        <f t="shared" si="5"/>
        <v>1</v>
      </c>
    </row>
    <row r="41" spans="1:29" s="113" customFormat="1" ht="15">
      <c r="A41" s="432"/>
      <c r="B41" s="381" t="s">
        <v>2515</v>
      </c>
      <c r="C41" s="2133"/>
      <c r="D41" s="132">
        <v>100</v>
      </c>
      <c r="E41" s="2133"/>
      <c r="F41" s="394">
        <f>SUMIF(123:123,E41,124:124)-SUMIF(123:123,C41,124:124)+100</f>
        <v>100</v>
      </c>
      <c r="G41" s="2133"/>
      <c r="H41" s="394">
        <f>SUMIF(123:123,G41,124:124)-SUMIF(123:123,C41,124:124)+100</f>
        <v>100</v>
      </c>
      <c r="I41" s="2133"/>
      <c r="J41" s="394">
        <f>SUMIF(123:123,I41,124:124)-SUMIF(123:123,C41,124:124)+100</f>
        <v>100</v>
      </c>
      <c r="K41" s="569"/>
      <c r="L41" s="2913"/>
      <c r="M41" s="2914"/>
      <c r="N41" s="2914"/>
      <c r="O41" s="2968"/>
      <c r="P41" s="3465"/>
      <c r="Q41" s="1504" t="str">
        <f t="shared" si="14"/>
        <v>宗地开发程度</v>
      </c>
      <c r="R41" s="709" t="s">
        <v>17</v>
      </c>
      <c r="S41" s="710">
        <f t="shared" si="10"/>
        <v>100</v>
      </c>
      <c r="T41" s="709" t="s">
        <v>17</v>
      </c>
      <c r="U41" s="710">
        <f t="shared" si="11"/>
        <v>100</v>
      </c>
      <c r="V41" s="709" t="s">
        <v>17</v>
      </c>
      <c r="W41" s="710">
        <f t="shared" si="12"/>
        <v>100</v>
      </c>
      <c r="X41" s="711"/>
      <c r="Y41" s="3465"/>
      <c r="Z41" s="55" t="str">
        <f t="shared" si="13"/>
        <v>宗地开发程度</v>
      </c>
      <c r="AA41" s="712">
        <f t="shared" si="3"/>
        <v>1</v>
      </c>
      <c r="AB41" s="712">
        <f t="shared" si="4"/>
        <v>1</v>
      </c>
      <c r="AC41" s="712">
        <f t="shared" si="5"/>
        <v>1</v>
      </c>
    </row>
    <row r="42" spans="1:29" ht="15">
      <c r="A42" s="431"/>
      <c r="B42" s="381" t="s">
        <v>2516</v>
      </c>
      <c r="C42" s="2060"/>
      <c r="D42" s="394">
        <v>100</v>
      </c>
      <c r="E42" s="2060"/>
      <c r="F42" s="394">
        <f>SUMIF(125:125,E42,126:126)-SUMIF(125:125,C42,126:126)+100</f>
        <v>100</v>
      </c>
      <c r="G42" s="2060"/>
      <c r="H42" s="394">
        <f>SUMIF(125:125,G42,126:126)-SUMIF(125:125,C42,126:126)+100</f>
        <v>100</v>
      </c>
      <c r="I42" s="2060"/>
      <c r="J42" s="394">
        <f>SUMIF(125:125,I42,126:126)-SUMIF(125:125,C42,126:126)+100</f>
        <v>100</v>
      </c>
      <c r="K42" s="569"/>
      <c r="L42" s="2918"/>
      <c r="M42" s="2912"/>
      <c r="N42" s="2912"/>
      <c r="O42" s="2970"/>
      <c r="P42" s="3465" t="s">
        <v>2326</v>
      </c>
      <c r="Q42" s="1504" t="str">
        <f t="shared" si="14"/>
        <v>工程地质条件</v>
      </c>
      <c r="R42" s="713" t="s">
        <v>17</v>
      </c>
      <c r="S42" s="714">
        <f t="shared" si="10"/>
        <v>100</v>
      </c>
      <c r="T42" s="713" t="s">
        <v>17</v>
      </c>
      <c r="U42" s="714">
        <f t="shared" si="11"/>
        <v>100</v>
      </c>
      <c r="V42" s="713" t="s">
        <v>17</v>
      </c>
      <c r="W42" s="714">
        <f t="shared" si="12"/>
        <v>100</v>
      </c>
      <c r="X42" s="1507"/>
      <c r="Y42" s="3465" t="s">
        <v>2326</v>
      </c>
      <c r="Z42" s="1508" t="str">
        <f t="shared" si="13"/>
        <v>工程地质条件</v>
      </c>
      <c r="AA42" s="1505">
        <f t="shared" si="3"/>
        <v>1</v>
      </c>
      <c r="AB42" s="1505">
        <f t="shared" si="4"/>
        <v>1</v>
      </c>
      <c r="AC42" s="1505">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65"/>
      <c r="Q43" s="1504">
        <f t="shared" si="14"/>
        <v>111</v>
      </c>
      <c r="R43" s="713" t="s">
        <v>17</v>
      </c>
      <c r="S43" s="714">
        <f t="shared" si="10"/>
        <v>100</v>
      </c>
      <c r="T43" s="713" t="s">
        <v>17</v>
      </c>
      <c r="U43" s="714">
        <f t="shared" si="11"/>
        <v>100</v>
      </c>
      <c r="V43" s="713" t="s">
        <v>17</v>
      </c>
      <c r="W43" s="714">
        <f t="shared" si="12"/>
        <v>100</v>
      </c>
      <c r="X43" s="1507"/>
      <c r="Y43" s="3465"/>
      <c r="Z43" s="1508">
        <f t="shared" si="13"/>
        <v>111</v>
      </c>
      <c r="AA43" s="1505">
        <f t="shared" si="3"/>
        <v>1</v>
      </c>
      <c r="AB43" s="1505">
        <f t="shared" si="4"/>
        <v>1</v>
      </c>
      <c r="AC43" s="1505">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65"/>
      <c r="Q44" s="1504">
        <f t="shared" si="14"/>
        <v>111</v>
      </c>
      <c r="R44" s="713" t="s">
        <v>17</v>
      </c>
      <c r="S44" s="714">
        <f t="shared" si="10"/>
        <v>100</v>
      </c>
      <c r="T44" s="713" t="s">
        <v>17</v>
      </c>
      <c r="U44" s="714">
        <f t="shared" si="11"/>
        <v>100</v>
      </c>
      <c r="V44" s="713" t="s">
        <v>17</v>
      </c>
      <c r="W44" s="714">
        <f t="shared" si="12"/>
        <v>100</v>
      </c>
      <c r="X44" s="1507"/>
      <c r="Y44" s="3465"/>
      <c r="Z44" s="1508">
        <f t="shared" si="13"/>
        <v>111</v>
      </c>
      <c r="AA44" s="1505">
        <f t="shared" si="3"/>
        <v>1</v>
      </c>
      <c r="AB44" s="1505">
        <f t="shared" si="4"/>
        <v>1</v>
      </c>
      <c r="AC44" s="1505">
        <f t="shared" si="5"/>
        <v>1</v>
      </c>
    </row>
    <row r="45" spans="1:29" s="430" customFormat="1" ht="15.75" thickBot="1">
      <c r="A45" s="427"/>
      <c r="B45" s="1266">
        <v>111</v>
      </c>
      <c r="C45" s="2134"/>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65"/>
      <c r="Q45" s="1504">
        <f t="shared" si="14"/>
        <v>111</v>
      </c>
      <c r="R45" s="716" t="s">
        <v>17</v>
      </c>
      <c r="S45" s="717">
        <f t="shared" si="10"/>
        <v>100</v>
      </c>
      <c r="T45" s="716" t="s">
        <v>17</v>
      </c>
      <c r="U45" s="717">
        <f t="shared" si="11"/>
        <v>100</v>
      </c>
      <c r="V45" s="716" t="s">
        <v>17</v>
      </c>
      <c r="W45" s="717">
        <f t="shared" si="12"/>
        <v>100</v>
      </c>
      <c r="X45" s="718"/>
      <c r="Y45" s="3465"/>
      <c r="Z45" s="719">
        <f t="shared" si="13"/>
        <v>111</v>
      </c>
      <c r="AA45" s="1505">
        <f t="shared" si="3"/>
        <v>1</v>
      </c>
      <c r="AB45" s="1505">
        <f t="shared" si="4"/>
        <v>1</v>
      </c>
      <c r="AC45" s="1505">
        <f t="shared" si="5"/>
        <v>1</v>
      </c>
    </row>
    <row r="46" spans="1:29" ht="15">
      <c r="A46" s="438" t="s">
        <v>2481</v>
      </c>
      <c r="B46" s="2135" t="s">
        <v>2517</v>
      </c>
      <c r="C46" s="638" t="s">
        <v>1</v>
      </c>
      <c r="D46" s="440"/>
      <c r="E46" s="441"/>
      <c r="F46" s="442"/>
      <c r="G46" s="443"/>
      <c r="H46" s="444"/>
      <c r="I46" s="441"/>
      <c r="J46" s="444"/>
      <c r="K46" s="722"/>
      <c r="L46" s="2920"/>
      <c r="M46" s="2921"/>
      <c r="N46" s="2912"/>
      <c r="O46" s="2921"/>
      <c r="P46" s="3467" t="str">
        <f>A46</f>
        <v>成交单价</v>
      </c>
      <c r="Q46" s="3467"/>
      <c r="R46" s="3455">
        <f>E46</f>
        <v>0</v>
      </c>
      <c r="S46" s="3455"/>
      <c r="T46" s="3455">
        <f>G46</f>
        <v>0</v>
      </c>
      <c r="U46" s="3455"/>
      <c r="V46" s="3455">
        <f>I46</f>
        <v>0</v>
      </c>
      <c r="W46" s="3455"/>
      <c r="X46" s="698"/>
      <c r="Y46" s="720"/>
      <c r="Z46" s="698"/>
      <c r="AA46" s="698"/>
      <c r="AB46" s="698"/>
      <c r="AC46" s="698"/>
    </row>
    <row r="47" spans="1:29" ht="15.75" thickBot="1">
      <c r="A47" s="445" t="s">
        <v>2430</v>
      </c>
      <c r="B47" s="639"/>
      <c r="C47" s="448" t="e">
        <f>R48</f>
        <v>#DIV/0!</v>
      </c>
      <c r="D47" s="2505" t="s">
        <v>2819</v>
      </c>
      <c r="E47" s="448" t="e">
        <f>R47</f>
        <v>#DIV/0!</v>
      </c>
      <c r="F47" s="2506"/>
      <c r="G47" s="447" t="e">
        <f>T47</f>
        <v>#DIV/0!</v>
      </c>
      <c r="H47" s="2506"/>
      <c r="I47" s="448" t="e">
        <f>V47</f>
        <v>#DIV/0!</v>
      </c>
      <c r="J47" s="2506"/>
      <c r="K47" s="2508">
        <f>F47+H47+J47</f>
        <v>0</v>
      </c>
      <c r="L47" s="2920"/>
      <c r="M47" s="2921"/>
      <c r="N47" s="2921"/>
      <c r="O47" s="2921"/>
      <c r="P47" s="3467" t="str">
        <f>A47</f>
        <v>比较价值（元/平方米）</v>
      </c>
      <c r="Q47" s="3467"/>
      <c r="R47" s="3511" t="e">
        <f>ROUND(PRODUCT(R46,AA7:AA45),0)</f>
        <v>#DIV/0!</v>
      </c>
      <c r="S47" s="3511"/>
      <c r="T47" s="3511" t="e">
        <f>ROUND(PRODUCT(T46,AB7:AB45),0)</f>
        <v>#DIV/0!</v>
      </c>
      <c r="U47" s="3511"/>
      <c r="V47" s="3511" t="e">
        <f>ROUND(PRODUCT(V46,AC7:AC45),0)</f>
        <v>#DIV/0!</v>
      </c>
      <c r="W47" s="3511"/>
      <c r="X47" s="698"/>
      <c r="Y47" s="698"/>
      <c r="Z47" s="698"/>
      <c r="AA47" s="698"/>
      <c r="AB47" s="698"/>
      <c r="AC47" s="698"/>
    </row>
    <row r="48" spans="1:29" ht="15.75" thickBot="1">
      <c r="A48" s="449" t="s">
        <v>2518</v>
      </c>
      <c r="B48" s="450"/>
      <c r="C48" s="451" t="e">
        <f>R48</f>
        <v>#DIV/0!</v>
      </c>
      <c r="D48" s="451"/>
      <c r="E48" s="451"/>
      <c r="F48" s="451"/>
      <c r="G48" s="451"/>
      <c r="H48" s="451"/>
      <c r="I48" s="451"/>
      <c r="J48" s="451"/>
      <c r="K48" s="723"/>
      <c r="L48" s="2920"/>
      <c r="M48" s="2921"/>
      <c r="N48" s="2921"/>
      <c r="O48" s="2921"/>
      <c r="P48" s="3506" t="str">
        <f>A48</f>
        <v>估价对象XX用房的比较价值（楼面单价，元/平方米）</v>
      </c>
      <c r="Q48" s="3507"/>
      <c r="R48" s="3512" t="e">
        <f>ROUND(IF(D47="简单平均",AVERAGE(R47:W47),R47*F47+T47*H47+V47*J47),0)</f>
        <v>#DIV/0!</v>
      </c>
      <c r="S48" s="3512"/>
      <c r="T48" s="3512"/>
      <c r="U48" s="3512"/>
      <c r="V48" s="3512"/>
      <c r="W48" s="3512"/>
      <c r="X48" s="698"/>
      <c r="Y48" s="698"/>
      <c r="Z48" s="698"/>
      <c r="AA48" s="698"/>
      <c r="AB48" s="698"/>
      <c r="AC48" s="698"/>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6" t="s">
        <v>2521</v>
      </c>
      <c r="D55" s="2137" t="s">
        <v>2522</v>
      </c>
      <c r="E55" s="642" t="s">
        <v>2523</v>
      </c>
      <c r="F55" s="1020" t="s">
        <v>2524</v>
      </c>
      <c r="G55" s="3442" t="s">
        <v>2525</v>
      </c>
      <c r="H55" s="3513"/>
      <c r="I55" s="140" t="s">
        <v>2526</v>
      </c>
      <c r="J55" s="2138">
        <f>项目基本情况!F35</f>
        <v>0</v>
      </c>
      <c r="K55" s="2139"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4">
        <v>1</v>
      </c>
      <c r="E56" s="646">
        <f>'数据-汇总表'!E8+'数据-汇总表'!E9</f>
        <v>24137.57</v>
      </c>
      <c r="F56" s="1016" t="e">
        <f t="shared" ref="F56:F65" si="15">ROUND(B56*E56/10000,0)</f>
        <v>#DIV/0!</v>
      </c>
      <c r="G56" s="3438"/>
      <c r="H56" s="3467"/>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v>
      </c>
      <c r="D57" s="1075">
        <v>0.25</v>
      </c>
      <c r="E57" s="650"/>
      <c r="F57" s="1016" t="e">
        <f t="shared" si="15"/>
        <v>#DIV/0!</v>
      </c>
      <c r="G57" s="3514" t="s">
        <v>2530</v>
      </c>
      <c r="H57" s="1017">
        <f>项目基本情况!B37</f>
        <v>0</v>
      </c>
      <c r="I57" s="1021">
        <f>SUMIF(修正!A45:A56,H57,修正!B45:B56)</f>
        <v>0</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v>
      </c>
      <c r="D58" s="1075">
        <v>0.25</v>
      </c>
      <c r="E58" s="650"/>
      <c r="F58" s="1016" t="e">
        <f t="shared" si="15"/>
        <v>#DIV/0!</v>
      </c>
      <c r="G58" s="3514"/>
      <c r="H58" s="1017">
        <f>项目基本情况!B37</f>
        <v>0</v>
      </c>
      <c r="I58" s="1021">
        <f>SUMIF(修正!A45:A56,H58,修正!C45:C56)</f>
        <v>0</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v>
      </c>
      <c r="D59" s="1075">
        <v>0.25</v>
      </c>
      <c r="E59" s="650"/>
      <c r="F59" s="1016" t="e">
        <f t="shared" si="15"/>
        <v>#DIV/0!</v>
      </c>
      <c r="G59" s="3514"/>
      <c r="H59" s="1017">
        <f>项目基本情况!B37</f>
        <v>0</v>
      </c>
      <c r="I59" s="1021">
        <f>SUMIF(修正!A45:A56,H59,修正!D45:D56)</f>
        <v>0</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v>
      </c>
      <c r="D60" s="1075">
        <v>0.25</v>
      </c>
      <c r="E60" s="650"/>
      <c r="F60" s="1016" t="e">
        <f t="shared" si="15"/>
        <v>#DIV/0!</v>
      </c>
      <c r="G60" s="3514"/>
      <c r="H60" s="1017">
        <f>项目基本情况!B37</f>
        <v>0</v>
      </c>
      <c r="I60" s="1021">
        <f>SUMIF(修正!A45:A56,H60,修正!E45:E56)</f>
        <v>0</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0.25</v>
      </c>
      <c r="D61" s="1075">
        <v>0.25</v>
      </c>
      <c r="E61" s="223">
        <f>'数据-汇总表'!E11</f>
        <v>0</v>
      </c>
      <c r="F61" s="1016" t="e">
        <f t="shared" si="15"/>
        <v>#DIV/0!</v>
      </c>
      <c r="G61" s="2140" t="s">
        <v>2535</v>
      </c>
      <c r="H61" s="1017" t="str">
        <f>项目基本情况!C37</f>
        <v>六级</v>
      </c>
      <c r="I61" s="1021">
        <f>SUMIF(修正!A45:A56,H61,修正!F45:F56)</f>
        <v>0.25</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0.25</v>
      </c>
      <c r="D62" s="1075">
        <v>0.25</v>
      </c>
      <c r="E62" s="223">
        <f>'数据-汇总表'!E12</f>
        <v>0</v>
      </c>
      <c r="F62" s="1016" t="e">
        <f t="shared" si="15"/>
        <v>#DIV/0!</v>
      </c>
      <c r="G62" s="1022" t="s">
        <v>2537</v>
      </c>
      <c r="H62" s="1017" t="str">
        <f>IF(G62="商业",项目基本情况!B37,IF(G62="办公",项目基本情况!C37,IF(G62="住宅",项目基本情况!D37,项目基本情况!E37)))</f>
        <v>六级</v>
      </c>
      <c r="I62" s="1021">
        <f>SUMIF(修正!A45:A56,H62,修正!G45:G56)</f>
        <v>0.25</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5">
        <v>0.25</v>
      </c>
      <c r="E63" s="223">
        <f>'数据-汇总表'!E13</f>
        <v>0</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v>
      </c>
      <c r="D64" s="1075">
        <v>0.25</v>
      </c>
      <c r="E64" s="223">
        <f>'数据-汇总表'!E14</f>
        <v>0</v>
      </c>
      <c r="F64" s="1016" t="e">
        <f t="shared" si="15"/>
        <v>#DIV/0!</v>
      </c>
      <c r="G64" s="2140" t="s">
        <v>2530</v>
      </c>
      <c r="H64" s="1017">
        <f>项目基本情况!B37</f>
        <v>0</v>
      </c>
      <c r="I64" s="1021">
        <f>SUMIF(修正!A45:A56,H64,修正!H45:H56)</f>
        <v>0</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0.2</v>
      </c>
      <c r="D65" s="1075">
        <v>0.25</v>
      </c>
      <c r="E65" s="223">
        <f>'数据-汇总表'!E15</f>
        <v>2696.73</v>
      </c>
      <c r="F65" s="1016" t="e">
        <f t="shared" si="15"/>
        <v>#DIV/0!</v>
      </c>
      <c r="G65" s="2141" t="s">
        <v>2535</v>
      </c>
      <c r="H65" s="1027" t="str">
        <f>项目基本情况!C37</f>
        <v>六级</v>
      </c>
      <c r="I65" s="1023">
        <f>SUMIF(修正!A45:A56,H65,修正!H45:H56)</f>
        <v>0.2</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26834.3</v>
      </c>
      <c r="F66" s="653" t="e">
        <f>IF(B46="楼面地价",SUM(F56:F65),ROUND(C48*E66/10000,0))</f>
        <v>#DIV/0!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c r="A68" s="698"/>
      <c r="B68" s="700"/>
      <c r="C68" s="700" t="str">
        <f>YEAR(C7)&amp;"-"&amp;MONTH(C7)&amp;"-1"</f>
        <v>2022-3-1</v>
      </c>
      <c r="D68" s="700">
        <f>EDATE(C68,-3)</f>
        <v>44531</v>
      </c>
      <c r="E68" s="700">
        <f>EDATE(D68,-3)</f>
        <v>44440</v>
      </c>
      <c r="F68" s="700">
        <f t="shared" ref="F68:O68" si="18">EDATE(E68,-3)</f>
        <v>44348</v>
      </c>
      <c r="G68" s="700">
        <f t="shared" si="18"/>
        <v>44256</v>
      </c>
      <c r="H68" s="700">
        <f t="shared" si="18"/>
        <v>44166</v>
      </c>
      <c r="I68" s="700">
        <f t="shared" si="18"/>
        <v>44075</v>
      </c>
      <c r="J68" s="700">
        <f t="shared" si="18"/>
        <v>43983</v>
      </c>
      <c r="K68" s="700">
        <f t="shared" si="18"/>
        <v>43891</v>
      </c>
      <c r="L68" s="700">
        <f t="shared" si="18"/>
        <v>43800</v>
      </c>
      <c r="M68" s="700">
        <f t="shared" si="18"/>
        <v>43709</v>
      </c>
      <c r="N68" s="700">
        <f t="shared" si="18"/>
        <v>43617</v>
      </c>
      <c r="O68" s="700">
        <f t="shared" si="18"/>
        <v>43525</v>
      </c>
      <c r="P68" s="2921"/>
      <c r="Q68" s="2921"/>
      <c r="R68" s="2921"/>
      <c r="S68" s="2921"/>
      <c r="T68" s="2921"/>
      <c r="U68" s="2921"/>
      <c r="V68" s="2921"/>
      <c r="W68" s="2921"/>
      <c r="X68" s="2921"/>
      <c r="Y68" s="2921"/>
      <c r="Z68" s="2921"/>
      <c r="AA68" s="2921"/>
      <c r="AB68" s="2921"/>
      <c r="AC68" s="2921"/>
    </row>
    <row r="69" spans="1:29" ht="21.75" thickBot="1">
      <c r="A69" s="702" t="s">
        <v>2435</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5" customFormat="1" ht="15">
      <c r="A70" s="2142" t="s">
        <v>2543</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3"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0"/>
      <c r="N71" s="552"/>
      <c r="O71" s="1311"/>
      <c r="P71" s="2935"/>
      <c r="Q71" s="2855"/>
      <c r="R71" s="2855"/>
      <c r="S71" s="2855"/>
      <c r="T71" s="2855"/>
      <c r="U71" s="2855"/>
      <c r="V71" s="2855"/>
      <c r="W71" s="2855"/>
      <c r="X71" s="2855"/>
      <c r="Y71" s="2855"/>
      <c r="Z71" s="2855"/>
      <c r="AA71" s="2855"/>
      <c r="AB71" s="2855"/>
      <c r="AC71" s="2855"/>
    </row>
    <row r="72" spans="1:29" s="113" customFormat="1" ht="15.75" thickBot="1">
      <c r="A72" s="472" t="s">
        <v>2346</v>
      </c>
      <c r="B72" s="473"/>
      <c r="C72" s="474"/>
      <c r="D72" s="475"/>
      <c r="E72" s="475"/>
      <c r="F72" s="475"/>
      <c r="G72" s="475"/>
      <c r="H72" s="475"/>
      <c r="I72" s="475"/>
      <c r="J72" s="475"/>
      <c r="K72" s="475"/>
      <c r="L72" s="475"/>
      <c r="M72" s="476"/>
      <c r="N72" s="475"/>
      <c r="O72" s="1073"/>
      <c r="P72" s="2935"/>
      <c r="Q72" s="2935"/>
      <c r="R72" s="2855"/>
      <c r="S72" s="2855"/>
      <c r="T72" s="2855"/>
      <c r="U72" s="2855"/>
      <c r="V72" s="2855"/>
      <c r="W72" s="2855"/>
      <c r="X72" s="2855"/>
      <c r="Y72" s="2855"/>
      <c r="Z72" s="2855"/>
      <c r="AA72" s="2855"/>
      <c r="AB72" s="2855"/>
      <c r="AC72" s="2855"/>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5"/>
      <c r="S74" s="2855"/>
      <c r="T74" s="2855"/>
      <c r="U74" s="2855"/>
      <c r="V74" s="2855"/>
      <c r="W74" s="2855"/>
      <c r="X74" s="2855"/>
      <c r="Y74" s="2855"/>
      <c r="Z74" s="2855"/>
      <c r="AA74" s="2855"/>
      <c r="AB74" s="2855"/>
      <c r="AC74" s="2855"/>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5"/>
      <c r="S97" s="2855"/>
      <c r="T97" s="2855"/>
      <c r="U97" s="2855"/>
      <c r="V97" s="2855"/>
      <c r="W97" s="2855"/>
      <c r="X97" s="2855"/>
      <c r="Y97" s="2855"/>
      <c r="Z97" s="2855"/>
      <c r="AA97" s="2855"/>
      <c r="AB97" s="2855"/>
      <c r="AC97" s="2855"/>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5"/>
      <c r="S99" s="2855"/>
      <c r="T99" s="2855"/>
      <c r="U99" s="2855"/>
      <c r="V99" s="2855"/>
      <c r="W99" s="2855"/>
      <c r="X99" s="2855"/>
      <c r="Y99" s="2855"/>
      <c r="Z99" s="2855"/>
      <c r="AA99" s="2855"/>
      <c r="AB99" s="2855"/>
      <c r="AC99" s="2855"/>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4"/>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2088</v>
      </c>
      <c r="B2" s="627" t="e">
        <f>F61</f>
        <v>#DIV/0!</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8" customFormat="1" ht="28.5" customHeight="1" thickBot="1">
      <c r="A3" s="209" t="s">
        <v>2090</v>
      </c>
      <c r="B3" s="566" t="e">
        <f>ROUND(IF(D3="",B2*10000/'数据-汇总表'!E3,B2*10000/D3),0)</f>
        <v>#DIV/0!</v>
      </c>
      <c r="C3" s="209" t="s">
        <v>2507</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1" t="s">
        <v>2406</v>
      </c>
      <c r="B4" s="362"/>
      <c r="C4" s="3442" t="s">
        <v>2407</v>
      </c>
      <c r="D4" s="3443"/>
      <c r="E4" s="3444" t="s">
        <v>2408</v>
      </c>
      <c r="F4" s="3445"/>
      <c r="G4" s="3442" t="s">
        <v>2409</v>
      </c>
      <c r="H4" s="3443"/>
      <c r="I4" s="3442" t="s">
        <v>2410</v>
      </c>
      <c r="J4" s="3443"/>
      <c r="K4" s="567" t="s">
        <v>2411</v>
      </c>
      <c r="L4" s="2911"/>
      <c r="M4" s="2912"/>
      <c r="N4" s="2912"/>
      <c r="O4" s="2912"/>
      <c r="P4" s="3502" t="s">
        <v>2412</v>
      </c>
      <c r="Q4" s="3503"/>
      <c r="R4" s="3499" t="s">
        <v>2408</v>
      </c>
      <c r="S4" s="3500"/>
      <c r="T4" s="3499" t="s">
        <v>2409</v>
      </c>
      <c r="U4" s="3500"/>
      <c r="V4" s="3455" t="s">
        <v>2410</v>
      </c>
      <c r="W4" s="3455"/>
      <c r="X4" s="1507"/>
      <c r="Y4" s="3499" t="s">
        <v>2412</v>
      </c>
      <c r="Z4" s="3500"/>
      <c r="AA4" s="3498" t="s">
        <v>2408</v>
      </c>
      <c r="AB4" s="3421" t="s">
        <v>2409</v>
      </c>
      <c r="AC4" s="3498" t="s">
        <v>2410</v>
      </c>
    </row>
    <row r="5" spans="1:29" ht="15">
      <c r="A5" s="364"/>
      <c r="B5" s="365"/>
      <c r="C5" s="3431" t="s">
        <v>2303</v>
      </c>
      <c r="D5" s="3432"/>
      <c r="E5" s="3501" t="s">
        <v>2304</v>
      </c>
      <c r="F5" s="3430"/>
      <c r="G5" s="3431" t="s">
        <v>2305</v>
      </c>
      <c r="H5" s="3432"/>
      <c r="I5" s="3431" t="s">
        <v>2306</v>
      </c>
      <c r="J5" s="3432"/>
      <c r="K5" s="567"/>
      <c r="L5" s="2911"/>
      <c r="M5" s="2912"/>
      <c r="N5" s="2912"/>
      <c r="O5" s="2912"/>
      <c r="P5" s="3504"/>
      <c r="Q5" s="3449"/>
      <c r="R5" s="3427"/>
      <c r="S5" s="3428"/>
      <c r="T5" s="3427"/>
      <c r="U5" s="3428"/>
      <c r="V5" s="3455"/>
      <c r="W5" s="3455"/>
      <c r="X5" s="1507"/>
      <c r="Y5" s="3427"/>
      <c r="Z5" s="3428"/>
      <c r="AA5" s="3421"/>
      <c r="AB5" s="3421"/>
      <c r="AC5" s="3421"/>
    </row>
    <row r="6" spans="1:29" ht="15.75" thickBot="1">
      <c r="A6" s="366"/>
      <c r="B6" s="367"/>
      <c r="C6" s="3515" t="s">
        <v>2558</v>
      </c>
      <c r="D6" s="3516"/>
      <c r="E6" s="3517" t="s">
        <v>2558</v>
      </c>
      <c r="F6" s="3518"/>
      <c r="G6" s="3515" t="s">
        <v>2558</v>
      </c>
      <c r="H6" s="3516"/>
      <c r="I6" s="3515" t="s">
        <v>2558</v>
      </c>
      <c r="J6" s="3516"/>
      <c r="K6" s="567" t="s">
        <v>2308</v>
      </c>
      <c r="L6" s="2911"/>
      <c r="M6" s="2912"/>
      <c r="N6" s="2912"/>
      <c r="O6" s="2912"/>
      <c r="P6" s="3505"/>
      <c r="Q6" s="3451"/>
      <c r="R6" s="3427"/>
      <c r="S6" s="3428"/>
      <c r="T6" s="3452"/>
      <c r="U6" s="3453"/>
      <c r="V6" s="3455"/>
      <c r="W6" s="3455"/>
      <c r="X6" s="1507"/>
      <c r="Y6" s="3452"/>
      <c r="Z6" s="3453"/>
      <c r="AA6" s="3422"/>
      <c r="AB6" s="3422"/>
      <c r="AC6" s="3422"/>
    </row>
    <row r="7" spans="1:29" s="113" customFormat="1" ht="15.75" thickBot="1">
      <c r="A7" s="368" t="s">
        <v>2309</v>
      </c>
      <c r="B7" s="369"/>
      <c r="C7" s="370">
        <f>'数据-取费表'!B2</f>
        <v>44645</v>
      </c>
      <c r="D7" s="371">
        <v>100</v>
      </c>
      <c r="E7" s="372"/>
      <c r="F7" s="373">
        <f>SUMIF(65:65,YEAR(E7)&amp;"-"&amp;INT((MONTH(E7)+2)/3),66:66)</f>
        <v>0</v>
      </c>
      <c r="G7" s="2127"/>
      <c r="H7" s="371">
        <f>SUMIF(65:65,YEAR(G7)&amp;"-"&amp;INT((MONTH(G7)+2)/3),66:66)</f>
        <v>0</v>
      </c>
      <c r="I7" s="2127"/>
      <c r="J7" s="371">
        <f>SUMIF(65:65,YEAR(I7)&amp;"-"&amp;INT((MONTH(I7)+2)/3),66:66)</f>
        <v>0</v>
      </c>
      <c r="K7" s="568"/>
      <c r="L7" s="2913"/>
      <c r="M7" s="2914"/>
      <c r="N7" s="2914"/>
      <c r="O7" s="2914"/>
      <c r="P7" s="3423" t="s">
        <v>2310</v>
      </c>
      <c r="Q7" s="3457"/>
      <c r="R7" s="709" t="s">
        <v>17</v>
      </c>
      <c r="S7" s="710">
        <f t="shared" ref="S7:S15" si="0">F7</f>
        <v>0</v>
      </c>
      <c r="T7" s="709" t="s">
        <v>17</v>
      </c>
      <c r="U7" s="710">
        <f t="shared" ref="U7:U15" si="1">H7</f>
        <v>0</v>
      </c>
      <c r="V7" s="709" t="s">
        <v>17</v>
      </c>
      <c r="W7" s="710">
        <f t="shared" ref="W7:W15" si="2">J7</f>
        <v>0</v>
      </c>
      <c r="X7" s="711"/>
      <c r="Y7" s="3423" t="s">
        <v>2310</v>
      </c>
      <c r="Z7" s="3424"/>
      <c r="AA7" s="712" t="e">
        <f>D7/F7</f>
        <v>#DIV/0!</v>
      </c>
      <c r="AB7" s="712" t="e">
        <f>D7/H7</f>
        <v>#DIV/0!</v>
      </c>
      <c r="AC7" s="712"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3"/>
      <c r="M8" s="2914"/>
      <c r="N8" s="2914"/>
      <c r="O8" s="2914"/>
      <c r="P8" s="3423" t="s">
        <v>2313</v>
      </c>
      <c r="Q8" s="3424"/>
      <c r="R8" s="709" t="s">
        <v>17</v>
      </c>
      <c r="S8" s="710">
        <f t="shared" si="0"/>
        <v>0</v>
      </c>
      <c r="T8" s="709" t="s">
        <v>17</v>
      </c>
      <c r="U8" s="710">
        <f t="shared" si="1"/>
        <v>0</v>
      </c>
      <c r="V8" s="709" t="s">
        <v>17</v>
      </c>
      <c r="W8" s="710">
        <f t="shared" si="2"/>
        <v>0</v>
      </c>
      <c r="X8" s="711"/>
      <c r="Y8" s="3423" t="s">
        <v>2313</v>
      </c>
      <c r="Z8" s="3424"/>
      <c r="AA8" s="712" t="e">
        <f t="shared" ref="AA8:AA40" si="3">D8/F8</f>
        <v>#DIV/0!</v>
      </c>
      <c r="AB8" s="712" t="e">
        <f t="shared" ref="AB8:AB40" si="4">D8/H8</f>
        <v>#DIV/0!</v>
      </c>
      <c r="AC8" s="712" t="e">
        <f t="shared" ref="AC8:AC40" si="5">D8/J8</f>
        <v>#DIV/0!</v>
      </c>
    </row>
    <row r="9" spans="1:29" s="113" customFormat="1">
      <c r="A9" s="375" t="s">
        <v>2314</v>
      </c>
      <c r="B9" s="67" t="s">
        <v>2315</v>
      </c>
      <c r="C9" s="2130"/>
      <c r="D9" s="131">
        <v>100</v>
      </c>
      <c r="E9" s="2130"/>
      <c r="F9" s="131">
        <f>SUMIF(70:70,E9,71:71)-SUMIF(70:70,C9,71:71)+100</f>
        <v>100</v>
      </c>
      <c r="G9" s="2130"/>
      <c r="H9" s="131">
        <f>SUMIF(70:70,G9,71:71)-SUMIF(70:70,C9,71:71)+100</f>
        <v>100</v>
      </c>
      <c r="I9" s="2130"/>
      <c r="J9" s="131">
        <f>SUMIF(70:70,I9,71:71)-SUMIF(70:70,C9,71:71)+100</f>
        <v>100</v>
      </c>
      <c r="K9" s="568"/>
      <c r="L9" s="2913"/>
      <c r="M9" s="2914"/>
      <c r="N9" s="2914"/>
      <c r="O9" s="2968"/>
      <c r="P9" s="3467" t="s">
        <v>2316</v>
      </c>
      <c r="Q9" s="1495" t="str">
        <f t="shared" ref="Q9:Q15" si="6">B9</f>
        <v>用途</v>
      </c>
      <c r="R9" s="709" t="s">
        <v>17</v>
      </c>
      <c r="S9" s="710">
        <f t="shared" si="0"/>
        <v>100</v>
      </c>
      <c r="T9" s="709" t="s">
        <v>17</v>
      </c>
      <c r="U9" s="710">
        <f t="shared" si="1"/>
        <v>100</v>
      </c>
      <c r="V9" s="709" t="s">
        <v>17</v>
      </c>
      <c r="W9" s="710">
        <f t="shared" si="2"/>
        <v>100</v>
      </c>
      <c r="X9" s="711"/>
      <c r="Y9" s="3393" t="s">
        <v>2317</v>
      </c>
      <c r="Z9" s="55" t="str">
        <f t="shared" ref="Z9:Z15" si="7">Q9</f>
        <v>用途</v>
      </c>
      <c r="AA9" s="712">
        <f t="shared" si="3"/>
        <v>1</v>
      </c>
      <c r="AB9" s="712">
        <f t="shared" si="4"/>
        <v>1</v>
      </c>
      <c r="AC9" s="712">
        <f t="shared" si="5"/>
        <v>1</v>
      </c>
    </row>
    <row r="10" spans="1:29" s="386" customFormat="1" ht="27">
      <c r="A10" s="380"/>
      <c r="B10" s="381" t="s">
        <v>2318</v>
      </c>
      <c r="C10" s="391"/>
      <c r="D10" s="132">
        <v>100</v>
      </c>
      <c r="E10" s="391"/>
      <c r="F10" s="132">
        <f>ROUND(100/'数据-取费表'!G16,0)</f>
        <v>118</v>
      </c>
      <c r="G10" s="391"/>
      <c r="H10" s="132">
        <f>ROUND(100/'数据-取费表'!G16,0)</f>
        <v>118</v>
      </c>
      <c r="I10" s="391"/>
      <c r="J10" s="132">
        <f>ROUND(100/'数据-取费表'!G16,0)</f>
        <v>118</v>
      </c>
      <c r="K10" s="628"/>
      <c r="L10" s="2915"/>
      <c r="M10" s="2916"/>
      <c r="N10" s="2916"/>
      <c r="O10" s="2969"/>
      <c r="P10" s="3467"/>
      <c r="Q10" s="1495" t="str">
        <f t="shared" si="6"/>
        <v>土地使用年限（年）</v>
      </c>
      <c r="R10" s="709" t="s">
        <v>17</v>
      </c>
      <c r="S10" s="710">
        <f t="shared" si="0"/>
        <v>118</v>
      </c>
      <c r="T10" s="709" t="s">
        <v>17</v>
      </c>
      <c r="U10" s="710">
        <f t="shared" si="1"/>
        <v>118</v>
      </c>
      <c r="V10" s="709" t="s">
        <v>17</v>
      </c>
      <c r="W10" s="710">
        <f t="shared" si="2"/>
        <v>118</v>
      </c>
      <c r="X10" s="711"/>
      <c r="Y10" s="3393"/>
      <c r="Z10" s="55" t="str">
        <f t="shared" si="7"/>
        <v>土地使用年限（年）</v>
      </c>
      <c r="AA10" s="712">
        <f t="shared" si="3"/>
        <v>0.84745762711864403</v>
      </c>
      <c r="AB10" s="712">
        <f t="shared" si="4"/>
        <v>0.84745762711864403</v>
      </c>
      <c r="AC10" s="712">
        <f t="shared" si="5"/>
        <v>0.84745762711864403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7"/>
      <c r="M11" s="2912"/>
      <c r="N11" s="2912"/>
      <c r="O11" s="2970"/>
      <c r="P11" s="3467"/>
      <c r="Q11" s="1495" t="str">
        <f t="shared" si="6"/>
        <v>容积率</v>
      </c>
      <c r="R11" s="709" t="s">
        <v>17</v>
      </c>
      <c r="S11" s="710" t="e">
        <f t="shared" si="0"/>
        <v>#N/A</v>
      </c>
      <c r="T11" s="709" t="s">
        <v>17</v>
      </c>
      <c r="U11" s="710" t="e">
        <f t="shared" si="1"/>
        <v>#N/A</v>
      </c>
      <c r="V11" s="709" t="s">
        <v>17</v>
      </c>
      <c r="W11" s="710" t="e">
        <f t="shared" si="2"/>
        <v>#N/A</v>
      </c>
      <c r="X11" s="711"/>
      <c r="Y11" s="3393"/>
      <c r="Z11" s="55" t="str">
        <f t="shared" si="7"/>
        <v>容积率</v>
      </c>
      <c r="AA11" s="712" t="e">
        <f t="shared" si="3"/>
        <v>#N/A</v>
      </c>
      <c r="AB11" s="712" t="e">
        <f t="shared" si="4"/>
        <v>#N/A</v>
      </c>
      <c r="AC11" s="712" t="e">
        <f t="shared" si="5"/>
        <v>#N/A</v>
      </c>
    </row>
    <row r="12" spans="1:29" s="113" customFormat="1" ht="15">
      <c r="A12" s="390"/>
      <c r="B12" s="2047">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67"/>
      <c r="Q12" s="1495">
        <f t="shared" si="6"/>
        <v>111</v>
      </c>
      <c r="R12" s="709" t="s">
        <v>17</v>
      </c>
      <c r="S12" s="710">
        <f t="shared" si="0"/>
        <v>100</v>
      </c>
      <c r="T12" s="709" t="s">
        <v>17</v>
      </c>
      <c r="U12" s="710">
        <f t="shared" si="1"/>
        <v>100</v>
      </c>
      <c r="V12" s="709" t="s">
        <v>17</v>
      </c>
      <c r="W12" s="710">
        <f t="shared" si="2"/>
        <v>100</v>
      </c>
      <c r="X12" s="711"/>
      <c r="Y12" s="3393"/>
      <c r="Z12" s="55">
        <f t="shared" si="7"/>
        <v>111</v>
      </c>
      <c r="AA12" s="712">
        <f>D12/F12</f>
        <v>1</v>
      </c>
      <c r="AB12" s="712">
        <f>D12/H12</f>
        <v>1</v>
      </c>
      <c r="AC12" s="712">
        <f>D12/J12</f>
        <v>1</v>
      </c>
    </row>
    <row r="13" spans="1:29" ht="15">
      <c r="A13" s="387"/>
      <c r="B13" s="2047">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67"/>
      <c r="Q13" s="1495">
        <f t="shared" si="6"/>
        <v>111</v>
      </c>
      <c r="R13" s="709" t="s">
        <v>17</v>
      </c>
      <c r="S13" s="710">
        <f t="shared" si="0"/>
        <v>100</v>
      </c>
      <c r="T13" s="709" t="s">
        <v>17</v>
      </c>
      <c r="U13" s="710">
        <f t="shared" si="1"/>
        <v>100</v>
      </c>
      <c r="V13" s="709" t="s">
        <v>17</v>
      </c>
      <c r="W13" s="710">
        <f t="shared" si="2"/>
        <v>100</v>
      </c>
      <c r="X13" s="711"/>
      <c r="Y13" s="3393"/>
      <c r="Z13" s="55">
        <f t="shared" si="7"/>
        <v>111</v>
      </c>
      <c r="AA13" s="712">
        <f t="shared" si="3"/>
        <v>1</v>
      </c>
      <c r="AB13" s="712">
        <f t="shared" si="4"/>
        <v>1</v>
      </c>
      <c r="AC13" s="712">
        <f t="shared" si="5"/>
        <v>1</v>
      </c>
    </row>
    <row r="14" spans="1:29" ht="15.75" thickBot="1">
      <c r="A14" s="395"/>
      <c r="B14" s="2049">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67"/>
      <c r="Q14" s="1495">
        <f t="shared" si="6"/>
        <v>111</v>
      </c>
      <c r="R14" s="709" t="s">
        <v>17</v>
      </c>
      <c r="S14" s="710">
        <f t="shared" si="0"/>
        <v>100</v>
      </c>
      <c r="T14" s="709" t="s">
        <v>17</v>
      </c>
      <c r="U14" s="710">
        <f t="shared" si="1"/>
        <v>100</v>
      </c>
      <c r="V14" s="709" t="s">
        <v>17</v>
      </c>
      <c r="W14" s="710">
        <f t="shared" si="2"/>
        <v>100</v>
      </c>
      <c r="X14" s="711"/>
      <c r="Y14" s="3393"/>
      <c r="Z14" s="55">
        <f t="shared" si="7"/>
        <v>111</v>
      </c>
      <c r="AA14" s="712">
        <f t="shared" si="3"/>
        <v>1</v>
      </c>
      <c r="AB14" s="712">
        <f t="shared" si="4"/>
        <v>1</v>
      </c>
      <c r="AC14" s="712">
        <f t="shared" si="5"/>
        <v>1</v>
      </c>
    </row>
    <row r="15" spans="1:29" ht="57">
      <c r="A15" s="399" t="s">
        <v>2320</v>
      </c>
      <c r="B15" s="585" t="s">
        <v>2559</v>
      </c>
      <c r="C15" s="212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8"/>
      <c r="M15" s="2912"/>
      <c r="N15" s="2912"/>
      <c r="O15" s="2970"/>
      <c r="P15" s="3460" t="s">
        <v>2321</v>
      </c>
      <c r="Q15" s="1504" t="str">
        <f t="shared" si="6"/>
        <v>产业集聚程度</v>
      </c>
      <c r="R15" s="713" t="s">
        <v>17</v>
      </c>
      <c r="S15" s="714">
        <f t="shared" si="0"/>
        <v>100</v>
      </c>
      <c r="T15" s="713" t="s">
        <v>17</v>
      </c>
      <c r="U15" s="714">
        <f t="shared" si="1"/>
        <v>100</v>
      </c>
      <c r="V15" s="713" t="s">
        <v>17</v>
      </c>
      <c r="W15" s="714">
        <f t="shared" si="2"/>
        <v>100</v>
      </c>
      <c r="X15" s="1507"/>
      <c r="Y15" s="3460" t="s">
        <v>2321</v>
      </c>
      <c r="Z15" s="1508" t="str">
        <f t="shared" si="7"/>
        <v>产业集聚程度</v>
      </c>
      <c r="AA15" s="1505">
        <f t="shared" si="3"/>
        <v>1</v>
      </c>
      <c r="AB15" s="1505">
        <f t="shared" si="4"/>
        <v>1</v>
      </c>
      <c r="AC15" s="1505">
        <f t="shared" si="5"/>
        <v>1</v>
      </c>
    </row>
    <row r="16" spans="1:29" ht="15">
      <c r="A16" s="387"/>
      <c r="B16" s="586"/>
      <c r="C16" s="406"/>
      <c r="D16" s="407"/>
      <c r="E16" s="2058"/>
      <c r="F16" s="407"/>
      <c r="G16" s="2058"/>
      <c r="H16" s="409"/>
      <c r="I16" s="2058"/>
      <c r="J16" s="407"/>
      <c r="K16" s="628"/>
      <c r="L16" s="2918"/>
      <c r="M16" s="2912"/>
      <c r="N16" s="2912"/>
      <c r="O16" s="2970"/>
      <c r="P16" s="3461"/>
      <c r="Q16" s="1504"/>
      <c r="R16" s="713"/>
      <c r="S16" s="714"/>
      <c r="T16" s="713"/>
      <c r="U16" s="714"/>
      <c r="V16" s="713"/>
      <c r="W16" s="714"/>
      <c r="X16" s="1507"/>
      <c r="Y16" s="3461"/>
      <c r="Z16" s="1508"/>
      <c r="AA16" s="1505">
        <v>1</v>
      </c>
      <c r="AB16" s="1505">
        <v>1</v>
      </c>
      <c r="AC16" s="1505">
        <v>1</v>
      </c>
    </row>
    <row r="17" spans="1:29" ht="85.5">
      <c r="A17" s="387"/>
      <c r="B17" s="587" t="s">
        <v>2470</v>
      </c>
      <c r="C17" s="205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8"/>
      <c r="M17" s="2912"/>
      <c r="N17" s="2912"/>
      <c r="O17" s="2970"/>
      <c r="P17" s="3461"/>
      <c r="Q17" s="1504" t="str">
        <f>B17</f>
        <v>交通便捷度</v>
      </c>
      <c r="R17" s="713" t="s">
        <v>17</v>
      </c>
      <c r="S17" s="714">
        <f>F17</f>
        <v>100</v>
      </c>
      <c r="T17" s="713" t="s">
        <v>17</v>
      </c>
      <c r="U17" s="714">
        <f>H17</f>
        <v>100</v>
      </c>
      <c r="V17" s="713" t="s">
        <v>17</v>
      </c>
      <c r="W17" s="714">
        <f>J17</f>
        <v>100</v>
      </c>
      <c r="X17" s="1507"/>
      <c r="Y17" s="3461"/>
      <c r="Z17" s="1508" t="str">
        <f>Q17</f>
        <v>交通便捷度</v>
      </c>
      <c r="AA17" s="1505">
        <f t="shared" si="3"/>
        <v>1</v>
      </c>
      <c r="AB17" s="1505">
        <f t="shared" si="4"/>
        <v>1</v>
      </c>
      <c r="AC17" s="1505">
        <f t="shared" si="5"/>
        <v>1</v>
      </c>
    </row>
    <row r="18" spans="1:29" ht="15">
      <c r="A18" s="387"/>
      <c r="B18" s="588"/>
      <c r="C18" s="406"/>
      <c r="D18" s="407"/>
      <c r="E18" s="2052"/>
      <c r="F18" s="407"/>
      <c r="G18" s="2052"/>
      <c r="H18" s="407"/>
      <c r="I18" s="2051"/>
      <c r="J18" s="407"/>
      <c r="K18" s="628"/>
      <c r="L18" s="2918"/>
      <c r="M18" s="2912"/>
      <c r="N18" s="2912"/>
      <c r="O18" s="2970"/>
      <c r="P18" s="3461"/>
      <c r="Q18" s="1504"/>
      <c r="R18" s="713"/>
      <c r="S18" s="714"/>
      <c r="T18" s="713"/>
      <c r="U18" s="714"/>
      <c r="V18" s="713"/>
      <c r="W18" s="714"/>
      <c r="X18" s="1507"/>
      <c r="Y18" s="3461"/>
      <c r="Z18" s="1508"/>
      <c r="AA18" s="1505">
        <v>1</v>
      </c>
      <c r="AB18" s="1505">
        <v>1</v>
      </c>
      <c r="AC18" s="1505">
        <v>1</v>
      </c>
    </row>
    <row r="19" spans="1:29" ht="15">
      <c r="A19" s="387"/>
      <c r="B19" s="587" t="s">
        <v>2509</v>
      </c>
      <c r="C19" s="205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8"/>
      <c r="M19" s="2912"/>
      <c r="N19" s="2912"/>
      <c r="O19" s="2970"/>
      <c r="P19" s="3461"/>
      <c r="Q19" s="1504" t="str">
        <f t="shared" ref="Q19:Q33" si="8">B19</f>
        <v>区域土地利用方向</v>
      </c>
      <c r="R19" s="713" t="s">
        <v>17</v>
      </c>
      <c r="S19" s="714">
        <f>F19</f>
        <v>100</v>
      </c>
      <c r="T19" s="713" t="s">
        <v>17</v>
      </c>
      <c r="U19" s="714">
        <f>H19</f>
        <v>100</v>
      </c>
      <c r="V19" s="713" t="s">
        <v>17</v>
      </c>
      <c r="W19" s="714">
        <f>J19</f>
        <v>100</v>
      </c>
      <c r="X19" s="1507"/>
      <c r="Y19" s="3461"/>
      <c r="Z19" s="1508" t="str">
        <f>Q19</f>
        <v>区域土地利用方向</v>
      </c>
      <c r="AA19" s="1505">
        <f t="shared" si="3"/>
        <v>1</v>
      </c>
      <c r="AB19" s="1505">
        <f t="shared" si="4"/>
        <v>1</v>
      </c>
      <c r="AC19" s="1505">
        <f t="shared" si="5"/>
        <v>1</v>
      </c>
    </row>
    <row r="20" spans="1:29" ht="15">
      <c r="A20" s="364"/>
      <c r="B20" s="588"/>
      <c r="C20" s="406"/>
      <c r="D20" s="407"/>
      <c r="E20" s="2052"/>
      <c r="F20" s="407"/>
      <c r="G20" s="2052"/>
      <c r="H20" s="407"/>
      <c r="I20" s="2052"/>
      <c r="J20" s="407"/>
      <c r="K20" s="750"/>
      <c r="L20" s="2918"/>
      <c r="M20" s="2912"/>
      <c r="N20" s="2912"/>
      <c r="O20" s="2970"/>
      <c r="P20" s="3461"/>
      <c r="Q20" s="1504"/>
      <c r="R20" s="713"/>
      <c r="S20" s="714"/>
      <c r="T20" s="713"/>
      <c r="U20" s="714"/>
      <c r="V20" s="713"/>
      <c r="W20" s="714"/>
      <c r="X20" s="1507"/>
      <c r="Y20" s="3461"/>
      <c r="Z20" s="1508"/>
      <c r="AA20" s="1505"/>
      <c r="AB20" s="1505"/>
      <c r="AC20" s="1505"/>
    </row>
    <row r="21" spans="1:29" ht="71.25">
      <c r="A21" s="364"/>
      <c r="B21" s="587" t="s">
        <v>2560</v>
      </c>
      <c r="C21" s="205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8"/>
      <c r="M21" s="2912"/>
      <c r="N21" s="2912"/>
      <c r="O21" s="2970"/>
      <c r="P21" s="3461"/>
      <c r="Q21" s="1504" t="str">
        <f t="shared" si="8"/>
        <v>环境状况</v>
      </c>
      <c r="R21" s="713" t="s">
        <v>17</v>
      </c>
      <c r="S21" s="714">
        <f>F21</f>
        <v>100</v>
      </c>
      <c r="T21" s="713" t="s">
        <v>17</v>
      </c>
      <c r="U21" s="714">
        <f>H21</f>
        <v>100</v>
      </c>
      <c r="V21" s="713" t="s">
        <v>17</v>
      </c>
      <c r="W21" s="714">
        <f>J21</f>
        <v>100</v>
      </c>
      <c r="X21" s="1507"/>
      <c r="Y21" s="3461"/>
      <c r="Z21" s="1508" t="str">
        <f>Q21</f>
        <v>环境状况</v>
      </c>
      <c r="AA21" s="1505">
        <f t="shared" si="3"/>
        <v>1</v>
      </c>
      <c r="AB21" s="1505">
        <f t="shared" si="4"/>
        <v>1</v>
      </c>
      <c r="AC21" s="1505">
        <f t="shared" si="5"/>
        <v>1</v>
      </c>
    </row>
    <row r="22" spans="1:29" ht="15">
      <c r="A22" s="364"/>
      <c r="B22" s="588"/>
      <c r="C22" s="406"/>
      <c r="D22" s="407"/>
      <c r="E22" s="2058"/>
      <c r="F22" s="407"/>
      <c r="G22" s="2058"/>
      <c r="H22" s="407"/>
      <c r="I22" s="406"/>
      <c r="J22" s="407"/>
      <c r="K22" s="628"/>
      <c r="L22" s="2918"/>
      <c r="M22" s="2912"/>
      <c r="N22" s="2912"/>
      <c r="O22" s="2970"/>
      <c r="P22" s="3461"/>
      <c r="Q22" s="1504"/>
      <c r="R22" s="713"/>
      <c r="S22" s="714"/>
      <c r="T22" s="713"/>
      <c r="U22" s="714"/>
      <c r="V22" s="713"/>
      <c r="W22" s="714"/>
      <c r="X22" s="1507"/>
      <c r="Y22" s="3461"/>
      <c r="Z22" s="1508"/>
      <c r="AA22" s="1505">
        <v>1</v>
      </c>
      <c r="AB22" s="1505">
        <v>1</v>
      </c>
      <c r="AC22" s="1505">
        <v>1</v>
      </c>
    </row>
    <row r="23" spans="1:29" s="113" customFormat="1" ht="42.75">
      <c r="A23" s="605"/>
      <c r="B23" s="589" t="s">
        <v>2415</v>
      </c>
      <c r="C23" s="205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3"/>
      <c r="M23" s="2914"/>
      <c r="N23" s="2914"/>
      <c r="O23" s="2968"/>
      <c r="P23" s="3461"/>
      <c r="Q23" s="1495" t="str">
        <f t="shared" si="8"/>
        <v>公共配套设施</v>
      </c>
      <c r="R23" s="709" t="s">
        <v>17</v>
      </c>
      <c r="S23" s="710">
        <f>F23</f>
        <v>100</v>
      </c>
      <c r="T23" s="709" t="s">
        <v>17</v>
      </c>
      <c r="U23" s="710">
        <f>H23</f>
        <v>100</v>
      </c>
      <c r="V23" s="709" t="s">
        <v>17</v>
      </c>
      <c r="W23" s="710">
        <f>J23</f>
        <v>100</v>
      </c>
      <c r="X23" s="711"/>
      <c r="Y23" s="3461"/>
      <c r="Z23" s="55" t="str">
        <f>Q23</f>
        <v>公共配套设施</v>
      </c>
      <c r="AA23" s="1505">
        <f>D23/F23</f>
        <v>1</v>
      </c>
      <c r="AB23" s="1505">
        <f>D23/H23</f>
        <v>1</v>
      </c>
      <c r="AC23" s="1505">
        <f>D23/J23</f>
        <v>1</v>
      </c>
    </row>
    <row r="24" spans="1:29" s="113" customFormat="1" ht="15">
      <c r="A24" s="605"/>
      <c r="B24" s="588"/>
      <c r="C24" s="2131"/>
      <c r="D24" s="407"/>
      <c r="E24" s="2058"/>
      <c r="F24" s="407"/>
      <c r="G24" s="2058"/>
      <c r="H24" s="407"/>
      <c r="I24" s="406"/>
      <c r="J24" s="407"/>
      <c r="K24" s="628"/>
      <c r="L24" s="2913"/>
      <c r="M24" s="2914"/>
      <c r="N24" s="2914"/>
      <c r="O24" s="2968"/>
      <c r="P24" s="3461"/>
      <c r="Q24" s="1495"/>
      <c r="R24" s="709"/>
      <c r="S24" s="710"/>
      <c r="T24" s="709"/>
      <c r="U24" s="710"/>
      <c r="V24" s="709"/>
      <c r="W24" s="710"/>
      <c r="X24" s="711"/>
      <c r="Y24" s="3461"/>
      <c r="Z24" s="55"/>
      <c r="AA24" s="712">
        <v>1</v>
      </c>
      <c r="AB24" s="712">
        <v>1</v>
      </c>
      <c r="AC24" s="712">
        <v>1</v>
      </c>
    </row>
    <row r="25" spans="1:29" s="113" customFormat="1" ht="28.5">
      <c r="A25" s="605"/>
      <c r="B25" s="589" t="s">
        <v>2416</v>
      </c>
      <c r="C25" s="205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3"/>
      <c r="M25" s="2914"/>
      <c r="N25" s="2914"/>
      <c r="O25" s="2968"/>
      <c r="P25" s="3461"/>
      <c r="Q25" s="1495" t="str">
        <f t="shared" ref="Q25" si="9">B25</f>
        <v>基础设施水平</v>
      </c>
      <c r="R25" s="709" t="s">
        <v>17</v>
      </c>
      <c r="S25" s="710">
        <f>F25</f>
        <v>100</v>
      </c>
      <c r="T25" s="709" t="s">
        <v>17</v>
      </c>
      <c r="U25" s="710">
        <f>H25</f>
        <v>100</v>
      </c>
      <c r="V25" s="709" t="s">
        <v>17</v>
      </c>
      <c r="W25" s="710">
        <f>J25</f>
        <v>100</v>
      </c>
      <c r="X25" s="711"/>
      <c r="Y25" s="3461"/>
      <c r="Z25" s="55" t="str">
        <f>Q25</f>
        <v>基础设施水平</v>
      </c>
      <c r="AA25" s="1505">
        <f>D25/F25</f>
        <v>1</v>
      </c>
      <c r="AB25" s="1505">
        <f>D25/H25</f>
        <v>1</v>
      </c>
      <c r="AC25" s="1505">
        <f>D25/J25</f>
        <v>1</v>
      </c>
    </row>
    <row r="26" spans="1:29" s="113" customFormat="1" ht="15">
      <c r="A26" s="605"/>
      <c r="B26" s="588"/>
      <c r="C26" s="2131"/>
      <c r="D26" s="407"/>
      <c r="E26" s="2132"/>
      <c r="F26" s="407"/>
      <c r="G26" s="2132"/>
      <c r="H26" s="407"/>
      <c r="I26" s="2132"/>
      <c r="J26" s="407"/>
      <c r="K26" s="628"/>
      <c r="L26" s="2913"/>
      <c r="M26" s="2914"/>
      <c r="N26" s="2914"/>
      <c r="O26" s="2968"/>
      <c r="P26" s="3461"/>
      <c r="Q26" s="1495"/>
      <c r="R26" s="709"/>
      <c r="S26" s="710"/>
      <c r="T26" s="709"/>
      <c r="U26" s="710"/>
      <c r="V26" s="709"/>
      <c r="W26" s="710"/>
      <c r="X26" s="711"/>
      <c r="Y26" s="3461"/>
      <c r="Z26" s="55"/>
      <c r="AA26" s="712">
        <v>1</v>
      </c>
      <c r="AB26" s="712">
        <v>1</v>
      </c>
      <c r="AC26" s="712">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61"/>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461"/>
      <c r="Z27" s="1508" t="str">
        <f t="shared" ref="Z27:Z40" si="13">Q27</f>
        <v>临街状况</v>
      </c>
      <c r="AA27" s="1505">
        <f t="shared" si="3"/>
        <v>1</v>
      </c>
      <c r="AB27" s="1505">
        <f t="shared" si="4"/>
        <v>1</v>
      </c>
      <c r="AC27" s="1505">
        <f t="shared" si="5"/>
        <v>1</v>
      </c>
    </row>
    <row r="28" spans="1:29" ht="27">
      <c r="A28" s="387"/>
      <c r="B28" s="589" t="s">
        <v>2452</v>
      </c>
      <c r="C28" s="214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461"/>
      <c r="Q28" s="1504" t="str">
        <f t="shared" si="8"/>
        <v>毗邻道路的类型与等级</v>
      </c>
      <c r="R28" s="713" t="s">
        <v>17</v>
      </c>
      <c r="S28" s="714">
        <f t="shared" si="10"/>
        <v>100</v>
      </c>
      <c r="T28" s="713" t="s">
        <v>17</v>
      </c>
      <c r="U28" s="714">
        <f t="shared" si="11"/>
        <v>100</v>
      </c>
      <c r="V28" s="713" t="s">
        <v>17</v>
      </c>
      <c r="W28" s="714">
        <f t="shared" si="12"/>
        <v>100</v>
      </c>
      <c r="X28" s="1507"/>
      <c r="Y28" s="3461"/>
      <c r="Z28" s="1508" t="str">
        <f t="shared" si="13"/>
        <v>毗邻道路的类型与等级</v>
      </c>
      <c r="AA28" s="1505">
        <f t="shared" si="3"/>
        <v>1</v>
      </c>
      <c r="AB28" s="1505">
        <f t="shared" si="4"/>
        <v>1</v>
      </c>
      <c r="AC28" s="1505">
        <f t="shared" si="5"/>
        <v>1</v>
      </c>
    </row>
    <row r="29" spans="1:29" ht="15">
      <c r="A29" s="387"/>
      <c r="B29" s="588"/>
      <c r="C29" s="406"/>
      <c r="D29" s="407"/>
      <c r="E29" s="2058"/>
      <c r="F29" s="407"/>
      <c r="G29" s="2058"/>
      <c r="H29" s="407"/>
      <c r="I29" s="2058"/>
      <c r="J29" s="407"/>
      <c r="K29" s="570"/>
      <c r="L29" s="2918"/>
      <c r="M29" s="2912"/>
      <c r="N29" s="2912"/>
      <c r="O29" s="2970"/>
      <c r="P29" s="3461"/>
      <c r="Q29" s="1504"/>
      <c r="R29" s="713"/>
      <c r="S29" s="714"/>
      <c r="T29" s="713"/>
      <c r="U29" s="714"/>
      <c r="V29" s="713"/>
      <c r="W29" s="714"/>
      <c r="X29" s="1507"/>
      <c r="Y29" s="3461"/>
      <c r="Z29" s="1508"/>
      <c r="AA29" s="1505">
        <v>1</v>
      </c>
      <c r="AB29" s="1505">
        <v>1</v>
      </c>
      <c r="AC29" s="1505">
        <v>1</v>
      </c>
    </row>
    <row r="30" spans="1:29" ht="15">
      <c r="A30" s="387"/>
      <c r="B30" s="610" t="s">
        <v>2511</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61"/>
      <c r="Q30" s="1504" t="str">
        <f t="shared" si="8"/>
        <v>土地级别</v>
      </c>
      <c r="R30" s="713" t="s">
        <v>17</v>
      </c>
      <c r="S30" s="714">
        <f t="shared" si="10"/>
        <v>100</v>
      </c>
      <c r="T30" s="713" t="s">
        <v>17</v>
      </c>
      <c r="U30" s="714">
        <f t="shared" si="11"/>
        <v>100</v>
      </c>
      <c r="V30" s="713" t="s">
        <v>17</v>
      </c>
      <c r="W30" s="714">
        <f t="shared" si="12"/>
        <v>100</v>
      </c>
      <c r="X30" s="1507"/>
      <c r="Y30" s="3461"/>
      <c r="Z30" s="1508" t="str">
        <f t="shared" si="13"/>
        <v>土地级别</v>
      </c>
      <c r="AA30" s="1505">
        <f t="shared" si="3"/>
        <v>1</v>
      </c>
      <c r="AB30" s="1505">
        <f t="shared" si="4"/>
        <v>1</v>
      </c>
      <c r="AC30" s="1505">
        <f t="shared" si="5"/>
        <v>1</v>
      </c>
    </row>
    <row r="31" spans="1:29" ht="15">
      <c r="A31" s="364"/>
      <c r="B31" s="211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61"/>
      <c r="Q31" s="1504">
        <f t="shared" si="8"/>
        <v>111</v>
      </c>
      <c r="R31" s="713" t="s">
        <v>17</v>
      </c>
      <c r="S31" s="714">
        <f t="shared" si="10"/>
        <v>100</v>
      </c>
      <c r="T31" s="713" t="s">
        <v>17</v>
      </c>
      <c r="U31" s="714">
        <f t="shared" si="11"/>
        <v>100</v>
      </c>
      <c r="V31" s="713" t="s">
        <v>17</v>
      </c>
      <c r="W31" s="714">
        <f t="shared" si="12"/>
        <v>100</v>
      </c>
      <c r="X31" s="1507"/>
      <c r="Y31" s="3461"/>
      <c r="Z31" s="1508">
        <f t="shared" si="13"/>
        <v>111</v>
      </c>
      <c r="AA31" s="1505">
        <f t="shared" si="3"/>
        <v>1</v>
      </c>
      <c r="AB31" s="1505">
        <f t="shared" si="4"/>
        <v>1</v>
      </c>
      <c r="AC31" s="1505">
        <f t="shared" si="5"/>
        <v>1</v>
      </c>
    </row>
    <row r="32" spans="1:29" ht="15">
      <c r="A32" s="631"/>
      <c r="B32" s="214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509" t="s">
        <v>2326</v>
      </c>
      <c r="Q32" s="1504">
        <f t="shared" si="8"/>
        <v>111</v>
      </c>
      <c r="R32" s="713" t="s">
        <v>17</v>
      </c>
      <c r="S32" s="714">
        <f t="shared" si="10"/>
        <v>100</v>
      </c>
      <c r="T32" s="713" t="s">
        <v>17</v>
      </c>
      <c r="U32" s="714">
        <f t="shared" si="11"/>
        <v>100</v>
      </c>
      <c r="V32" s="713" t="s">
        <v>17</v>
      </c>
      <c r="W32" s="714">
        <f t="shared" si="12"/>
        <v>100</v>
      </c>
      <c r="X32" s="1507"/>
      <c r="Y32" s="3465" t="s">
        <v>2326</v>
      </c>
      <c r="Z32" s="1508">
        <f t="shared" si="13"/>
        <v>111</v>
      </c>
      <c r="AA32" s="1505">
        <f t="shared" si="3"/>
        <v>1</v>
      </c>
      <c r="AB32" s="1505">
        <f t="shared" si="4"/>
        <v>1</v>
      </c>
      <c r="AC32" s="1505">
        <f t="shared" si="5"/>
        <v>1</v>
      </c>
    </row>
    <row r="33" spans="1:31" s="430" customFormat="1" ht="15.75" thickBot="1">
      <c r="A33" s="632"/>
      <c r="B33" s="214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65"/>
      <c r="Q33" s="1504">
        <f t="shared" si="8"/>
        <v>111</v>
      </c>
      <c r="R33" s="716" t="s">
        <v>17</v>
      </c>
      <c r="S33" s="717">
        <f t="shared" si="10"/>
        <v>100</v>
      </c>
      <c r="T33" s="716" t="s">
        <v>17</v>
      </c>
      <c r="U33" s="717">
        <f t="shared" si="11"/>
        <v>100</v>
      </c>
      <c r="V33" s="716" t="s">
        <v>17</v>
      </c>
      <c r="W33" s="717">
        <f t="shared" si="12"/>
        <v>100</v>
      </c>
      <c r="X33" s="718"/>
      <c r="Y33" s="3465"/>
      <c r="Z33" s="719">
        <f t="shared" si="13"/>
        <v>111</v>
      </c>
      <c r="AA33" s="1505">
        <f t="shared" si="3"/>
        <v>1</v>
      </c>
      <c r="AB33" s="1505">
        <f t="shared" si="4"/>
        <v>1</v>
      </c>
      <c r="AC33" s="1505">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8"/>
      <c r="M34" s="2912"/>
      <c r="N34" s="2912"/>
      <c r="O34" s="2970"/>
      <c r="P34" s="3465"/>
      <c r="Q34" s="1504" t="str">
        <f>B34</f>
        <v>宗地面积</v>
      </c>
      <c r="R34" s="713" t="s">
        <v>17</v>
      </c>
      <c r="S34" s="714" t="e">
        <f t="shared" si="10"/>
        <v>#N/A</v>
      </c>
      <c r="T34" s="713" t="s">
        <v>17</v>
      </c>
      <c r="U34" s="714" t="e">
        <f t="shared" si="11"/>
        <v>#N/A</v>
      </c>
      <c r="V34" s="713" t="s">
        <v>17</v>
      </c>
      <c r="W34" s="714" t="e">
        <f t="shared" si="12"/>
        <v>#N/A</v>
      </c>
      <c r="X34" s="1507"/>
      <c r="Y34" s="3465"/>
      <c r="Z34" s="1508" t="str">
        <f t="shared" si="13"/>
        <v>宗地面积</v>
      </c>
      <c r="AA34" s="1505" t="e">
        <f t="shared" si="3"/>
        <v>#N/A</v>
      </c>
      <c r="AB34" s="1505" t="e">
        <f t="shared" si="4"/>
        <v>#N/A</v>
      </c>
      <c r="AC34" s="1505" t="e">
        <f t="shared" si="5"/>
        <v>#N/A</v>
      </c>
    </row>
    <row r="35" spans="1:31" ht="15">
      <c r="A35" s="431"/>
      <c r="B35" s="381" t="s">
        <v>2513</v>
      </c>
      <c r="C35" s="2060"/>
      <c r="D35" s="394">
        <v>100</v>
      </c>
      <c r="E35" s="2060"/>
      <c r="F35" s="394">
        <f>SUMIF(110:110,E35,111:111)-SUMIF(110:110,C35,111:111)+100</f>
        <v>100</v>
      </c>
      <c r="G35" s="2060"/>
      <c r="H35" s="394">
        <f>SUMIF(110:110,G35,111:111)-SUMIF(110:110,C35,111:111)+100</f>
        <v>100</v>
      </c>
      <c r="I35" s="2060"/>
      <c r="J35" s="394">
        <f>SUMIF(110:110,I35,111:111)-SUMIF(110:110,C35,111:111)+100</f>
        <v>100</v>
      </c>
      <c r="K35" s="569"/>
      <c r="L35" s="2918"/>
      <c r="M35" s="2912"/>
      <c r="N35" s="2912"/>
      <c r="O35" s="2970"/>
      <c r="P35" s="3465"/>
      <c r="Q35" s="1504" t="str">
        <f t="shared" ref="Q35:Q40" si="14">B35</f>
        <v>宗地形状</v>
      </c>
      <c r="R35" s="713" t="s">
        <v>17</v>
      </c>
      <c r="S35" s="714">
        <f t="shared" si="10"/>
        <v>100</v>
      </c>
      <c r="T35" s="713" t="s">
        <v>17</v>
      </c>
      <c r="U35" s="714">
        <f t="shared" si="11"/>
        <v>100</v>
      </c>
      <c r="V35" s="713" t="s">
        <v>17</v>
      </c>
      <c r="W35" s="714">
        <f t="shared" si="12"/>
        <v>100</v>
      </c>
      <c r="X35" s="1507"/>
      <c r="Y35" s="3465"/>
      <c r="Z35" s="1508" t="str">
        <f t="shared" si="13"/>
        <v>宗地形状</v>
      </c>
      <c r="AA35" s="1505">
        <f t="shared" si="3"/>
        <v>1</v>
      </c>
      <c r="AB35" s="1505">
        <f t="shared" si="4"/>
        <v>1</v>
      </c>
      <c r="AC35" s="1505">
        <f t="shared" si="5"/>
        <v>1</v>
      </c>
    </row>
    <row r="36" spans="1:31" s="113" customFormat="1" ht="15">
      <c r="A36" s="432"/>
      <c r="B36" s="381" t="s">
        <v>2515</v>
      </c>
      <c r="C36" s="2133"/>
      <c r="D36" s="132">
        <v>100</v>
      </c>
      <c r="E36" s="2133"/>
      <c r="F36" s="394">
        <f>SUMIF(112:112,E36,113:113)-SUMIF(112:112,C36,113:113)+100</f>
        <v>100</v>
      </c>
      <c r="G36" s="2133"/>
      <c r="H36" s="394">
        <f>SUMIF(112:112,G36,113:113)-SUMIF(112:112,C36,113:113)+100</f>
        <v>100</v>
      </c>
      <c r="I36" s="2133"/>
      <c r="J36" s="394">
        <f>SUMIF(112:112,I36,113:113)-SUMIF(112:112,C36,113:113)+100</f>
        <v>100</v>
      </c>
      <c r="K36" s="569"/>
      <c r="L36" s="2913"/>
      <c r="M36" s="2914"/>
      <c r="N36" s="2914"/>
      <c r="O36" s="2968"/>
      <c r="P36" s="3465"/>
      <c r="Q36" s="1504" t="str">
        <f t="shared" si="14"/>
        <v>宗地开发程度</v>
      </c>
      <c r="R36" s="709" t="s">
        <v>17</v>
      </c>
      <c r="S36" s="710">
        <f t="shared" si="10"/>
        <v>100</v>
      </c>
      <c r="T36" s="709" t="s">
        <v>17</v>
      </c>
      <c r="U36" s="710">
        <f t="shared" si="11"/>
        <v>100</v>
      </c>
      <c r="V36" s="709" t="s">
        <v>17</v>
      </c>
      <c r="W36" s="710">
        <f t="shared" si="12"/>
        <v>100</v>
      </c>
      <c r="X36" s="711"/>
      <c r="Y36" s="3465"/>
      <c r="Z36" s="55" t="str">
        <f t="shared" si="13"/>
        <v>宗地开发程度</v>
      </c>
      <c r="AA36" s="712">
        <f t="shared" si="3"/>
        <v>1</v>
      </c>
      <c r="AB36" s="712">
        <f t="shared" si="4"/>
        <v>1</v>
      </c>
      <c r="AC36" s="712">
        <f t="shared" si="5"/>
        <v>1</v>
      </c>
    </row>
    <row r="37" spans="1:31" ht="15">
      <c r="A37" s="431"/>
      <c r="B37" s="381" t="s">
        <v>2516</v>
      </c>
      <c r="C37" s="2060"/>
      <c r="D37" s="394">
        <v>100</v>
      </c>
      <c r="E37" s="2060"/>
      <c r="F37" s="394">
        <f>SUMIF(114:114,E37,115:115)-SUMIF(114:114,C37,115:115)+100</f>
        <v>100</v>
      </c>
      <c r="G37" s="2060"/>
      <c r="H37" s="394">
        <f>SUMIF(114:114,G37,115:115)-SUMIF(114:114,C37,115:115)+100</f>
        <v>100</v>
      </c>
      <c r="I37" s="2060"/>
      <c r="J37" s="394">
        <f>SUMIF(114:114,I37,115:115)-SUMIF(114:114,C37,115:115)+100</f>
        <v>100</v>
      </c>
      <c r="K37" s="569"/>
      <c r="L37" s="2918"/>
      <c r="M37" s="2912"/>
      <c r="N37" s="2912"/>
      <c r="O37" s="2970"/>
      <c r="P37" s="3465" t="s">
        <v>2326</v>
      </c>
      <c r="Q37" s="1504" t="str">
        <f t="shared" si="14"/>
        <v>工程地质条件</v>
      </c>
      <c r="R37" s="713" t="s">
        <v>17</v>
      </c>
      <c r="S37" s="714">
        <f t="shared" si="10"/>
        <v>100</v>
      </c>
      <c r="T37" s="713" t="s">
        <v>17</v>
      </c>
      <c r="U37" s="714">
        <f t="shared" si="11"/>
        <v>100</v>
      </c>
      <c r="V37" s="713" t="s">
        <v>17</v>
      </c>
      <c r="W37" s="714">
        <f t="shared" si="12"/>
        <v>100</v>
      </c>
      <c r="X37" s="1507"/>
      <c r="Y37" s="3465" t="s">
        <v>2326</v>
      </c>
      <c r="Z37" s="1508" t="str">
        <f t="shared" si="13"/>
        <v>工程地质条件</v>
      </c>
      <c r="AA37" s="1505">
        <f t="shared" si="3"/>
        <v>1</v>
      </c>
      <c r="AB37" s="1505">
        <f t="shared" si="4"/>
        <v>1</v>
      </c>
      <c r="AC37" s="1505">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65"/>
      <c r="Q38" s="1504">
        <f t="shared" si="14"/>
        <v>111</v>
      </c>
      <c r="R38" s="713" t="s">
        <v>17</v>
      </c>
      <c r="S38" s="714">
        <f t="shared" si="10"/>
        <v>100</v>
      </c>
      <c r="T38" s="713" t="s">
        <v>17</v>
      </c>
      <c r="U38" s="714">
        <f t="shared" si="11"/>
        <v>100</v>
      </c>
      <c r="V38" s="713" t="s">
        <v>17</v>
      </c>
      <c r="W38" s="714">
        <f t="shared" si="12"/>
        <v>100</v>
      </c>
      <c r="X38" s="1507"/>
      <c r="Y38" s="3465"/>
      <c r="Z38" s="1508">
        <f t="shared" si="13"/>
        <v>111</v>
      </c>
      <c r="AA38" s="1505">
        <f t="shared" si="3"/>
        <v>1</v>
      </c>
      <c r="AB38" s="1505">
        <f t="shared" si="4"/>
        <v>1</v>
      </c>
      <c r="AC38" s="1505">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65"/>
      <c r="Q39" s="1504">
        <f t="shared" si="14"/>
        <v>111</v>
      </c>
      <c r="R39" s="713" t="s">
        <v>17</v>
      </c>
      <c r="S39" s="714">
        <f t="shared" si="10"/>
        <v>100</v>
      </c>
      <c r="T39" s="713" t="s">
        <v>17</v>
      </c>
      <c r="U39" s="714">
        <f t="shared" si="11"/>
        <v>100</v>
      </c>
      <c r="V39" s="713" t="s">
        <v>17</v>
      </c>
      <c r="W39" s="714">
        <f t="shared" si="12"/>
        <v>100</v>
      </c>
      <c r="X39" s="1507"/>
      <c r="Y39" s="3465"/>
      <c r="Z39" s="1508">
        <f t="shared" si="13"/>
        <v>111</v>
      </c>
      <c r="AA39" s="1505">
        <f t="shared" si="3"/>
        <v>1</v>
      </c>
      <c r="AB39" s="1505">
        <f t="shared" si="4"/>
        <v>1</v>
      </c>
      <c r="AC39" s="1505">
        <f t="shared" si="5"/>
        <v>1</v>
      </c>
    </row>
    <row r="40" spans="1:31" s="430" customFormat="1" ht="15.75" thickBot="1">
      <c r="A40" s="427"/>
      <c r="B40" s="1266">
        <v>111</v>
      </c>
      <c r="C40" s="2134"/>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65"/>
      <c r="Q40" s="1504">
        <f t="shared" si="14"/>
        <v>111</v>
      </c>
      <c r="R40" s="716" t="s">
        <v>17</v>
      </c>
      <c r="S40" s="717">
        <f t="shared" si="10"/>
        <v>100</v>
      </c>
      <c r="T40" s="716" t="s">
        <v>17</v>
      </c>
      <c r="U40" s="717">
        <f t="shared" si="11"/>
        <v>100</v>
      </c>
      <c r="V40" s="716" t="s">
        <v>17</v>
      </c>
      <c r="W40" s="717">
        <f t="shared" si="12"/>
        <v>100</v>
      </c>
      <c r="X40" s="718"/>
      <c r="Y40" s="3465"/>
      <c r="Z40" s="719">
        <f t="shared" si="13"/>
        <v>111</v>
      </c>
      <c r="AA40" s="1505">
        <f t="shared" si="3"/>
        <v>1</v>
      </c>
      <c r="AB40" s="1505">
        <f t="shared" si="4"/>
        <v>1</v>
      </c>
      <c r="AC40" s="1505">
        <f t="shared" si="5"/>
        <v>1</v>
      </c>
    </row>
    <row r="41" spans="1:31" ht="15">
      <c r="A41" s="438" t="s">
        <v>2481</v>
      </c>
      <c r="B41" s="2135" t="s">
        <v>2561</v>
      </c>
      <c r="C41" s="638" t="s">
        <v>1</v>
      </c>
      <c r="D41" s="440"/>
      <c r="E41" s="441"/>
      <c r="F41" s="442"/>
      <c r="G41" s="443"/>
      <c r="H41" s="444"/>
      <c r="I41" s="441"/>
      <c r="J41" s="444"/>
      <c r="K41" s="722"/>
      <c r="L41" s="2920"/>
      <c r="M41" s="2912"/>
      <c r="N41" s="2912"/>
      <c r="O41" s="2921"/>
      <c r="P41" s="3467" t="str">
        <f>A41</f>
        <v>成交单价</v>
      </c>
      <c r="Q41" s="3467"/>
      <c r="R41" s="3455">
        <f>E41</f>
        <v>0</v>
      </c>
      <c r="S41" s="3455"/>
      <c r="T41" s="3455">
        <f>G41</f>
        <v>0</v>
      </c>
      <c r="U41" s="3455"/>
      <c r="V41" s="3455">
        <f>I41</f>
        <v>0</v>
      </c>
      <c r="W41" s="3455"/>
      <c r="X41" s="698"/>
      <c r="Y41" s="720"/>
      <c r="Z41" s="698"/>
      <c r="AA41" s="698"/>
      <c r="AB41" s="698"/>
      <c r="AC41" s="698"/>
    </row>
    <row r="42" spans="1:31" ht="15.75" thickBot="1">
      <c r="A42" s="445" t="s">
        <v>2430</v>
      </c>
      <c r="B42" s="639"/>
      <c r="C42" s="448" t="e">
        <f>R43</f>
        <v>#DIV/0!</v>
      </c>
      <c r="D42" s="2505" t="s">
        <v>2819</v>
      </c>
      <c r="E42" s="448" t="e">
        <f>R42</f>
        <v>#DIV/0!</v>
      </c>
      <c r="F42" s="2506"/>
      <c r="G42" s="447" t="e">
        <f>T42</f>
        <v>#DIV/0!</v>
      </c>
      <c r="H42" s="2506"/>
      <c r="I42" s="448" t="e">
        <f>V42</f>
        <v>#DIV/0!</v>
      </c>
      <c r="J42" s="2506"/>
      <c r="K42" s="2508">
        <f>F42+H42+J42</f>
        <v>0</v>
      </c>
      <c r="L42" s="2920"/>
      <c r="M42" s="2912"/>
      <c r="N42" s="2912"/>
      <c r="O42" s="2921"/>
      <c r="P42" s="3467" t="str">
        <f>A42</f>
        <v>比较价值（元/平方米）</v>
      </c>
      <c r="Q42" s="3467"/>
      <c r="R42" s="3511" t="e">
        <f>ROUND(PRODUCT(R41,AA7:AA40),0)</f>
        <v>#DIV/0!</v>
      </c>
      <c r="S42" s="3511"/>
      <c r="T42" s="3511" t="e">
        <f>ROUND(PRODUCT(T41,AB7:AB40),0)</f>
        <v>#DIV/0!</v>
      </c>
      <c r="U42" s="3511"/>
      <c r="V42" s="3511" t="e">
        <f>ROUND(PRODUCT(V41,AC7:AC40),0)</f>
        <v>#DIV/0!</v>
      </c>
      <c r="W42" s="3511"/>
      <c r="X42" s="698"/>
      <c r="Y42" s="698"/>
      <c r="Z42" s="698"/>
      <c r="AA42" s="698"/>
      <c r="AB42" s="698"/>
      <c r="AC42" s="698"/>
    </row>
    <row r="43" spans="1:31" ht="15.75" thickBot="1">
      <c r="A43" s="449" t="s">
        <v>2431</v>
      </c>
      <c r="B43" s="450"/>
      <c r="C43" s="451" t="e">
        <f>R43</f>
        <v>#DIV/0!</v>
      </c>
      <c r="D43" s="451"/>
      <c r="E43" s="451"/>
      <c r="F43" s="451"/>
      <c r="G43" s="451"/>
      <c r="H43" s="451"/>
      <c r="I43" s="451"/>
      <c r="J43" s="451"/>
      <c r="K43" s="723"/>
      <c r="L43" s="2920"/>
      <c r="M43" s="2912"/>
      <c r="N43" s="2912"/>
      <c r="O43" s="2921"/>
      <c r="P43" s="3506" t="str">
        <f>A43</f>
        <v>估价对象XX用房的比较价值（楼面单价，元/平方米）</v>
      </c>
      <c r="Q43" s="3507"/>
      <c r="R43" s="3512" t="e">
        <f>ROUND(IF(D42="简单平均",AVERAGE(R42:W42),R42*F42+T42*H42+V42*J42),0)</f>
        <v>#DIV/0!</v>
      </c>
      <c r="S43" s="3512"/>
      <c r="T43" s="3512"/>
      <c r="U43" s="3512"/>
      <c r="V43" s="3512"/>
      <c r="W43" s="3512"/>
      <c r="X43" s="698"/>
      <c r="Y43" s="698"/>
      <c r="Z43" s="698"/>
      <c r="AA43" s="698"/>
      <c r="AB43" s="698"/>
      <c r="AC43" s="698"/>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6" t="s">
        <v>2521</v>
      </c>
      <c r="D50" s="2137" t="s">
        <v>2522</v>
      </c>
      <c r="E50" s="642" t="s">
        <v>2523</v>
      </c>
      <c r="F50" s="643" t="s">
        <v>2524</v>
      </c>
      <c r="G50" s="3442" t="s">
        <v>2525</v>
      </c>
      <c r="H50" s="3513"/>
      <c r="I50" s="1508" t="s">
        <v>2562</v>
      </c>
      <c r="J50" s="1508">
        <f>项目基本情况!F35</f>
        <v>0</v>
      </c>
      <c r="K50" s="2139"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t="e">
        <f>C43</f>
        <v>#DIV/0!</v>
      </c>
      <c r="C51" s="646">
        <v>1</v>
      </c>
      <c r="D51" s="1074">
        <v>1</v>
      </c>
      <c r="E51" s="646">
        <f>'数据-汇总表'!E8+'数据-汇总表'!E9</f>
        <v>24137.57</v>
      </c>
      <c r="F51" s="647" t="e">
        <f t="shared" ref="F51:F60" si="15">ROUND(B51*E51/10000,0)</f>
        <v>#DIV/0!</v>
      </c>
      <c r="G51" s="3438"/>
      <c r="H51" s="3467"/>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t="e">
        <f>ROUND($C$43*C52*D52,0)</f>
        <v>#DIV/0!</v>
      </c>
      <c r="C52" s="176">
        <f t="shared" ref="C52:C60" si="16">IF($C$50="北京市系数",I52,J52)</f>
        <v>0</v>
      </c>
      <c r="D52" s="1075">
        <v>0.25</v>
      </c>
      <c r="E52" s="650"/>
      <c r="F52" s="647" t="e">
        <f t="shared" si="15"/>
        <v>#DIV/0!</v>
      </c>
      <c r="G52" s="3514" t="s">
        <v>2530</v>
      </c>
      <c r="H52" s="1017">
        <f>项目基本情况!B37</f>
        <v>0</v>
      </c>
      <c r="I52" s="878">
        <f>SUMIF(修正!A45:A56,H52,修正!B45:B56)</f>
        <v>0</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t="e">
        <f t="shared" ref="B53:B60" si="17">ROUND($C$43*C53*D53,0)</f>
        <v>#DIV/0!</v>
      </c>
      <c r="C53" s="176">
        <f t="shared" si="16"/>
        <v>0</v>
      </c>
      <c r="D53" s="1075">
        <v>0.25</v>
      </c>
      <c r="E53" s="650"/>
      <c r="F53" s="647" t="e">
        <f t="shared" si="15"/>
        <v>#DIV/0!</v>
      </c>
      <c r="G53" s="3514"/>
      <c r="H53" s="1017">
        <f>项目基本情况!B37</f>
        <v>0</v>
      </c>
      <c r="I53" s="878">
        <f>SUMIF(修正!A45:A56,H53,修正!C45:C56)</f>
        <v>0</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t="e">
        <f t="shared" si="17"/>
        <v>#DIV/0!</v>
      </c>
      <c r="C54" s="176">
        <f t="shared" si="16"/>
        <v>0</v>
      </c>
      <c r="D54" s="1075">
        <v>0.25</v>
      </c>
      <c r="E54" s="650"/>
      <c r="F54" s="647" t="e">
        <f t="shared" si="15"/>
        <v>#DIV/0!</v>
      </c>
      <c r="G54" s="3514"/>
      <c r="H54" s="1017">
        <f>项目基本情况!B37</f>
        <v>0</v>
      </c>
      <c r="I54" s="878">
        <f>SUMIF(修正!A45:A56,H54,修正!D45:D56)</f>
        <v>0</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t="e">
        <f t="shared" si="17"/>
        <v>#DIV/0!</v>
      </c>
      <c r="C55" s="176">
        <f t="shared" si="16"/>
        <v>0</v>
      </c>
      <c r="D55" s="1075">
        <v>0.25</v>
      </c>
      <c r="E55" s="650"/>
      <c r="F55" s="647" t="e">
        <f t="shared" si="15"/>
        <v>#DIV/0!</v>
      </c>
      <c r="G55" s="3514"/>
      <c r="H55" s="1017">
        <f>项目基本情况!B37</f>
        <v>0</v>
      </c>
      <c r="I55" s="878">
        <f>SUMIF(修正!A45:A56,H55,修正!E45:E56)</f>
        <v>0</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t="e">
        <f t="shared" si="17"/>
        <v>#DIV/0!</v>
      </c>
      <c r="C56" s="176">
        <f t="shared" si="16"/>
        <v>0.25</v>
      </c>
      <c r="D56" s="1075">
        <v>0.25</v>
      </c>
      <c r="E56" s="223">
        <f>'数据-汇总表'!E11</f>
        <v>0</v>
      </c>
      <c r="F56" s="647" t="e">
        <f t="shared" si="15"/>
        <v>#DIV/0!</v>
      </c>
      <c r="G56" s="2140" t="s">
        <v>2535</v>
      </c>
      <c r="H56" s="1017" t="str">
        <f>项目基本情况!C37</f>
        <v>六级</v>
      </c>
      <c r="I56" s="878">
        <f>SUMIF(修正!A45:A56,H56,修正!F45:F56)</f>
        <v>0.25</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t="e">
        <f t="shared" si="17"/>
        <v>#DIV/0!</v>
      </c>
      <c r="C57" s="176">
        <f t="shared" si="16"/>
        <v>0.25</v>
      </c>
      <c r="D57" s="1075">
        <v>0.25</v>
      </c>
      <c r="E57" s="223">
        <f>'数据-汇总表'!E12</f>
        <v>0</v>
      </c>
      <c r="F57" s="647" t="e">
        <f t="shared" si="15"/>
        <v>#DIV/0!</v>
      </c>
      <c r="G57" s="1022" t="s">
        <v>2537</v>
      </c>
      <c r="H57" s="1017" t="str">
        <f>IF(G57="商业",项目基本情况!B37,IF(G57="办公",项目基本情况!C37,IF(G57="住宅",项目基本情况!D37,项目基本情况!E37)))</f>
        <v>六级</v>
      </c>
      <c r="I57" s="878">
        <f>SUMIF(修正!A45:A56,H57,修正!G45:G56)</f>
        <v>0.25</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t="e">
        <f t="shared" si="17"/>
        <v>#DIV/0!</v>
      </c>
      <c r="C58" s="176">
        <f t="shared" si="16"/>
        <v>0</v>
      </c>
      <c r="D58" s="1075">
        <v>0.25</v>
      </c>
      <c r="E58" s="223">
        <f>'数据-汇总表'!E13</f>
        <v>0</v>
      </c>
      <c r="F58" s="647" t="e">
        <f t="shared" si="15"/>
        <v>#DIV/0!</v>
      </c>
      <c r="G58" s="1022" t="s">
        <v>2539</v>
      </c>
      <c r="H58" s="1017">
        <f>IF(G58="商业",项目基本情况!B37,IF(G58="办公",项目基本情况!C37,IF(G58="住宅",项目基本情况!D37,项目基本情况!E37)))</f>
        <v>0</v>
      </c>
      <c r="I58" s="878">
        <f>SUMIF(修正!A45:A56,H58,修正!H45:H56)</f>
        <v>0</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t="e">
        <f t="shared" si="17"/>
        <v>#DIV/0!</v>
      </c>
      <c r="C59" s="176">
        <f t="shared" si="16"/>
        <v>0</v>
      </c>
      <c r="D59" s="1075">
        <v>0.25</v>
      </c>
      <c r="E59" s="223">
        <f>'数据-汇总表'!E14</f>
        <v>0</v>
      </c>
      <c r="F59" s="647" t="e">
        <f t="shared" si="15"/>
        <v>#DIV/0!</v>
      </c>
      <c r="G59" s="2140" t="s">
        <v>2530</v>
      </c>
      <c r="H59" s="1017">
        <f>项目基本情况!B37</f>
        <v>0</v>
      </c>
      <c r="I59" s="878">
        <f>SUMIF(修正!A45:A56,H59,修正!H45:H56)</f>
        <v>0</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t="e">
        <f t="shared" si="17"/>
        <v>#DIV/0!</v>
      </c>
      <c r="C60" s="176">
        <f t="shared" si="16"/>
        <v>0.2</v>
      </c>
      <c r="D60" s="1075">
        <v>0.25</v>
      </c>
      <c r="E60" s="223">
        <f>'数据-汇总表'!E15</f>
        <v>2696.73</v>
      </c>
      <c r="F60" s="647" t="e">
        <f t="shared" si="15"/>
        <v>#DIV/0!</v>
      </c>
      <c r="G60" s="2141" t="s">
        <v>2535</v>
      </c>
      <c r="H60" s="1027" t="str">
        <f>项目基本情况!C37</f>
        <v>六级</v>
      </c>
      <c r="I60" s="878">
        <f>SUMIF(修正!A45:A56,H60,修正!H45:H56)</f>
        <v>0.2</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6706.16</v>
      </c>
      <c r="F61" s="653" t="e">
        <f>IF(B41="楼面地价",SUM(F51:F60),ROUND(C43*E61/10000,0))</f>
        <v>#DIV/0!</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c r="A63" s="1057"/>
      <c r="B63" s="1059"/>
      <c r="C63" s="700" t="str">
        <f>YEAR(C7)&amp;"-"&amp;MONTH(C7)&amp;"-1"</f>
        <v>2022-3-1</v>
      </c>
      <c r="D63" s="700">
        <f>EDATE(C63,-3)</f>
        <v>44531</v>
      </c>
      <c r="E63" s="700">
        <f>EDATE(D63,-3)</f>
        <v>44440</v>
      </c>
      <c r="F63" s="700">
        <f t="shared" ref="F63:O63" si="18">EDATE(E63,-3)</f>
        <v>44348</v>
      </c>
      <c r="G63" s="700">
        <f t="shared" si="18"/>
        <v>44256</v>
      </c>
      <c r="H63" s="700">
        <f t="shared" si="18"/>
        <v>44166</v>
      </c>
      <c r="I63" s="700">
        <f t="shared" si="18"/>
        <v>44075</v>
      </c>
      <c r="J63" s="700">
        <f t="shared" si="18"/>
        <v>43983</v>
      </c>
      <c r="K63" s="700">
        <f t="shared" si="18"/>
        <v>43891</v>
      </c>
      <c r="L63" s="700">
        <f t="shared" si="18"/>
        <v>43800</v>
      </c>
      <c r="M63" s="700">
        <f t="shared" si="18"/>
        <v>43709</v>
      </c>
      <c r="N63" s="700">
        <f t="shared" si="18"/>
        <v>43617</v>
      </c>
      <c r="O63" s="700">
        <f t="shared" si="18"/>
        <v>43525</v>
      </c>
      <c r="P63" s="2921"/>
      <c r="Q63" s="2921"/>
      <c r="R63" s="2921"/>
      <c r="S63" s="2921"/>
      <c r="T63" s="2921"/>
      <c r="U63" s="2921"/>
      <c r="V63" s="2921"/>
      <c r="W63" s="2921"/>
      <c r="X63" s="2921"/>
      <c r="Y63" s="2921"/>
      <c r="Z63" s="2921"/>
      <c r="AA63" s="2921"/>
      <c r="AB63" s="2921"/>
      <c r="AC63" s="2921"/>
      <c r="AD63" s="2921"/>
      <c r="AE63" s="2921"/>
    </row>
    <row r="64" spans="1:31" ht="21.75" thickBot="1">
      <c r="A64" s="702" t="s">
        <v>2435</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5" customFormat="1" ht="15">
      <c r="A65" s="2142" t="s">
        <v>2543</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7" t="s">
        <v>2563</v>
      </c>
      <c r="B66" s="294" t="str">
        <f>"北京市平均增长率"&amp;TEXT(基准地价修正!P24,"0.00%")</f>
        <v>北京市平均增长率1.20%</v>
      </c>
      <c r="C66" s="560">
        <v>100</v>
      </c>
      <c r="D66" s="552"/>
      <c r="E66" s="552"/>
      <c r="F66" s="552"/>
      <c r="G66" s="552"/>
      <c r="H66" s="552"/>
      <c r="I66" s="552"/>
      <c r="J66" s="552"/>
      <c r="K66" s="552"/>
      <c r="L66" s="552"/>
      <c r="M66" s="1310"/>
      <c r="N66" s="1310"/>
      <c r="O66" s="1312"/>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5"/>
      <c r="S67" s="2855"/>
      <c r="T67" s="2855"/>
      <c r="U67" s="2855"/>
      <c r="V67" s="2855"/>
      <c r="W67" s="2855"/>
      <c r="X67" s="2855"/>
      <c r="Y67" s="2855"/>
      <c r="Z67" s="2855"/>
      <c r="AA67" s="2855"/>
      <c r="AB67" s="2855"/>
      <c r="AC67" s="2855"/>
      <c r="AD67" s="2855"/>
      <c r="AE67" s="2855"/>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5"/>
      <c r="S69" s="2855"/>
      <c r="T69" s="2855"/>
      <c r="U69" s="2855"/>
      <c r="V69" s="2855"/>
      <c r="W69" s="2855"/>
      <c r="X69" s="2855"/>
      <c r="Y69" s="2855"/>
      <c r="Z69" s="2855"/>
      <c r="AA69" s="2855"/>
      <c r="AB69" s="2855"/>
      <c r="AC69" s="2855"/>
      <c r="AD69" s="2855"/>
      <c r="AE69" s="2855"/>
    </row>
    <row r="70" spans="1:31">
      <c r="A70" s="484" t="s">
        <v>2349</v>
      </c>
      <c r="B70" s="485" t="s">
        <v>2315</v>
      </c>
      <c r="C70" s="487"/>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c r="D75" s="506"/>
      <c r="E75" s="506"/>
      <c r="F75" s="506"/>
      <c r="G75" s="506"/>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0"/>
      <c r="O90" s="2950"/>
      <c r="P90" s="2974"/>
      <c r="Q90" s="2935"/>
      <c r="R90" s="2855"/>
      <c r="S90" s="2855"/>
      <c r="T90" s="2855"/>
      <c r="U90" s="2855"/>
      <c r="V90" s="2855"/>
      <c r="W90" s="2855"/>
      <c r="X90" s="2855"/>
      <c r="Y90" s="2855"/>
      <c r="Z90" s="2855"/>
      <c r="AA90" s="2855"/>
      <c r="AB90" s="2855"/>
      <c r="AC90" s="2855"/>
      <c r="AD90" s="2855"/>
      <c r="AE90" s="2855"/>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c r="D108" s="552"/>
      <c r="E108" s="552"/>
      <c r="F108" s="552"/>
      <c r="G108" s="552"/>
      <c r="H108" s="552"/>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c r="D109" s="548"/>
      <c r="E109" s="548"/>
      <c r="F109" s="548"/>
      <c r="G109" s="548"/>
      <c r="H109" s="548"/>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70" zoomScaleNormal="80" zoomScaleSheetLayoutView="70" workbookViewId="0">
      <selection activeCell="G39" sqref="G39"/>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2" customWidth="1"/>
    <col min="33" max="36" width="9.375" style="2217" customWidth="1"/>
    <col min="37" max="38" width="9.375" style="2151" customWidth="1"/>
    <col min="39" max="16384" width="12" style="2151"/>
  </cols>
  <sheetData>
    <row r="1" spans="1:36" ht="28.5">
      <c r="A1" s="202" t="s">
        <v>2565</v>
      </c>
      <c r="B1" s="203"/>
      <c r="C1" s="207" t="s">
        <v>2566</v>
      </c>
      <c r="D1" s="348">
        <f>SUM(D29:D30,D33:D39)</f>
        <v>26834.3</v>
      </c>
      <c r="E1" s="2148"/>
      <c r="F1" s="2148"/>
      <c r="G1" s="2148"/>
      <c r="H1" s="2148"/>
      <c r="I1" s="2148"/>
      <c r="J1" s="2148"/>
      <c r="K1" s="1250"/>
      <c r="L1" s="2149" t="s">
        <v>2567</v>
      </c>
      <c r="M1" s="993">
        <f>SUMPRODUCT((区片价!B5:B9=I2)*(区片价!C3:F3=E2)*(区片价!C5:F9))</f>
        <v>0</v>
      </c>
      <c r="N1" s="996">
        <f>SUMPRODUCT((因素修正幅度!B5:B9=I2)*(因素修正幅度!C3:F3=E2)*(因素修正幅度!C5:F9))</f>
        <v>0</v>
      </c>
      <c r="O1" s="2150"/>
      <c r="P1" s="2150"/>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75">
      <c r="A2" s="207" t="s">
        <v>2573</v>
      </c>
      <c r="B2" s="210">
        <f>C26</f>
        <v>26819</v>
      </c>
      <c r="C2" s="2152" t="s">
        <v>2574</v>
      </c>
      <c r="D2" s="2153" t="s">
        <v>2575</v>
      </c>
      <c r="E2" s="2154" t="s">
        <v>27</v>
      </c>
      <c r="F2" s="2153" t="s">
        <v>2576</v>
      </c>
      <c r="G2" s="2155" t="str">
        <f>IF(E2="商业",项目基本情况!B37,IF(E2="办公",项目基本情况!C37,IF(E2="住宅",项目基本情况!D37,项目基本情况!E37)))</f>
        <v>六级</v>
      </c>
      <c r="H2" s="2153" t="s">
        <v>2577</v>
      </c>
      <c r="I2" s="2155" t="str">
        <f>IF(E2="商业",项目基本情况!B38,IF(E2="办公",项目基本情况!C38,IF(E2="住宅",项目基本情况!D38,项目基本情况!E38)))</f>
        <v>Ⅵ-亦1</v>
      </c>
      <c r="J2" s="2156"/>
      <c r="K2" s="1250"/>
      <c r="L2" s="2157" t="s">
        <v>2578</v>
      </c>
      <c r="M2" s="994">
        <f>SUMPRODUCT((区片价!B10:B28=I2)*(区片价!C3:F3=E2)*(区片价!C10:F28))</f>
        <v>0</v>
      </c>
      <c r="N2" s="996">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1.8629</v>
      </c>
      <c r="T2" s="1344">
        <f>ROUND($C$5*$C$18*$C$19*$C$20*S2*$C$24,0)</f>
        <v>22640</v>
      </c>
      <c r="U2" s="1345"/>
      <c r="V2" s="1344">
        <f>ROUND(T2*U2/10000,0)</f>
        <v>0</v>
      </c>
      <c r="W2" s="1348"/>
      <c r="X2" s="1348"/>
      <c r="Y2" s="1348"/>
      <c r="Z2" s="1348"/>
      <c r="AA2" s="1348"/>
      <c r="AB2" s="1348"/>
      <c r="AC2" s="1349"/>
      <c r="AD2" s="1350"/>
      <c r="AE2" s="1350"/>
      <c r="AF2" s="1350"/>
      <c r="AG2" s="1350"/>
      <c r="AH2" s="1350"/>
      <c r="AI2" s="1350"/>
      <c r="AJ2" s="1351"/>
    </row>
    <row r="3" spans="1:36" ht="25.5">
      <c r="A3" s="209" t="s">
        <v>2579</v>
      </c>
      <c r="B3" s="210">
        <f>ROUND(B2*10000/D1,0)</f>
        <v>9994</v>
      </c>
      <c r="C3" s="2152" t="s">
        <v>2580</v>
      </c>
      <c r="D3" s="2153" t="s">
        <v>2581</v>
      </c>
      <c r="E3" s="2158" t="s">
        <v>3149</v>
      </c>
      <c r="F3" s="2159" t="s">
        <v>2582</v>
      </c>
      <c r="G3" s="854">
        <f>IF(F3="宗地容积率",'数据-汇总表'!I4,IF(F3="估价对象容积率",'数据-汇总表'!I6,'数据-汇总表'!I7))</f>
        <v>3.6</v>
      </c>
      <c r="H3" s="175" t="s">
        <v>2583</v>
      </c>
      <c r="I3" s="880"/>
      <c r="J3" s="2156" t="s">
        <v>2584</v>
      </c>
      <c r="K3" s="1250"/>
      <c r="L3" s="2157" t="s">
        <v>2585</v>
      </c>
      <c r="M3" s="994">
        <f>SUMPRODUCT((区片价!B29:B48=I2)*(区片价!C3:F3=E2)*(区片价!C29:F48))</f>
        <v>0</v>
      </c>
      <c r="N3" s="996">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1.3371999999999999</v>
      </c>
      <c r="T3" s="1344">
        <f t="shared" ref="T3:T16" si="0">ROUND($C$5*$C$18*$C$19*$C$20*S3*$C$24,0)</f>
        <v>16251</v>
      </c>
      <c r="U3" s="1345"/>
      <c r="V3" s="1344">
        <f t="shared" ref="V3:V16" si="1">ROUND(T3*U3/10000,0)</f>
        <v>0</v>
      </c>
      <c r="W3" s="1348"/>
      <c r="X3" s="1348"/>
      <c r="Y3" s="1348"/>
      <c r="Z3" s="1348"/>
      <c r="AA3" s="1348"/>
      <c r="AB3" s="1348"/>
      <c r="AC3" s="1349"/>
      <c r="AD3" s="1350"/>
      <c r="AE3" s="1350"/>
      <c r="AF3" s="1350"/>
      <c r="AG3" s="1350"/>
      <c r="AH3" s="1350"/>
      <c r="AI3" s="1350"/>
      <c r="AJ3" s="1351"/>
    </row>
    <row r="4" spans="1:36" ht="15.75">
      <c r="A4" s="3538"/>
      <c r="B4" s="3539"/>
      <c r="C4" s="3539"/>
      <c r="D4" s="3540"/>
      <c r="E4" s="3540"/>
      <c r="F4" s="3540"/>
      <c r="G4" s="3540"/>
      <c r="H4" s="3540"/>
      <c r="I4" s="3540"/>
      <c r="J4" s="3541"/>
      <c r="K4" s="1250"/>
      <c r="L4" s="2157" t="s">
        <v>2586</v>
      </c>
      <c r="M4" s="994">
        <f>SUMPRODUCT((区片价!B49:B75=I2)*(区片价!C3:F3=E2)*(区片价!C49:F75))</f>
        <v>0</v>
      </c>
      <c r="N4" s="996">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1.0788</v>
      </c>
      <c r="T4" s="1344">
        <f t="shared" si="0"/>
        <v>13111</v>
      </c>
      <c r="U4" s="1345"/>
      <c r="V4" s="1344">
        <f t="shared" si="1"/>
        <v>0</v>
      </c>
      <c r="W4" s="1348"/>
      <c r="X4" s="1348"/>
      <c r="Y4" s="1348"/>
      <c r="Z4" s="1348"/>
      <c r="AA4" s="1348"/>
      <c r="AB4" s="1348"/>
      <c r="AC4" s="1349"/>
      <c r="AD4" s="1350"/>
      <c r="AE4" s="1350"/>
      <c r="AF4" s="1350"/>
      <c r="AG4" s="1350"/>
      <c r="AH4" s="1350"/>
      <c r="AI4" s="1350"/>
      <c r="AJ4" s="1351"/>
    </row>
    <row r="5" spans="1:36" s="2169" customFormat="1" ht="15.75" thickBot="1">
      <c r="A5" s="2160" t="s">
        <v>807</v>
      </c>
      <c r="B5" s="2161" t="s">
        <v>2587</v>
      </c>
      <c r="C5" s="855">
        <f>ROUND(IF(E2="商业",C6*C7+C16,(IF(E2="住宅",C6*C12+C16,C6+C16))),0)</f>
        <v>9714</v>
      </c>
      <c r="D5" s="1491">
        <f>ROUND(C6+C16,0)</f>
        <v>9714</v>
      </c>
      <c r="E5" s="1491"/>
      <c r="F5" s="2162"/>
      <c r="G5" s="2163"/>
      <c r="H5" s="2163"/>
      <c r="I5" s="2163"/>
      <c r="J5" s="2164"/>
      <c r="K5" s="2165"/>
      <c r="L5" s="2157" t="s">
        <v>2588</v>
      </c>
      <c r="M5" s="994">
        <f>SUMPRODUCT((区片价!B76:B109=I2)*(区片价!C3:F3=E2)*(区片价!C76:F109))</f>
        <v>0</v>
      </c>
      <c r="N5" s="996">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0.86560000000000004</v>
      </c>
      <c r="T5" s="1344">
        <f t="shared" si="0"/>
        <v>10520</v>
      </c>
      <c r="U5" s="1345"/>
      <c r="V5" s="1344">
        <f t="shared" si="1"/>
        <v>0</v>
      </c>
      <c r="W5" s="1348"/>
      <c r="X5" s="1348"/>
      <c r="Y5" s="1348"/>
      <c r="Z5" s="1348"/>
      <c r="AA5" s="1348"/>
      <c r="AB5" s="1348"/>
      <c r="AC5" s="2166"/>
      <c r="AD5" s="2167"/>
      <c r="AE5" s="2167"/>
      <c r="AF5" s="2167"/>
      <c r="AG5" s="2167"/>
      <c r="AH5" s="2167"/>
      <c r="AI5" s="2167"/>
      <c r="AJ5" s="2168"/>
    </row>
    <row r="6" spans="1:36" ht="15.75" thickBot="1">
      <c r="A6" s="2170" t="s">
        <v>2589</v>
      </c>
      <c r="B6" s="2171" t="s">
        <v>2590</v>
      </c>
      <c r="C6" s="856">
        <f>SUMIF(L1:L12,G2,M1:M12)</f>
        <v>9750</v>
      </c>
      <c r="D6" s="2172" t="s">
        <v>2591</v>
      </c>
      <c r="E6" s="2173"/>
      <c r="F6" s="2173"/>
      <c r="G6" s="2174"/>
      <c r="H6" s="2174"/>
      <c r="I6" s="2174"/>
      <c r="J6" s="2175"/>
      <c r="K6" s="1536"/>
      <c r="L6" s="2157" t="s">
        <v>2592</v>
      </c>
      <c r="M6" s="994">
        <f>SUMPRODUCT((区片价!B110:B157=I2)*(区片价!C3:F3=E2)*(区片价!C110:F157))</f>
        <v>9750</v>
      </c>
      <c r="N6" s="996">
        <f>SUMPRODUCT((因素修正幅度!B110:B157=I2)*(因素修正幅度!C3:F3=E2)*(因素修正幅度!C110:F157))</f>
        <v>0.126</v>
      </c>
      <c r="O6" s="1250"/>
      <c r="P6" s="1250"/>
      <c r="Q6" s="1250"/>
      <c r="R6" s="1344">
        <v>5</v>
      </c>
      <c r="S6" s="1344">
        <f>ROUND(IF(G3&gt;1,IF(R6&lt;7,SUMPRODUCT((B93:B98=R6)*(C92:N92=G2)*(C93:N98)),SUMIF(C92:N92,G2,C100:N100)),IF(R6&lt;7,SUMPRODUCT((B102:B107=R6)*(C92:N92=G2)*(C102:N107)),SUMIF(C92:N92,G2,C109:N109))),4)</f>
        <v>0.73709999999999998</v>
      </c>
      <c r="T6" s="1344">
        <f t="shared" si="0"/>
        <v>8958</v>
      </c>
      <c r="U6" s="1345"/>
      <c r="V6" s="1344">
        <f t="shared" si="1"/>
        <v>0</v>
      </c>
      <c r="W6" s="1348"/>
      <c r="X6" s="1348"/>
      <c r="Y6" s="1348"/>
      <c r="Z6" s="1348"/>
      <c r="AA6" s="1348"/>
      <c r="AB6" s="1348"/>
      <c r="AC6" s="2166"/>
      <c r="AD6" s="2167"/>
      <c r="AE6" s="2167"/>
      <c r="AF6" s="2167"/>
      <c r="AG6" s="2167"/>
      <c r="AH6" s="2167"/>
      <c r="AI6" s="2167"/>
      <c r="AJ6" s="2168"/>
    </row>
    <row r="7" spans="1:36" ht="24">
      <c r="A7" s="3519" t="str">
        <f>IF(E2="商业",IF(C8="不临58条商业街","",2),"")</f>
        <v/>
      </c>
      <c r="B7" s="2176" t="s">
        <v>2593</v>
      </c>
      <c r="C7" s="857" t="e">
        <f>IF(C8="不临58条商业街",1,ROUND(1+(1.6*E8+1.2*E9+0.8*E10+0.4*E11)*C9,4))</f>
        <v>#DIV/0!</v>
      </c>
      <c r="D7" s="2177" t="s">
        <v>2594</v>
      </c>
      <c r="E7" s="881"/>
      <c r="F7" s="2178"/>
      <c r="G7" s="2179"/>
      <c r="H7" s="2179"/>
      <c r="I7" s="2179"/>
      <c r="J7" s="2180"/>
      <c r="K7" s="1536"/>
      <c r="L7" s="2157" t="s">
        <v>2595</v>
      </c>
      <c r="M7" s="994">
        <f>SUMPRODUCT((区片价!B158:B205=I2)*(区片价!C3:F3=E2)*(区片价!C158:F205))</f>
        <v>0</v>
      </c>
      <c r="N7" s="996">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0.6482</v>
      </c>
      <c r="T7" s="1344">
        <f t="shared" si="0"/>
        <v>7878</v>
      </c>
      <c r="U7" s="1345"/>
      <c r="V7" s="1344">
        <f t="shared" si="1"/>
        <v>0</v>
      </c>
      <c r="W7" s="1510" t="s">
        <v>2596</v>
      </c>
      <c r="X7" s="1346" t="str">
        <f>G2</f>
        <v>六级</v>
      </c>
      <c r="Y7" s="1346" t="s">
        <v>2597</v>
      </c>
      <c r="Z7" s="1347">
        <f>G3</f>
        <v>3.6</v>
      </c>
      <c r="AA7" s="1348"/>
      <c r="AB7" s="1348"/>
      <c r="AC7" s="1349"/>
      <c r="AD7" s="1350"/>
      <c r="AE7" s="1350"/>
      <c r="AF7" s="1350"/>
      <c r="AG7" s="1350"/>
      <c r="AH7" s="1350"/>
      <c r="AI7" s="1350"/>
      <c r="AJ7" s="1351"/>
    </row>
    <row r="8" spans="1:36" ht="15">
      <c r="A8" s="3542"/>
      <c r="B8" s="175" t="s">
        <v>2598</v>
      </c>
      <c r="C8" s="2181"/>
      <c r="D8" s="858" t="s">
        <v>139</v>
      </c>
      <c r="E8" s="859" t="e">
        <f>ROUND(C11/E7,4)</f>
        <v>#DIV/0!</v>
      </c>
      <c r="F8" s="2182" t="s">
        <v>2599</v>
      </c>
      <c r="G8" s="2183"/>
      <c r="H8" s="2183"/>
      <c r="I8" s="2183"/>
      <c r="J8" s="2184"/>
      <c r="K8" s="1250"/>
      <c r="L8" s="2157" t="s">
        <v>2600</v>
      </c>
      <c r="M8" s="994">
        <f>SUMPRODUCT((区片价!B206:B244=I2)*(区片价!C3:F3=E2)*(区片价!C206:F244))</f>
        <v>0</v>
      </c>
      <c r="N8" s="996">
        <f>SUMPRODUCT((因素修正幅度!B206:B244=I2)*(因素修正幅度!C3:F3=E2)*(因素修正幅度!C206:F244))</f>
        <v>0</v>
      </c>
      <c r="O8" s="1250"/>
      <c r="P8" s="1250"/>
      <c r="Q8" s="1250"/>
      <c r="R8" s="1344">
        <v>7</v>
      </c>
      <c r="S8" s="1345"/>
      <c r="T8" s="1344">
        <f t="shared" si="0"/>
        <v>0</v>
      </c>
      <c r="U8" s="1345"/>
      <c r="V8" s="1344">
        <f t="shared" si="1"/>
        <v>0</v>
      </c>
      <c r="W8" s="3535" t="s">
        <v>2601</v>
      </c>
      <c r="X8" s="3536"/>
      <c r="Y8" s="1352" t="s">
        <v>2602</v>
      </c>
      <c r="Z8" s="1352" t="s">
        <v>2603</v>
      </c>
      <c r="AA8" s="1352" t="s">
        <v>2604</v>
      </c>
      <c r="AB8" s="1352" t="s">
        <v>2605</v>
      </c>
      <c r="AC8" s="1352" t="s">
        <v>2606</v>
      </c>
      <c r="AD8" s="1352" t="s">
        <v>2607</v>
      </c>
      <c r="AE8" s="1352" t="s">
        <v>2608</v>
      </c>
      <c r="AF8" s="1352" t="s">
        <v>2609</v>
      </c>
      <c r="AG8" s="1352" t="s">
        <v>2610</v>
      </c>
      <c r="AH8" s="1352" t="s">
        <v>2611</v>
      </c>
      <c r="AI8" s="1352" t="s">
        <v>2612</v>
      </c>
      <c r="AJ8" s="1352" t="s">
        <v>2613</v>
      </c>
    </row>
    <row r="9" spans="1:36" ht="15">
      <c r="A9" s="3542"/>
      <c r="B9" s="175" t="s">
        <v>2614</v>
      </c>
      <c r="C9" s="860">
        <f>SUMIF(修正!C59:C119,C8,修正!E59:E119)</f>
        <v>0</v>
      </c>
      <c r="D9" s="176" t="s">
        <v>140</v>
      </c>
      <c r="E9" s="176" t="e">
        <f>ROUND(C11/E7,4)</f>
        <v>#DIV/0!</v>
      </c>
      <c r="F9" s="2182" t="s">
        <v>2615</v>
      </c>
      <c r="G9" s="2183"/>
      <c r="H9" s="2183"/>
      <c r="I9" s="2183"/>
      <c r="J9" s="2184"/>
      <c r="K9" s="1250"/>
      <c r="L9" s="2157" t="s">
        <v>2616</v>
      </c>
      <c r="M9" s="994">
        <f>SUMPRODUCT((区片价!B245:B289=I2)*(区片价!C3:F3=E2)*(区片价!C245:F289))</f>
        <v>0</v>
      </c>
      <c r="N9" s="996">
        <f>SUMPRODUCT((因素修正幅度!B245:B289=I2)*(因素修正幅度!C3:F3=E2)*(因素修正幅度!C245:F289))</f>
        <v>0</v>
      </c>
      <c r="O9" s="1250"/>
      <c r="P9" s="1250"/>
      <c r="Q9" s="1250"/>
      <c r="R9" s="1344">
        <v>8</v>
      </c>
      <c r="S9" s="1345"/>
      <c r="T9" s="1344">
        <f t="shared" si="0"/>
        <v>0</v>
      </c>
      <c r="U9" s="1345"/>
      <c r="V9" s="1344">
        <f t="shared" si="1"/>
        <v>0</v>
      </c>
      <c r="W9" s="3537" t="s">
        <v>2617</v>
      </c>
      <c r="X9" s="1353" t="s">
        <v>2618</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42"/>
      <c r="B10" s="175" t="s">
        <v>2619</v>
      </c>
      <c r="C10" s="176">
        <f>SUMIF(修正!C59:C119,C8,修正!F59:F119)</f>
        <v>0</v>
      </c>
      <c r="D10" s="176" t="s">
        <v>141</v>
      </c>
      <c r="E10" s="176" t="e">
        <f>ROUND(C11/E7,4)</f>
        <v>#DIV/0!</v>
      </c>
      <c r="F10" s="2182" t="s">
        <v>2620</v>
      </c>
      <c r="G10" s="2183"/>
      <c r="H10" s="2183"/>
      <c r="I10" s="2183"/>
      <c r="J10" s="2184"/>
      <c r="K10" s="1250"/>
      <c r="L10" s="2157" t="s">
        <v>2621</v>
      </c>
      <c r="M10" s="994">
        <f>SUMPRODUCT((区片价!B290:B316=I2)*(区片价!C3:F3=E2)*(区片价!C290:F316))</f>
        <v>0</v>
      </c>
      <c r="N10" s="996">
        <f>SUMPRODUCT((因素修正幅度!B290:B316=I2)*(因素修正幅度!C3:F3=E2)*(因素修正幅度!C290:F316))</f>
        <v>0</v>
      </c>
      <c r="O10" s="1250"/>
      <c r="P10" s="1250"/>
      <c r="Q10" s="1250"/>
      <c r="R10" s="1344">
        <v>9</v>
      </c>
      <c r="S10" s="1345"/>
      <c r="T10" s="1344">
        <f t="shared" si="0"/>
        <v>0</v>
      </c>
      <c r="U10" s="1345"/>
      <c r="V10" s="1344">
        <f t="shared" si="1"/>
        <v>0</v>
      </c>
      <c r="W10" s="3537"/>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42"/>
      <c r="B11" s="2185" t="s">
        <v>2622</v>
      </c>
      <c r="C11" s="861">
        <f>C10/4</f>
        <v>0</v>
      </c>
      <c r="D11" s="861" t="s">
        <v>142</v>
      </c>
      <c r="E11" s="861" t="e">
        <f>ROUND(C11/E7,4)</f>
        <v>#DIV/0!</v>
      </c>
      <c r="F11" s="2186" t="s">
        <v>2623</v>
      </c>
      <c r="G11" s="2187"/>
      <c r="H11" s="2187"/>
      <c r="I11" s="2187"/>
      <c r="J11" s="2188"/>
      <c r="K11" s="1250"/>
      <c r="L11" s="2157" t="s">
        <v>2624</v>
      </c>
      <c r="M11" s="994">
        <f>SUMPRODUCT((区片价!B317:B337=I2)*(区片价!C3:F3=E2)*(区片价!C317:F337))</f>
        <v>0</v>
      </c>
      <c r="N11" s="996">
        <f>SUMPRODUCT((因素修正幅度!B317:B337=I2)*(因素修正幅度!C3:F3=E2)*(因素修正幅度!C317:F337))</f>
        <v>0</v>
      </c>
      <c r="O11" s="1250"/>
      <c r="P11" s="1250"/>
      <c r="Q11" s="1250"/>
      <c r="R11" s="1344">
        <v>10</v>
      </c>
      <c r="S11" s="1345"/>
      <c r="T11" s="1344">
        <f t="shared" si="0"/>
        <v>0</v>
      </c>
      <c r="U11" s="1345"/>
      <c r="V11" s="1344">
        <f t="shared" si="1"/>
        <v>0</v>
      </c>
      <c r="W11" s="3537" t="s">
        <v>2625</v>
      </c>
      <c r="X11" s="1356" t="s">
        <v>2626</v>
      </c>
      <c r="Y11" s="1357">
        <f>$G$3</f>
        <v>3.6</v>
      </c>
      <c r="Z11" s="1357">
        <f t="shared" ref="Z11:AJ11" si="3">$G$3</f>
        <v>3.6</v>
      </c>
      <c r="AA11" s="1357">
        <f t="shared" si="3"/>
        <v>3.6</v>
      </c>
      <c r="AB11" s="1357">
        <f t="shared" si="3"/>
        <v>3.6</v>
      </c>
      <c r="AC11" s="1357">
        <f t="shared" si="3"/>
        <v>3.6</v>
      </c>
      <c r="AD11" s="1357">
        <f t="shared" si="3"/>
        <v>3.6</v>
      </c>
      <c r="AE11" s="1357">
        <f t="shared" si="3"/>
        <v>3.6</v>
      </c>
      <c r="AF11" s="1357">
        <f t="shared" si="3"/>
        <v>3.6</v>
      </c>
      <c r="AG11" s="1357">
        <f t="shared" si="3"/>
        <v>3.6</v>
      </c>
      <c r="AH11" s="1357">
        <f t="shared" si="3"/>
        <v>3.6</v>
      </c>
      <c r="AI11" s="1357">
        <f t="shared" si="3"/>
        <v>3.6</v>
      </c>
      <c r="AJ11" s="1357">
        <f t="shared" si="3"/>
        <v>3.6</v>
      </c>
    </row>
    <row r="12" spans="1:36" ht="25.5" thickBot="1">
      <c r="A12" s="3519" t="s">
        <v>2627</v>
      </c>
      <c r="B12" s="2189" t="s">
        <v>2628</v>
      </c>
      <c r="C12" s="857">
        <f>ROUND(C15*D15*E15*F15*G15*H15*I15*J15,4)</f>
        <v>1</v>
      </c>
      <c r="D12" s="2190" t="s">
        <v>2629</v>
      </c>
      <c r="E12" s="2191"/>
      <c r="F12" s="2191"/>
      <c r="G12" s="2192"/>
      <c r="H12" s="2192"/>
      <c r="I12" s="2192"/>
      <c r="J12" s="2193"/>
      <c r="K12" s="1250"/>
      <c r="L12" s="2194" t="s">
        <v>2630</v>
      </c>
      <c r="M12" s="995">
        <f>SUMPRODUCT((区片价!B338:B344=I2)*(区片价!C3:F3=E2)*(区片价!C338:F344))</f>
        <v>0</v>
      </c>
      <c r="N12" s="996">
        <f>SUMPRODUCT((因素修正幅度!B338:B344=I2)*(因素修正幅度!C3:F3=E2)*(因素修正幅度!C338:F344))</f>
        <v>0</v>
      </c>
      <c r="O12" s="1250"/>
      <c r="P12" s="1250"/>
      <c r="Q12" s="1250"/>
      <c r="R12" s="1344">
        <v>11</v>
      </c>
      <c r="S12" s="1345"/>
      <c r="T12" s="1344">
        <f t="shared" si="0"/>
        <v>0</v>
      </c>
      <c r="U12" s="1345"/>
      <c r="V12" s="1344">
        <f t="shared" si="1"/>
        <v>0</v>
      </c>
      <c r="W12" s="3537"/>
      <c r="X12" s="1358" t="s">
        <v>2631</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43"/>
      <c r="B13" s="2195" t="s">
        <v>2632</v>
      </c>
      <c r="C13" s="2196" t="s">
        <v>2633</v>
      </c>
      <c r="D13" s="1502" t="s">
        <v>2634</v>
      </c>
      <c r="E13" s="1502" t="s">
        <v>2635</v>
      </c>
      <c r="F13" s="30" t="s">
        <v>2636</v>
      </c>
      <c r="G13" s="2197" t="s">
        <v>2637</v>
      </c>
      <c r="H13" s="2197" t="s">
        <v>2637</v>
      </c>
      <c r="I13" s="2197" t="s">
        <v>2637</v>
      </c>
      <c r="J13" s="2198" t="s">
        <v>2637</v>
      </c>
      <c r="K13" s="1250"/>
      <c r="L13" s="1250"/>
      <c r="M13" s="1250"/>
      <c r="N13" s="1250"/>
      <c r="O13" s="1250"/>
      <c r="P13" s="1250"/>
      <c r="Q13" s="1250"/>
      <c r="R13" s="1344">
        <v>12</v>
      </c>
      <c r="S13" s="1345"/>
      <c r="T13" s="1344">
        <f t="shared" si="0"/>
        <v>0</v>
      </c>
      <c r="U13" s="1345"/>
      <c r="V13" s="1344">
        <f t="shared" si="1"/>
        <v>0</v>
      </c>
      <c r="W13" s="3537"/>
      <c r="X13" s="1358"/>
      <c r="Y13" s="1355">
        <f>(-0.163*(Y12^2)-0.59*Y12+7617)*(10^(-4))/Y11</f>
        <v>0.21158333333333335</v>
      </c>
      <c r="Z13" s="1355">
        <f t="shared" ref="Z13:AJ13" si="5">(-0.163*(Z12^2)-0.59*Z12+7617)*(10^(-4))/Z11</f>
        <v>0.21158333333333335</v>
      </c>
      <c r="AA13" s="1355">
        <f t="shared" si="5"/>
        <v>0.21158333333333335</v>
      </c>
      <c r="AB13" s="1355">
        <f t="shared" si="5"/>
        <v>0.21158333333333335</v>
      </c>
      <c r="AC13" s="1355">
        <f t="shared" si="5"/>
        <v>0.21158333333333335</v>
      </c>
      <c r="AD13" s="1355">
        <f t="shared" si="5"/>
        <v>0.21158333333333335</v>
      </c>
      <c r="AE13" s="1355">
        <f t="shared" si="5"/>
        <v>0.21158333333333335</v>
      </c>
      <c r="AF13" s="1355">
        <f t="shared" si="5"/>
        <v>0.21158333333333335</v>
      </c>
      <c r="AG13" s="1355">
        <f t="shared" si="5"/>
        <v>0.21158333333333335</v>
      </c>
      <c r="AH13" s="1355">
        <f t="shared" si="5"/>
        <v>0.21158333333333335</v>
      </c>
      <c r="AI13" s="1355">
        <f t="shared" si="5"/>
        <v>0.21158333333333335</v>
      </c>
      <c r="AJ13" s="1355">
        <f t="shared" si="5"/>
        <v>0.21158333333333335</v>
      </c>
    </row>
    <row r="14" spans="1:36" ht="15">
      <c r="A14" s="3543"/>
      <c r="B14" s="2199"/>
      <c r="C14" s="2200"/>
      <c r="D14" s="2201"/>
      <c r="E14" s="2201"/>
      <c r="F14" s="2202"/>
      <c r="G14" s="2203" t="s">
        <v>2638</v>
      </c>
      <c r="H14" s="2204"/>
      <c r="I14" s="2205"/>
      <c r="J14" s="2206"/>
      <c r="K14" s="1250"/>
      <c r="L14" s="1250"/>
      <c r="M14" s="1250"/>
      <c r="N14" s="1250"/>
      <c r="O14" s="1250"/>
      <c r="P14" s="1250"/>
      <c r="Q14" s="1250"/>
      <c r="R14" s="1344">
        <v>13</v>
      </c>
      <c r="S14" s="1345"/>
      <c r="T14" s="1344">
        <f t="shared" si="0"/>
        <v>0</v>
      </c>
      <c r="U14" s="1345"/>
      <c r="V14" s="1344">
        <f t="shared" si="1"/>
        <v>0</v>
      </c>
      <c r="W14" s="1348"/>
      <c r="X14" s="1348"/>
      <c r="Y14" s="1348"/>
      <c r="Z14" s="1348"/>
      <c r="AA14" s="1348"/>
      <c r="AB14" s="1348"/>
      <c r="AC14" s="1349"/>
      <c r="AD14" s="2987"/>
      <c r="AE14" s="2987"/>
      <c r="AF14" s="2987"/>
      <c r="AG14" s="2987"/>
      <c r="AH14" s="2987"/>
      <c r="AI14" s="2987"/>
      <c r="AJ14" s="2988"/>
    </row>
    <row r="15" spans="1:36" ht="15.75" thickBot="1">
      <c r="A15" s="3544"/>
      <c r="B15" s="2207" t="s">
        <v>2639</v>
      </c>
      <c r="C15" s="193">
        <f>IF(C14="有",1.1,1)</f>
        <v>1</v>
      </c>
      <c r="D15" s="193">
        <f>IF(D14="有",1.1,1)</f>
        <v>1</v>
      </c>
      <c r="E15" s="193">
        <f>IF(E14="有",1.1,1)</f>
        <v>1</v>
      </c>
      <c r="F15" s="193">
        <f>IF(F14="500米范围内",1.2,IF(F14="500-1000米",1.1,1))</f>
        <v>1</v>
      </c>
      <c r="G15" s="882">
        <v>1</v>
      </c>
      <c r="H15" s="882">
        <v>1</v>
      </c>
      <c r="I15" s="882">
        <v>1</v>
      </c>
      <c r="J15" s="883">
        <v>1</v>
      </c>
      <c r="K15" s="1250"/>
      <c r="L15" s="2150"/>
      <c r="M15" s="2150"/>
      <c r="N15" s="2150"/>
      <c r="O15" s="2150"/>
      <c r="P15" s="2150"/>
      <c r="Q15" s="1250"/>
      <c r="R15" s="1344">
        <v>14</v>
      </c>
      <c r="S15" s="1345"/>
      <c r="T15" s="1344">
        <f t="shared" si="0"/>
        <v>0</v>
      </c>
      <c r="U15" s="1345"/>
      <c r="V15" s="1344">
        <f t="shared" si="1"/>
        <v>0</v>
      </c>
      <c r="W15" s="1348"/>
      <c r="X15" s="1348"/>
      <c r="Y15" s="1348"/>
      <c r="Z15" s="1348"/>
      <c r="AA15" s="1348"/>
      <c r="AB15" s="1348"/>
      <c r="AC15" s="1349"/>
      <c r="AD15" s="2987"/>
      <c r="AE15" s="2987"/>
      <c r="AF15" s="2987"/>
      <c r="AG15" s="2987"/>
      <c r="AH15" s="2987"/>
      <c r="AI15" s="2987"/>
      <c r="AJ15" s="2988"/>
    </row>
    <row r="16" spans="1:36" ht="24.6" customHeight="1">
      <c r="A16" s="3519" t="s">
        <v>2644</v>
      </c>
      <c r="B16" s="2176" t="s">
        <v>2645</v>
      </c>
      <c r="C16" s="2338">
        <f>ROUND(IF(F17="与级别开发程度一致",0,(G17-E17)/C17),0)</f>
        <v>-36</v>
      </c>
      <c r="D16" s="3532" t="s">
        <v>2649</v>
      </c>
      <c r="E16" s="3533"/>
      <c r="F16" s="3532" t="s">
        <v>2646</v>
      </c>
      <c r="G16" s="3533"/>
      <c r="H16" s="2208" t="s">
        <v>3150</v>
      </c>
      <c r="I16" s="2208" t="s">
        <v>3151</v>
      </c>
      <c r="J16" s="2342" t="s">
        <v>3152</v>
      </c>
      <c r="K16" s="2208" t="s">
        <v>3153</v>
      </c>
      <c r="L16" s="2208" t="s">
        <v>3154</v>
      </c>
      <c r="M16" s="2208" t="s">
        <v>3155</v>
      </c>
      <c r="N16" s="2208"/>
      <c r="O16" s="2209"/>
      <c r="P16" s="2150"/>
      <c r="Q16" s="1250"/>
      <c r="R16" s="1344">
        <v>15</v>
      </c>
      <c r="S16" s="1345"/>
      <c r="T16" s="1344">
        <f t="shared" si="0"/>
        <v>0</v>
      </c>
      <c r="U16" s="1345"/>
      <c r="V16" s="1344">
        <f t="shared" si="1"/>
        <v>0</v>
      </c>
      <c r="W16" s="1348"/>
      <c r="X16" s="1348"/>
      <c r="Y16" s="1348"/>
      <c r="Z16" s="1348"/>
      <c r="AA16" s="1348"/>
      <c r="AB16" s="1348"/>
      <c r="AC16" s="1349"/>
      <c r="AD16" s="2987"/>
      <c r="AE16" s="2987"/>
      <c r="AF16" s="2987"/>
      <c r="AG16" s="2987"/>
      <c r="AH16" s="2987"/>
      <c r="AI16" s="2987"/>
      <c r="AJ16" s="2988"/>
    </row>
    <row r="17" spans="1:37" ht="26.25" thickBot="1">
      <c r="A17" s="3520"/>
      <c r="B17" s="2349" t="s">
        <v>2648</v>
      </c>
      <c r="C17" s="2350">
        <f>SUMPRODUCT((修正!A2:A5=E2)*(修正!B1:M1=G2)*(修正!B2:M5))</f>
        <v>2.5</v>
      </c>
      <c r="D17" s="193" t="str">
        <f>IF(OR(G2="八级",G2="九级",G2="十级",G2="十一级",G2="十二级"),"五通一平","七通一平")</f>
        <v>七通一平</v>
      </c>
      <c r="E17" s="2339">
        <f>SUMPRODUCT((修正!B1:M1=G2)*(修正!B15:M15))</f>
        <v>300</v>
      </c>
      <c r="F17" s="2340" t="s">
        <v>3156</v>
      </c>
      <c r="G17" s="2341">
        <f>SUM(H17:O17)</f>
        <v>210</v>
      </c>
      <c r="H17" s="2350">
        <f>SUMPRODUCT((七通一平=H16)*(修正!B1:M1=G2)*(修正!B6:M14))</f>
        <v>65</v>
      </c>
      <c r="I17" s="2350">
        <f>SUMPRODUCT((七通一平=I16)*(修正!B1:M1=G2)*(修正!B6:M14))</f>
        <v>55</v>
      </c>
      <c r="J17" s="2351">
        <f>SUMPRODUCT((七通一平=J16)*(修正!B1:M1=G2)*(修正!B6:M14))</f>
        <v>15</v>
      </c>
      <c r="K17" s="2350">
        <f>SUMPRODUCT((七通一平=K16)*(修正!B1:M1=G2)*(修正!B6:M14))</f>
        <v>25</v>
      </c>
      <c r="L17" s="2350">
        <f>SUMPRODUCT((七通一平=L16)*(修正!B1:M1=G2)*(修正!B6:M14))</f>
        <v>35</v>
      </c>
      <c r="M17" s="2350">
        <f>SUMPRODUCT((七通一平=M16)*(修正!B1:M1=G2)*(修正!B6:M14))</f>
        <v>15</v>
      </c>
      <c r="N17" s="2350">
        <f>SUMPRODUCT((七通一平=N16)*(修正!B1:M1=G2)*(修正!B6:M14))</f>
        <v>0</v>
      </c>
      <c r="O17" s="2352">
        <f>SUMPRODUCT((七通一平=O16)*(修正!B1:M1=G2)*(修正!B6:M14))</f>
        <v>0</v>
      </c>
      <c r="P17" s="2150"/>
      <c r="Q17" s="1250"/>
      <c r="R17" s="1250"/>
      <c r="S17" s="1250"/>
      <c r="T17" s="1250"/>
      <c r="U17" s="1250"/>
      <c r="V17" s="1250"/>
      <c r="W17" s="1250"/>
      <c r="X17" s="1250"/>
      <c r="Y17" s="1250"/>
      <c r="Z17" s="1251"/>
      <c r="AA17" s="1251"/>
      <c r="AB17" s="1251"/>
      <c r="AC17" s="1251"/>
      <c r="AD17" s="1251"/>
      <c r="AE17" s="1250"/>
      <c r="AF17" s="1250"/>
      <c r="AG17" s="2150"/>
      <c r="AH17" s="2150"/>
      <c r="AI17" s="2150"/>
      <c r="AJ17" s="2150"/>
    </row>
    <row r="18" spans="1:37" s="2169" customFormat="1" ht="15.75" thickBot="1">
      <c r="A18" s="2343" t="s">
        <v>808</v>
      </c>
      <c r="B18" s="2344" t="s">
        <v>2651</v>
      </c>
      <c r="C18" s="2345">
        <f>SUMIF(修正!C18:C39,E3,修正!E18:E39)</f>
        <v>1</v>
      </c>
      <c r="D18" s="2346"/>
      <c r="E18" s="2347"/>
      <c r="F18" s="2347"/>
      <c r="G18" s="2347"/>
      <c r="H18" s="2347"/>
      <c r="I18" s="2347"/>
      <c r="J18" s="2348"/>
      <c r="K18" s="1257"/>
      <c r="L18" s="2986"/>
      <c r="M18" s="2986"/>
      <c r="N18" s="2986"/>
      <c r="O18" s="1255"/>
      <c r="P18" s="1255"/>
      <c r="Q18" s="1256"/>
      <c r="R18" s="1256"/>
      <c r="S18" s="1256"/>
      <c r="T18" s="1251"/>
      <c r="U18" s="1251"/>
      <c r="V18" s="1251"/>
      <c r="W18" s="1250"/>
      <c r="X18" s="1250"/>
      <c r="Y18" s="1250"/>
      <c r="Z18" s="1257"/>
      <c r="AA18" s="1257"/>
      <c r="AB18" s="1257"/>
      <c r="AC18" s="1257"/>
      <c r="AD18" s="1257"/>
      <c r="AE18" s="1251"/>
      <c r="AF18" s="1251"/>
      <c r="AG18" s="2307"/>
      <c r="AH18" s="2307"/>
      <c r="AI18" s="2307"/>
      <c r="AJ18" s="2986"/>
    </row>
    <row r="19" spans="1:37" s="2169" customFormat="1" ht="29.25" thickBot="1">
      <c r="A19" s="2213" t="s">
        <v>809</v>
      </c>
      <c r="B19" s="2214" t="s">
        <v>2652</v>
      </c>
      <c r="C19" s="862">
        <f>ROUND(IF(H19="按公示增长率计算",SUMPRODUCT((地价!A3:A37=YEAR(G19)&amp;"-"&amp;ROUNDUP(MONTH(G19)/3,0))*(地价!X2:AB2=E2)*(地价!X3:AB37)),IF(H19="地价指数",M20/M19,(1+I19)^O19)),4)</f>
        <v>1.3676999999999999</v>
      </c>
      <c r="D19" s="2218" t="s">
        <v>2653</v>
      </c>
      <c r="E19" s="863">
        <v>41640</v>
      </c>
      <c r="F19" s="2218" t="s">
        <v>2654</v>
      </c>
      <c r="G19" s="864">
        <f>'数据-取费表'!B2</f>
        <v>44645</v>
      </c>
      <c r="H19" s="2219" t="s">
        <v>3157</v>
      </c>
      <c r="I19" s="865" t="str">
        <f>IF(H19="季度增幅（自定义）",SUMIF(N21:N24,E2,O21:O24),"")</f>
        <v/>
      </c>
      <c r="J19" s="2216"/>
      <c r="K19" s="1257"/>
      <c r="L19" s="2220" t="s">
        <v>2655</v>
      </c>
      <c r="M19" s="1466">
        <f>ROUND(SUMIF(地价!B2:F2,E2,地价!B37:F37),0)</f>
        <v>258</v>
      </c>
      <c r="N19" s="2221" t="s">
        <v>2656</v>
      </c>
      <c r="O19" s="866">
        <f>ROUNDDOWN(DATEDIF(E19,G19,"M")/3,0)</f>
        <v>32</v>
      </c>
      <c r="P19" s="1254"/>
      <c r="Q19" s="1256"/>
      <c r="R19" s="1256"/>
      <c r="S19" s="1256"/>
      <c r="T19" s="1251"/>
      <c r="U19" s="1251"/>
      <c r="V19" s="1251"/>
      <c r="W19" s="1250"/>
      <c r="X19" s="1250"/>
      <c r="Y19" s="1250"/>
      <c r="Z19" s="1257"/>
      <c r="AA19" s="1257"/>
      <c r="AB19" s="1257"/>
      <c r="AC19" s="1257"/>
      <c r="AD19" s="1257"/>
      <c r="AE19" s="1257"/>
      <c r="AF19" s="1256"/>
      <c r="AG19" s="2989"/>
      <c r="AH19" s="2307"/>
      <c r="AI19" s="2990"/>
      <c r="AJ19" s="2990"/>
      <c r="AK19" s="2222"/>
    </row>
    <row r="20" spans="1:37" s="2169" customFormat="1" ht="27.75" thickBot="1">
      <c r="A20" s="2223" t="s">
        <v>810</v>
      </c>
      <c r="B20" s="2224" t="s">
        <v>2657</v>
      </c>
      <c r="C20" s="867">
        <f>ROUND(POWER(1+G20,J20-I20)*(POWER(1+G20,I20)-1)/(POWER(1+G20,J20)-1),4)</f>
        <v>0.85729999999999995</v>
      </c>
      <c r="D20" s="2225" t="s">
        <v>2658</v>
      </c>
      <c r="E20" s="1473">
        <f>存贷款利率!E20/100</f>
        <v>4.3499999999999997E-2</v>
      </c>
      <c r="F20" s="2225" t="s">
        <v>2650</v>
      </c>
      <c r="G20" s="872">
        <f>SUMIF(M26:P26,E2,M28:P28)</f>
        <v>5.1999999999999998E-2</v>
      </c>
      <c r="H20" s="2225" t="s">
        <v>2659</v>
      </c>
      <c r="I20" s="873">
        <f>SUMIF('数据-取费表'!C6:C15,E2,'数据-取费表'!F6:F15)/COUNTIF('数据-取费表'!C6:C15,E2)</f>
        <v>30.72</v>
      </c>
      <c r="J20" s="874">
        <f>IF(E2="住宅",70,IF(E2="商业",40,50))</f>
        <v>50</v>
      </c>
      <c r="K20" s="1257"/>
      <c r="L20" s="2226" t="s">
        <v>2660</v>
      </c>
      <c r="M20" s="1467">
        <f>ROUND(SUMPRODUCT((地价!A4:A37=YEAR(G19)&amp;"-"&amp;ROUNDUP(MONTH(G19)/3,0))*(地价!B2:F2=E2)*(地价!B4:F37)),0)</f>
        <v>353</v>
      </c>
      <c r="N20" s="2227" t="s">
        <v>2661</v>
      </c>
      <c r="O20" s="2228" t="s">
        <v>2662</v>
      </c>
      <c r="P20" s="2229" t="s">
        <v>2663</v>
      </c>
      <c r="Q20" s="2986"/>
      <c r="R20" s="1256"/>
      <c r="S20" s="1256"/>
      <c r="T20" s="1251"/>
      <c r="U20" s="1251"/>
      <c r="V20" s="1251"/>
      <c r="W20" s="1250"/>
      <c r="X20" s="1250"/>
      <c r="Y20" s="1250"/>
      <c r="Z20" s="1257"/>
      <c r="AA20" s="1257"/>
      <c r="AB20" s="1257"/>
      <c r="AC20" s="1257"/>
      <c r="AD20" s="1257"/>
      <c r="AE20" s="1257"/>
      <c r="AF20" s="1257"/>
      <c r="AG20" s="2986"/>
      <c r="AH20" s="2986"/>
      <c r="AI20" s="2986"/>
      <c r="AJ20" s="2986"/>
    </row>
    <row r="21" spans="1:37" s="2169" customFormat="1" ht="15">
      <c r="A21" s="2230" t="s">
        <v>811</v>
      </c>
      <c r="B21" s="2231" t="s">
        <v>3158</v>
      </c>
      <c r="C21" s="875">
        <f>IF(B21="容积率修正",IF(G3&lt;=10,D22,J22),C23)</f>
        <v>0.89190000000000003</v>
      </c>
      <c r="D21" s="2232"/>
      <c r="E21" s="2232"/>
      <c r="F21" s="2232"/>
      <c r="G21" s="2232"/>
      <c r="H21" s="2232"/>
      <c r="I21" s="2232"/>
      <c r="J21" s="2233"/>
      <c r="K21" s="1257"/>
      <c r="L21" s="2986"/>
      <c r="M21" s="2986"/>
      <c r="N21" s="2234" t="s">
        <v>2664</v>
      </c>
      <c r="O21" s="1305"/>
      <c r="P21" s="1306">
        <f>SUMPRODUCT((地价!A3:A37=YEAR(G19)&amp;"-"&amp;ROUNDUP(MONTH(G19)/3,0))*(地价!AD2:AH2=N21)*(地价!AD3:AH37))</f>
        <v>1.03E-2</v>
      </c>
      <c r="Q21" s="2986"/>
      <c r="R21" s="1256"/>
      <c r="S21" s="1256"/>
      <c r="T21" s="1251"/>
      <c r="U21" s="1251"/>
      <c r="V21" s="1251"/>
      <c r="W21" s="1250"/>
      <c r="X21" s="1250"/>
      <c r="Y21" s="1250"/>
      <c r="Z21" s="1257"/>
      <c r="AA21" s="1257"/>
      <c r="AB21" s="1257"/>
      <c r="AC21" s="1257"/>
      <c r="AD21" s="1257"/>
      <c r="AE21" s="1257"/>
      <c r="AF21" s="1257"/>
      <c r="AG21" s="2986"/>
      <c r="AH21" s="2986"/>
      <c r="AI21" s="2986"/>
      <c r="AJ21" s="2986"/>
    </row>
    <row r="22" spans="1:37" s="2169" customFormat="1" ht="14.25">
      <c r="A22" s="2109" t="s">
        <v>2665</v>
      </c>
      <c r="B22" s="2235" t="s">
        <v>2666</v>
      </c>
      <c r="C22" s="1504" t="s">
        <v>2667</v>
      </c>
      <c r="D22" s="1504">
        <f>IF(E22=G22,F22,IF(G3&lt;=10,ROUND(F22+(H22-F22)*(G3-E22)/(G22-E22),4),"——"))</f>
        <v>0.89190000000000003</v>
      </c>
      <c r="E22" s="854">
        <f>ROUNDDOWN(G3,1)</f>
        <v>3.6</v>
      </c>
      <c r="F22" s="15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0.89190000000000003</v>
      </c>
      <c r="G22" s="854">
        <f>ROUNDUP(G3,1)</f>
        <v>3.6</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0.89190000000000003</v>
      </c>
      <c r="I22" s="1504" t="s">
        <v>155</v>
      </c>
      <c r="J22" s="876" t="str">
        <f>IF(G3&gt;10,D113,"——")</f>
        <v>——</v>
      </c>
      <c r="K22" s="1257"/>
      <c r="L22" s="2986"/>
      <c r="M22" s="2986"/>
      <c r="N22" s="2234" t="s">
        <v>2668</v>
      </c>
      <c r="O22" s="1305"/>
      <c r="P22" s="1306">
        <f>SUMPRODUCT((地价!A3:A37=YEAR(G19)&amp;"-"&amp;ROUNDUP(MONTH(G19)/3,0))*(地价!AD2:AH2=N22)*(地价!AD3:AH37))</f>
        <v>1.03E-2</v>
      </c>
      <c r="Q22" s="2986"/>
      <c r="R22" s="1256"/>
      <c r="S22" s="1256"/>
      <c r="T22" s="1251"/>
      <c r="U22" s="1251"/>
      <c r="V22" s="1251"/>
      <c r="W22" s="1250"/>
      <c r="X22" s="1250"/>
      <c r="Y22" s="1250"/>
      <c r="Z22" s="1257"/>
      <c r="AA22" s="1257"/>
      <c r="AB22" s="1257"/>
      <c r="AC22" s="1257"/>
      <c r="AD22" s="1257"/>
      <c r="AE22" s="1257"/>
      <c r="AF22" s="1257"/>
      <c r="AG22" s="2986"/>
      <c r="AH22" s="2986"/>
      <c r="AI22" s="2986"/>
      <c r="AJ22" s="2986"/>
    </row>
    <row r="23" spans="1:37" ht="27.75" thickBot="1">
      <c r="A23" s="2109" t="s">
        <v>2669</v>
      </c>
      <c r="B23" s="2236" t="s">
        <v>2670</v>
      </c>
      <c r="C23" s="949">
        <f>ROUND(IF(G3&gt;1,IF(I3&lt;7,SUMPRODUCT((B93:B98=I3)*(C92:N92=G2)*(C93:N98)),SUMIF(C92:N92,G2,C100:N100)),IF(I3&lt;7,SUMPRODUCT((B102:B107=I3)*(C92:N92=G2)*(C102:N107)),SUMIF(C92:N92,G2,C109:N109))),4)</f>
        <v>0</v>
      </c>
      <c r="D23" s="2204"/>
      <c r="E23" s="2204"/>
      <c r="F23" s="2237"/>
      <c r="G23" s="2238"/>
      <c r="H23" s="2239"/>
      <c r="I23" s="2240"/>
      <c r="J23" s="2241"/>
      <c r="K23" s="1250"/>
      <c r="L23" s="2150"/>
      <c r="M23" s="2150"/>
      <c r="N23" s="2234" t="s">
        <v>2671</v>
      </c>
      <c r="O23" s="1305"/>
      <c r="P23" s="1306">
        <f>SUMPRODUCT((地价!A3:A37=YEAR(G19)&amp;"-"&amp;ROUNDUP(MONTH(G19)/3,0))*(地价!AD2:AH2=N23)*(地价!AD3:AH37))</f>
        <v>1.8100000000000002E-2</v>
      </c>
      <c r="Q23" s="2150"/>
      <c r="R23" s="1256"/>
      <c r="S23" s="1256"/>
      <c r="T23" s="1251"/>
      <c r="U23" s="1251"/>
      <c r="V23" s="1251"/>
      <c r="W23" s="1250"/>
      <c r="X23" s="1250"/>
      <c r="Y23" s="1250"/>
      <c r="Z23" s="1257"/>
      <c r="AA23" s="1257"/>
      <c r="AB23" s="1257"/>
      <c r="AC23" s="1257"/>
      <c r="AD23" s="1257"/>
      <c r="AE23" s="1251"/>
      <c r="AF23" s="1251"/>
      <c r="AG23" s="2307"/>
      <c r="AH23" s="2307"/>
      <c r="AI23" s="2307"/>
      <c r="AJ23" s="2307"/>
      <c r="AK23" s="2217"/>
    </row>
    <row r="24" spans="1:37" s="2169" customFormat="1" ht="15.75" thickBot="1">
      <c r="A24" s="2223" t="s">
        <v>812</v>
      </c>
      <c r="B24" s="2214" t="s">
        <v>2672</v>
      </c>
      <c r="C24" s="862">
        <f>SUMIF(A45:A88,E2,B45:B88)</f>
        <v>1.0669999999999999</v>
      </c>
      <c r="D24" s="2215"/>
      <c r="E24" s="2242"/>
      <c r="F24" s="2242"/>
      <c r="G24" s="2242"/>
      <c r="H24" s="2242"/>
      <c r="I24" s="2242"/>
      <c r="J24" s="2243"/>
      <c r="K24" s="1257"/>
      <c r="L24" s="2986"/>
      <c r="M24" s="2986"/>
      <c r="N24" s="2244" t="s">
        <v>2673</v>
      </c>
      <c r="O24" s="1307"/>
      <c r="P24" s="1308">
        <f>SUMPRODUCT((地价!A3:A37=YEAR(G19)&amp;"-"&amp;ROUNDUP(MONTH(G19)/3,0))*(地价!AD2:AH2=N24)*(地价!AD3:AH37))</f>
        <v>1.2E-2</v>
      </c>
      <c r="Q24" s="2986"/>
      <c r="R24" s="1256"/>
      <c r="S24" s="1256"/>
      <c r="T24" s="1251"/>
      <c r="U24" s="1251"/>
      <c r="V24" s="1251"/>
      <c r="W24" s="1250"/>
      <c r="X24" s="1250"/>
      <c r="Y24" s="1250"/>
      <c r="Z24" s="1257"/>
      <c r="AA24" s="1257"/>
      <c r="AB24" s="1257"/>
      <c r="AC24" s="1257"/>
      <c r="AD24" s="1257"/>
      <c r="AE24" s="1257"/>
      <c r="AF24" s="1257"/>
      <c r="AG24" s="2986"/>
      <c r="AH24" s="2986"/>
      <c r="AI24" s="2986"/>
      <c r="AJ24" s="2986"/>
    </row>
    <row r="25" spans="1:37" ht="15.75" thickBot="1">
      <c r="A25" s="2223" t="s">
        <v>813</v>
      </c>
      <c r="B25" s="2245" t="s">
        <v>2674</v>
      </c>
      <c r="C25" s="868"/>
      <c r="D25" s="2179"/>
      <c r="E25" s="2179"/>
      <c r="F25" s="2246"/>
      <c r="G25" s="2179"/>
      <c r="H25" s="2179"/>
      <c r="I25" s="2179"/>
      <c r="J25" s="2180"/>
      <c r="K25" s="1250"/>
      <c r="L25" s="2150"/>
      <c r="M25" s="2150"/>
      <c r="N25" s="2981" t="s">
        <v>2675</v>
      </c>
      <c r="O25" s="2982"/>
      <c r="P25" s="2983">
        <f>SUMPRODUCT((地价!A3:A37=YEAR(G19)&amp;"-"&amp;ROUNDUP(MONTH(G19)/3,0))*(地价!AD2:AH2=N25)*(地价!AD3:AH37))</f>
        <v>1.6400000000000001E-2</v>
      </c>
      <c r="Q25" s="2150"/>
      <c r="R25" s="1256"/>
      <c r="S25" s="1256"/>
      <c r="T25" s="1251"/>
      <c r="U25" s="1251"/>
      <c r="V25" s="1251"/>
      <c r="W25" s="1250"/>
      <c r="X25" s="1250"/>
      <c r="Y25" s="1250"/>
      <c r="Z25" s="1257"/>
      <c r="AA25" s="1257"/>
      <c r="AB25" s="1257"/>
      <c r="AC25" s="1257"/>
      <c r="AD25" s="1257"/>
      <c r="AE25" s="1251"/>
      <c r="AF25" s="1251"/>
      <c r="AG25" s="2307"/>
      <c r="AH25" s="2307"/>
      <c r="AI25" s="2307"/>
      <c r="AJ25" s="2307"/>
    </row>
    <row r="26" spans="1:37" ht="15">
      <c r="A26" s="2247"/>
      <c r="B26" s="2235" t="s">
        <v>2676</v>
      </c>
      <c r="C26" s="2509">
        <f>IF(B21="容积率修正",E29+SUM(E33:E39),SUM(V2:V16)+SUM(E33:E39))</f>
        <v>26819</v>
      </c>
      <c r="D26" s="2248"/>
      <c r="E26" s="2204"/>
      <c r="F26" s="2249"/>
      <c r="G26" s="2204"/>
      <c r="H26" s="2204"/>
      <c r="I26" s="2204"/>
      <c r="J26" s="2250"/>
      <c r="K26" s="1250"/>
      <c r="L26" s="2984" t="s">
        <v>2575</v>
      </c>
      <c r="M26" s="2177" t="s">
        <v>2640</v>
      </c>
      <c r="N26" s="2177" t="s">
        <v>2641</v>
      </c>
      <c r="O26" s="2177" t="s">
        <v>2642</v>
      </c>
      <c r="P26" s="2985" t="s">
        <v>2643</v>
      </c>
      <c r="Q26" s="2150"/>
      <c r="R26" s="1256"/>
      <c r="S26" s="1256"/>
      <c r="T26" s="1251"/>
      <c r="U26" s="1251"/>
      <c r="V26" s="1251"/>
      <c r="W26" s="1250"/>
      <c r="X26" s="1250"/>
      <c r="Y26" s="1250"/>
      <c r="Z26" s="1257"/>
      <c r="AA26" s="1257"/>
      <c r="AB26" s="1257"/>
      <c r="AC26" s="1257"/>
      <c r="AD26" s="1257"/>
      <c r="AE26" s="1251"/>
      <c r="AF26" s="1251"/>
      <c r="AG26" s="2307"/>
      <c r="AH26" s="2307"/>
      <c r="AI26" s="2307"/>
      <c r="AJ26" s="2307"/>
    </row>
    <row r="27" spans="1:37" ht="15.75" thickBot="1">
      <c r="A27" s="2247"/>
      <c r="B27" s="2251" t="s">
        <v>2677</v>
      </c>
      <c r="C27" s="869">
        <f>E30+SUM(I33:I39)</f>
        <v>164</v>
      </c>
      <c r="D27" s="2252"/>
      <c r="E27" s="2253"/>
      <c r="F27" s="2254"/>
      <c r="G27" s="2253"/>
      <c r="H27" s="2253"/>
      <c r="I27" s="2253"/>
      <c r="J27" s="2255"/>
      <c r="K27" s="1250"/>
      <c r="L27" s="2210" t="s">
        <v>2647</v>
      </c>
      <c r="M27" s="860">
        <v>0.25</v>
      </c>
      <c r="N27" s="860">
        <v>0.2</v>
      </c>
      <c r="O27" s="860">
        <v>0.15</v>
      </c>
      <c r="P27" s="1249">
        <v>0.1</v>
      </c>
      <c r="Q27" s="1256"/>
      <c r="R27" s="1256"/>
      <c r="S27" s="1256"/>
      <c r="T27" s="1251"/>
      <c r="U27" s="1251"/>
      <c r="V27" s="1251"/>
      <c r="W27" s="1250"/>
      <c r="X27" s="1250"/>
      <c r="Y27" s="1250"/>
      <c r="Z27" s="1257"/>
      <c r="AA27" s="1257"/>
      <c r="AB27" s="1257"/>
      <c r="AC27" s="1257"/>
      <c r="AD27" s="1257"/>
      <c r="AE27" s="1251"/>
      <c r="AF27" s="1251"/>
      <c r="AG27" s="2307"/>
      <c r="AH27" s="2307"/>
      <c r="AI27" s="2307"/>
      <c r="AJ27" s="2307"/>
    </row>
    <row r="28" spans="1:37" ht="15.75" thickBot="1">
      <c r="A28" s="2256"/>
      <c r="B28" s="2257" t="s">
        <v>2678</v>
      </c>
      <c r="C28" s="2258" t="s">
        <v>2679</v>
      </c>
      <c r="D28" s="2258" t="s">
        <v>2680</v>
      </c>
      <c r="E28" s="2259" t="s">
        <v>2681</v>
      </c>
      <c r="F28" s="2260"/>
      <c r="G28" s="2192"/>
      <c r="H28" s="2192"/>
      <c r="I28" s="2192"/>
      <c r="J28" s="2193"/>
      <c r="K28" s="1250"/>
      <c r="L28" s="2211" t="s">
        <v>2650</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7"/>
      <c r="AH28" s="2307"/>
      <c r="AI28" s="2307"/>
      <c r="AJ28" s="2307"/>
    </row>
    <row r="29" spans="1:37" ht="22.5" customHeight="1">
      <c r="A29" s="2261"/>
      <c r="B29" s="2262" t="s">
        <v>2682</v>
      </c>
      <c r="C29" s="180">
        <f>ROUND(C5*C18*C19*C20*C21*C24,0)</f>
        <v>10839</v>
      </c>
      <c r="D29" s="2263">
        <f>'数据-基础表'!I13</f>
        <v>24137.57</v>
      </c>
      <c r="E29" s="878">
        <f>ROUND(C29*D29/10000,0)</f>
        <v>26163</v>
      </c>
      <c r="F29" s="2264" t="s">
        <v>2683</v>
      </c>
      <c r="G29" s="2265"/>
      <c r="H29" s="2265"/>
      <c r="I29" s="2265"/>
      <c r="J29" s="2266"/>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0"/>
      <c r="AH29" s="2150"/>
      <c r="AI29" s="2150"/>
      <c r="AJ29" s="2150"/>
    </row>
    <row r="30" spans="1:37" ht="25.5" thickBot="1">
      <c r="A30" s="2267"/>
      <c r="B30" s="2268" t="s">
        <v>2684</v>
      </c>
      <c r="C30" s="193">
        <f>ROUND(IF(E2="工业",C29*M39,C29*M38),0)</f>
        <v>2710</v>
      </c>
      <c r="D30" s="2269"/>
      <c r="E30" s="878">
        <f>ROUND(C30*D30/10000,0)</f>
        <v>0</v>
      </c>
      <c r="F30" s="2270" t="s">
        <v>2685</v>
      </c>
      <c r="G30" s="2271"/>
      <c r="H30" s="2271"/>
      <c r="I30" s="2271"/>
      <c r="J30" s="2272"/>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0"/>
      <c r="AH30" s="2150"/>
      <c r="AI30" s="2150"/>
      <c r="AJ30" s="2150"/>
    </row>
    <row r="31" spans="1:37" ht="14.25">
      <c r="A31" s="2273"/>
      <c r="B31" s="2274" t="s">
        <v>2686</v>
      </c>
      <c r="C31" s="2275" t="s">
        <v>2687</v>
      </c>
      <c r="D31" s="2192"/>
      <c r="E31" s="2275"/>
      <c r="F31" s="2275"/>
      <c r="G31" s="2190" t="s">
        <v>2688</v>
      </c>
      <c r="H31" s="2192"/>
      <c r="I31" s="2276"/>
      <c r="J31" s="2193"/>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0"/>
      <c r="AH31" s="2150"/>
      <c r="AI31" s="2150"/>
      <c r="AJ31" s="2150"/>
    </row>
    <row r="32" spans="1:37" ht="24">
      <c r="A32" s="2261"/>
      <c r="B32" s="2277"/>
      <c r="C32" s="458" t="s">
        <v>2679</v>
      </c>
      <c r="D32" s="455" t="s">
        <v>2680</v>
      </c>
      <c r="E32" s="455" t="s">
        <v>2681</v>
      </c>
      <c r="F32" s="348" t="s">
        <v>2689</v>
      </c>
      <c r="G32" s="2278" t="s">
        <v>2679</v>
      </c>
      <c r="H32" s="2278" t="s">
        <v>2680</v>
      </c>
      <c r="I32" s="2278" t="s">
        <v>2681</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0"/>
      <c r="AH32" s="2150"/>
      <c r="AI32" s="2150"/>
      <c r="AJ32" s="2150"/>
    </row>
    <row r="33" spans="1:37" ht="36" customHeight="1">
      <c r="A33" s="3529"/>
      <c r="B33" s="2279" t="s">
        <v>2690</v>
      </c>
      <c r="C33" s="180">
        <f>ROUND(D5*C19*C20*C24*F33,0)</f>
        <v>8507</v>
      </c>
      <c r="D33" s="2263"/>
      <c r="E33" s="176">
        <f>ROUND(C33*D33/10000,0)</f>
        <v>0</v>
      </c>
      <c r="F33" s="176">
        <f>SUMIF(修正!A45:A56,G2,修正!B45:B56)</f>
        <v>0.7</v>
      </c>
      <c r="G33" s="176">
        <f t="shared" ref="G33" si="6">ROUND(IF(E2="工业",C33*$M$39,C33*$M$38),0)</f>
        <v>2127</v>
      </c>
      <c r="H33" s="176">
        <f>D33</f>
        <v>0</v>
      </c>
      <c r="I33" s="176">
        <f>ROUND(G33*H33/10000,0)</f>
        <v>0</v>
      </c>
      <c r="J33" s="3534" t="s">
        <v>2995</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7"/>
      <c r="AH33" s="2307"/>
      <c r="AI33" s="2307"/>
      <c r="AJ33" s="2307"/>
    </row>
    <row r="34" spans="1:37" ht="14.25">
      <c r="A34" s="3530"/>
      <c r="B34" s="2196" t="s">
        <v>2691</v>
      </c>
      <c r="C34" s="180">
        <f>ROUND(D5*C19*C20*C24*F34,0)</f>
        <v>4861</v>
      </c>
      <c r="D34" s="2263"/>
      <c r="E34" s="176">
        <f t="shared" ref="E34:E39" si="7">ROUND(C34*D34/10000,0)</f>
        <v>0</v>
      </c>
      <c r="F34" s="176">
        <f>SUMIF(修正!A45:A56,G2,修正!C45:C56)</f>
        <v>0.4</v>
      </c>
      <c r="G34" s="176">
        <f>ROUND(IF(E2="工业",C34*$M$39,C34*$M$38),0)</f>
        <v>1215</v>
      </c>
      <c r="H34" s="176">
        <f t="shared" ref="H34:H39" si="8">D34</f>
        <v>0</v>
      </c>
      <c r="I34" s="176">
        <f t="shared" ref="I34:I39" si="9">ROUND(G34*H34/10000,0)</f>
        <v>0</v>
      </c>
      <c r="J34" s="3530"/>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7"/>
      <c r="AH34" s="2307"/>
      <c r="AI34" s="2307"/>
      <c r="AJ34" s="2307"/>
    </row>
    <row r="35" spans="1:37">
      <c r="A35" s="3530"/>
      <c r="B35" s="2196" t="s">
        <v>2692</v>
      </c>
      <c r="C35" s="180">
        <f>ROUND(D5*C19*C20*C24*F35,0)</f>
        <v>3403</v>
      </c>
      <c r="D35" s="2263"/>
      <c r="E35" s="176">
        <f t="shared" si="7"/>
        <v>0</v>
      </c>
      <c r="F35" s="176">
        <f>SUMIF(修正!A45:A56,G2,修正!D45:D56)</f>
        <v>0.28000000000000003</v>
      </c>
      <c r="G35" s="176">
        <f>ROUND(IF(E2="工业",C35*$M$39,C35*$M$38),0)</f>
        <v>851</v>
      </c>
      <c r="H35" s="176">
        <f t="shared" si="8"/>
        <v>0</v>
      </c>
      <c r="I35" s="176">
        <f t="shared" si="9"/>
        <v>0</v>
      </c>
      <c r="J35" s="3530"/>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7"/>
      <c r="AH35" s="2307"/>
      <c r="AI35" s="2307"/>
      <c r="AJ35" s="2307"/>
    </row>
    <row r="36" spans="1:37" ht="13.5" thickBot="1">
      <c r="A36" s="3531"/>
      <c r="B36" s="2196" t="s">
        <v>2693</v>
      </c>
      <c r="C36" s="180">
        <f>ROUND(D5*C19*C20*C24*F36,0)</f>
        <v>3038</v>
      </c>
      <c r="D36" s="2263"/>
      <c r="E36" s="176">
        <f t="shared" si="7"/>
        <v>0</v>
      </c>
      <c r="F36" s="176">
        <f>SUMIF(修正!A45:A56,G2,修正!E45:E56)</f>
        <v>0.25</v>
      </c>
      <c r="G36" s="176">
        <f>ROUND(IF(E2="工业",C36*$M$39,C36*$M$38),0)</f>
        <v>760</v>
      </c>
      <c r="H36" s="176">
        <f t="shared" si="8"/>
        <v>0</v>
      </c>
      <c r="I36" s="176">
        <f t="shared" si="9"/>
        <v>0</v>
      </c>
      <c r="J36" s="3531"/>
      <c r="K36" s="1250"/>
      <c r="L36" s="2150"/>
      <c r="M36" s="2150"/>
      <c r="N36" s="1250"/>
      <c r="O36" s="1250"/>
      <c r="P36" s="1250"/>
      <c r="Q36" s="1250"/>
      <c r="R36" s="1250"/>
      <c r="S36" s="1250"/>
      <c r="T36" s="1250"/>
      <c r="U36" s="1250"/>
      <c r="V36" s="1250"/>
      <c r="W36" s="1250"/>
      <c r="X36" s="1250"/>
      <c r="Y36" s="1250"/>
      <c r="Z36" s="1251"/>
      <c r="AA36" s="1251"/>
      <c r="AB36" s="1251"/>
      <c r="AC36" s="1251"/>
      <c r="AD36" s="1251"/>
      <c r="AE36" s="1251"/>
      <c r="AF36" s="1251"/>
      <c r="AG36" s="2307"/>
      <c r="AH36" s="2307"/>
      <c r="AI36" s="2307"/>
      <c r="AJ36" s="2307"/>
    </row>
    <row r="37" spans="1:37">
      <c r="A37" s="2281"/>
      <c r="B37" s="2196" t="s">
        <v>2694</v>
      </c>
      <c r="C37" s="176">
        <f>ROUND(D5*C19*C20*C24*F37,0)</f>
        <v>3038</v>
      </c>
      <c r="D37" s="2263"/>
      <c r="E37" s="176">
        <f t="shared" si="7"/>
        <v>0</v>
      </c>
      <c r="F37" s="180">
        <f>SUMIF(修正!A45:A56,G2,修正!F45:F56)</f>
        <v>0.25</v>
      </c>
      <c r="G37" s="176">
        <f>ROUND(IF(E2="工业",C37*$M$39,C37*$M$38),0)</f>
        <v>760</v>
      </c>
      <c r="H37" s="176">
        <f t="shared" si="8"/>
        <v>0</v>
      </c>
      <c r="I37" s="176">
        <f t="shared" si="9"/>
        <v>0</v>
      </c>
      <c r="J37" s="2280"/>
      <c r="K37" s="1250"/>
      <c r="L37" s="2282" t="s">
        <v>2695</v>
      </c>
      <c r="M37" s="2283"/>
      <c r="N37" s="1250"/>
      <c r="O37" s="1250"/>
      <c r="P37" s="1250"/>
      <c r="Q37" s="1250"/>
      <c r="R37" s="1250"/>
      <c r="S37" s="1250"/>
      <c r="T37" s="1250"/>
      <c r="U37" s="1250"/>
      <c r="V37" s="1250"/>
      <c r="W37" s="1250"/>
      <c r="X37" s="1250"/>
      <c r="Y37" s="1250"/>
      <c r="Z37" s="1251"/>
      <c r="AA37" s="1251"/>
      <c r="AB37" s="1251"/>
      <c r="AC37" s="1251"/>
      <c r="AD37" s="1251"/>
      <c r="AE37" s="1251"/>
      <c r="AF37" s="1251"/>
      <c r="AG37" s="2307"/>
      <c r="AH37" s="2307"/>
      <c r="AI37" s="2307"/>
      <c r="AJ37" s="2307"/>
    </row>
    <row r="38" spans="1:37">
      <c r="A38" s="2281"/>
      <c r="B38" s="2196" t="s">
        <v>2696</v>
      </c>
      <c r="C38" s="176">
        <f>ROUND(D5*C19*C41*C24*F38,0)</f>
        <v>3038</v>
      </c>
      <c r="D38" s="2263"/>
      <c r="E38" s="176">
        <f t="shared" si="7"/>
        <v>0</v>
      </c>
      <c r="F38" s="180">
        <f>SUMIF(修正!A45:A56,G2,修正!G45:G56)</f>
        <v>0.25</v>
      </c>
      <c r="G38" s="176">
        <f>ROUND(IF(E2="工业",C38*$M$39,C38*$M$38),0)</f>
        <v>760</v>
      </c>
      <c r="H38" s="176">
        <f t="shared" si="8"/>
        <v>0</v>
      </c>
      <c r="I38" s="176">
        <f t="shared" si="9"/>
        <v>0</v>
      </c>
      <c r="J38" s="2280"/>
      <c r="K38" s="1250"/>
      <c r="L38" s="1573" t="s">
        <v>2697</v>
      </c>
      <c r="M38" s="2284">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7"/>
      <c r="B39" s="2285" t="s">
        <v>2698</v>
      </c>
      <c r="C39" s="193">
        <f>ROUND(D5*C19*C41*C24*F39,0)</f>
        <v>2431</v>
      </c>
      <c r="D39" s="2269">
        <f>'数据-基础表'!K13</f>
        <v>2696.73</v>
      </c>
      <c r="E39" s="193">
        <f t="shared" si="7"/>
        <v>656</v>
      </c>
      <c r="F39" s="870">
        <f>SUMIF(修正!A45:A56,G2,修正!H45:H56)</f>
        <v>0.2</v>
      </c>
      <c r="G39" s="193">
        <f>ROUND(IF(E2="工业",C39*$M$39,C39*$M$38),0)</f>
        <v>608</v>
      </c>
      <c r="H39" s="193">
        <f t="shared" si="8"/>
        <v>2696.73</v>
      </c>
      <c r="I39" s="193">
        <f t="shared" si="9"/>
        <v>164</v>
      </c>
      <c r="J39" s="2286"/>
      <c r="K39" s="1250"/>
      <c r="L39" s="2287" t="s">
        <v>2643</v>
      </c>
      <c r="M39" s="2288">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7" t="s">
        <v>2802</v>
      </c>
      <c r="C41" s="348">
        <f>ROUND(POWER(1+E41,H41-G41)*(POWER(1+E41,G41)-1)/(POWER(1+E41,H41)-1),4)</f>
        <v>0.85729999999999995</v>
      </c>
      <c r="D41" s="176" t="s">
        <v>2650</v>
      </c>
      <c r="E41" s="2336">
        <f>G20</f>
        <v>5.1999999999999998E-2</v>
      </c>
      <c r="F41" s="176" t="s">
        <v>2659</v>
      </c>
      <c r="G41" s="189">
        <f>项目基本情况!G15</f>
        <v>30.72</v>
      </c>
      <c r="H41" s="176">
        <v>50</v>
      </c>
      <c r="Z41" s="1251"/>
      <c r="AA41" s="1251"/>
      <c r="AB41" s="1251"/>
      <c r="AC41" s="1251"/>
      <c r="AD41" s="1251"/>
      <c r="AE41" s="1251"/>
      <c r="AF41" s="1251"/>
      <c r="AG41" s="1251"/>
      <c r="AH41" s="1251"/>
      <c r="AI41" s="1251"/>
      <c r="AJ41" s="1251"/>
    </row>
    <row r="42" spans="1:37" s="1250" customFormat="1">
      <c r="A42" s="1251"/>
      <c r="B42" s="2289"/>
      <c r="Z42" s="1251"/>
      <c r="AA42" s="1251"/>
      <c r="AB42" s="1251"/>
      <c r="AC42" s="1251"/>
      <c r="AD42" s="1251"/>
      <c r="AE42" s="1251"/>
      <c r="AF42" s="1251"/>
      <c r="AG42" s="1251"/>
      <c r="AH42" s="1251"/>
      <c r="AI42" s="1251"/>
      <c r="AJ42" s="1251"/>
    </row>
    <row r="43" spans="1:37" s="1250" customFormat="1">
      <c r="A43" s="1251"/>
      <c r="B43" s="2289"/>
      <c r="Z43" s="1251"/>
      <c r="AA43" s="1251"/>
      <c r="AB43" s="1251"/>
      <c r="AC43" s="1251"/>
      <c r="AD43" s="1251"/>
      <c r="AE43" s="1251"/>
      <c r="AF43" s="1251"/>
      <c r="AG43" s="1251"/>
      <c r="AH43" s="1251"/>
      <c r="AI43" s="1251"/>
      <c r="AJ43" s="1251"/>
    </row>
    <row r="44" spans="1:37" s="1250" customFormat="1">
      <c r="A44" s="1251"/>
      <c r="B44" s="2289"/>
      <c r="Z44" s="1251"/>
      <c r="AA44" s="1251"/>
      <c r="AB44" s="1251"/>
      <c r="AC44" s="1251"/>
      <c r="AD44" s="1251"/>
      <c r="AE44" s="1251"/>
      <c r="AF44" s="1251"/>
      <c r="AG44" s="1251"/>
      <c r="AH44" s="1251"/>
      <c r="AI44" s="1251"/>
      <c r="AJ44" s="1251"/>
    </row>
    <row r="45" spans="1:37" s="1250" customFormat="1" ht="15.75" thickBot="1">
      <c r="A45" s="2290" t="s">
        <v>2699</v>
      </c>
      <c r="B45" s="2291"/>
      <c r="C45" s="7"/>
      <c r="D45" s="7"/>
      <c r="E45" s="7"/>
      <c r="F45" s="6"/>
      <c r="G45" s="6"/>
      <c r="H45" s="6"/>
      <c r="I45" s="1975"/>
      <c r="J45" s="1975"/>
      <c r="K45" s="1975"/>
      <c r="L45" s="1975"/>
      <c r="M45" s="1975"/>
      <c r="Z45" s="1251"/>
      <c r="AA45" s="1251"/>
      <c r="AB45" s="1251"/>
      <c r="AC45" s="1251"/>
      <c r="AD45" s="1251"/>
      <c r="AE45" s="1251"/>
      <c r="AF45" s="1251"/>
      <c r="AG45" s="1251"/>
      <c r="AH45" s="1251"/>
      <c r="AI45" s="1251"/>
      <c r="AJ45" s="1251"/>
    </row>
    <row r="46" spans="1:37" s="1250" customFormat="1" ht="15">
      <c r="A46" s="2292" t="s">
        <v>2700</v>
      </c>
      <c r="B46" s="2293">
        <f>1+E48</f>
        <v>1</v>
      </c>
      <c r="C46" s="2294"/>
      <c r="D46" s="752"/>
      <c r="E46" s="753"/>
      <c r="F46" s="2295"/>
      <c r="G46" s="6"/>
      <c r="H46" s="7"/>
      <c r="I46" s="1975"/>
      <c r="J46" s="1975"/>
      <c r="K46" s="1975"/>
      <c r="L46" s="1975"/>
      <c r="M46" s="1975"/>
      <c r="Z46" s="1251"/>
      <c r="AA46" s="1251"/>
      <c r="AB46" s="1251"/>
      <c r="AC46" s="1251"/>
      <c r="AD46" s="1251"/>
      <c r="AE46" s="1251"/>
      <c r="AF46" s="1251"/>
      <c r="AG46" s="1251"/>
      <c r="AH46" s="1251"/>
      <c r="AI46" s="1251"/>
      <c r="AJ46" s="1251"/>
    </row>
    <row r="47" spans="1:37" s="1250" customFormat="1" ht="24.75">
      <c r="A47" s="2296" t="s">
        <v>2701</v>
      </c>
      <c r="B47" s="1503" t="s">
        <v>2702</v>
      </c>
      <c r="C47" s="1503" t="s">
        <v>2703</v>
      </c>
      <c r="D47" s="1503" t="s">
        <v>2704</v>
      </c>
      <c r="E47" s="757" t="s">
        <v>2705</v>
      </c>
      <c r="F47" s="2297" t="s">
        <v>2706</v>
      </c>
      <c r="G47" s="1503" t="s">
        <v>754</v>
      </c>
      <c r="H47" s="2298" t="s">
        <v>2707</v>
      </c>
      <c r="I47" s="1503" t="s">
        <v>2708</v>
      </c>
      <c r="J47" s="560" t="s">
        <v>2358</v>
      </c>
      <c r="K47" s="560" t="s">
        <v>2359</v>
      </c>
      <c r="L47" s="560" t="s">
        <v>2360</v>
      </c>
      <c r="M47" s="560" t="s">
        <v>2361</v>
      </c>
      <c r="N47" s="560" t="s">
        <v>2362</v>
      </c>
      <c r="AA47" s="1251"/>
      <c r="AB47" s="1251"/>
      <c r="AC47" s="1251"/>
      <c r="AD47" s="1251"/>
      <c r="AE47" s="1251"/>
      <c r="AF47" s="1251"/>
      <c r="AG47" s="1251"/>
      <c r="AH47" s="1251"/>
      <c r="AI47" s="1251"/>
      <c r="AJ47" s="1251"/>
      <c r="AK47" s="1251"/>
    </row>
    <row r="48" spans="1:37" s="1250" customFormat="1" ht="38.25">
      <c r="A48" s="2296" t="s">
        <v>2709</v>
      </c>
      <c r="B48" s="2299" t="str">
        <f>估价对象房地状况!C4</f>
        <v>估价对象位于XX商圈，周边商业氛围成熟，人流量大，商业繁华度好</v>
      </c>
      <c r="C48" s="2201"/>
      <c r="D48" s="1194">
        <f t="shared" ref="D48:D56" si="10">SUMIF($J$47:$N$47,C48,J48:N48)</f>
        <v>0</v>
      </c>
      <c r="E48" s="759">
        <f>ROUND(SUM(D48:D56),4)</f>
        <v>0</v>
      </c>
      <c r="F48" s="1968"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6" t="s">
        <v>2710</v>
      </c>
      <c r="B49" s="2300" t="str">
        <f>估价对象房地状况!C18</f>
        <v>估价对象周边道路状况、公共交通通达情况、停车便捷程度，综合评价交通便捷度较好</v>
      </c>
      <c r="C49" s="2201"/>
      <c r="D49" s="1194">
        <f t="shared" si="10"/>
        <v>0</v>
      </c>
      <c r="E49" s="760"/>
      <c r="F49" s="1968"/>
      <c r="G49" s="1192"/>
      <c r="H49" s="1196" t="str">
        <f t="shared" si="11"/>
        <v>——</v>
      </c>
      <c r="I49" s="758">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6" t="s">
        <v>2711</v>
      </c>
      <c r="B50" s="2300">
        <f>估价对象房地状况!C19</f>
        <v>0</v>
      </c>
      <c r="C50" s="2201"/>
      <c r="D50" s="1194">
        <f t="shared" si="10"/>
        <v>0</v>
      </c>
      <c r="E50" s="760"/>
      <c r="F50" s="1968"/>
      <c r="G50" s="1192"/>
      <c r="H50" s="1196" t="str">
        <f t="shared" si="11"/>
        <v>——</v>
      </c>
      <c r="I50" s="758">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6" t="s">
        <v>2712</v>
      </c>
      <c r="B51" s="2301" t="s">
        <v>2713</v>
      </c>
      <c r="C51" s="2201"/>
      <c r="D51" s="1194">
        <f t="shared" si="10"/>
        <v>0</v>
      </c>
      <c r="E51" s="760"/>
      <c r="F51" s="1968"/>
      <c r="G51" s="1192"/>
      <c r="H51" s="1196" t="str">
        <f t="shared" si="11"/>
        <v>——</v>
      </c>
      <c r="I51" s="758">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6" t="s">
        <v>2714</v>
      </c>
      <c r="B52" s="2300">
        <f>估价对象房地状况!C24</f>
        <v>0</v>
      </c>
      <c r="C52" s="2201"/>
      <c r="D52" s="1194">
        <f t="shared" si="10"/>
        <v>0</v>
      </c>
      <c r="E52" s="760"/>
      <c r="F52" s="1968"/>
      <c r="G52" s="1192"/>
      <c r="H52" s="1196" t="str">
        <f t="shared" si="11"/>
        <v>——</v>
      </c>
      <c r="I52" s="758">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6" t="s">
        <v>2715</v>
      </c>
      <c r="B53" s="2302" t="s">
        <v>2716</v>
      </c>
      <c r="C53" s="2201"/>
      <c r="D53" s="1194">
        <f t="shared" si="10"/>
        <v>0</v>
      </c>
      <c r="E53" s="760"/>
      <c r="F53" s="1968"/>
      <c r="G53" s="1192"/>
      <c r="H53" s="1196" t="str">
        <f t="shared" si="11"/>
        <v>——</v>
      </c>
      <c r="I53" s="758">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3" t="s">
        <v>2717</v>
      </c>
      <c r="B54" s="1464" t="str">
        <f>估价对象房地状况!C21</f>
        <v>估价对象所在区域公共配套设施齐备情况</v>
      </c>
      <c r="C54" s="2201"/>
      <c r="D54" s="1194">
        <f t="shared" si="10"/>
        <v>0</v>
      </c>
      <c r="E54" s="760"/>
      <c r="F54" s="1968"/>
      <c r="G54" s="1192"/>
      <c r="H54" s="1196" t="str">
        <f t="shared" si="11"/>
        <v>——</v>
      </c>
      <c r="I54" s="758">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3" t="s">
        <v>2718</v>
      </c>
      <c r="B55" s="2300" t="str">
        <f>估价对象房地状况!C22</f>
        <v>估价对象所在区域基础设施水平</v>
      </c>
      <c r="C55" s="2201"/>
      <c r="D55" s="1194">
        <f t="shared" si="10"/>
        <v>0</v>
      </c>
      <c r="E55" s="760"/>
      <c r="F55" s="1968"/>
      <c r="G55" s="1192"/>
      <c r="H55" s="1196" t="str">
        <f t="shared" si="11"/>
        <v>——</v>
      </c>
      <c r="I55" s="758">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4" t="s">
        <v>2719</v>
      </c>
      <c r="B56" s="2305" t="str">
        <f>估价对象房地状况!C20</f>
        <v>区域自然环境：；人文环境；综合评价环境状况一般</v>
      </c>
      <c r="C56" s="2201"/>
      <c r="D56" s="1194">
        <f t="shared" si="10"/>
        <v>0</v>
      </c>
      <c r="E56" s="763"/>
      <c r="F56" s="1968"/>
      <c r="G56" s="1192"/>
      <c r="H56" s="1196" t="str">
        <f t="shared" si="11"/>
        <v>——</v>
      </c>
      <c r="I56" s="762">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2" t="s">
        <v>2720</v>
      </c>
      <c r="B57" s="2293">
        <f>1+E59</f>
        <v>1.0669999999999999</v>
      </c>
      <c r="C57" s="752"/>
      <c r="D57" s="752"/>
      <c r="E57" s="753"/>
      <c r="F57" s="2295"/>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6" t="s">
        <v>2701</v>
      </c>
      <c r="B58" s="1503"/>
      <c r="C58" s="1503" t="s">
        <v>2703</v>
      </c>
      <c r="D58" s="1503" t="s">
        <v>2704</v>
      </c>
      <c r="E58" s="757" t="s">
        <v>2705</v>
      </c>
      <c r="F58" s="2297" t="s">
        <v>2721</v>
      </c>
      <c r="G58" s="1503" t="s">
        <v>754</v>
      </c>
      <c r="H58" s="2298" t="s">
        <v>2707</v>
      </c>
      <c r="I58" s="1503" t="s">
        <v>2708</v>
      </c>
      <c r="J58" s="560" t="s">
        <v>2358</v>
      </c>
      <c r="K58" s="560" t="s">
        <v>2359</v>
      </c>
      <c r="L58" s="560" t="s">
        <v>2360</v>
      </c>
      <c r="M58" s="560" t="s">
        <v>2361</v>
      </c>
      <c r="N58" s="560" t="s">
        <v>2362</v>
      </c>
      <c r="AA58" s="1251"/>
      <c r="AB58" s="1251"/>
      <c r="AC58" s="1251"/>
      <c r="AD58" s="1251"/>
      <c r="AE58" s="1251"/>
      <c r="AF58" s="1251"/>
      <c r="AG58" s="1251"/>
      <c r="AH58" s="1251"/>
      <c r="AI58" s="1251"/>
      <c r="AJ58" s="1251"/>
      <c r="AK58" s="1251"/>
    </row>
    <row r="59" spans="1:37" s="1250" customFormat="1" ht="38.25">
      <c r="A59" s="2296" t="s">
        <v>2722</v>
      </c>
      <c r="B59" s="2299" t="str">
        <f>估价对象房地状况!C17</f>
        <v>估价对象位于XX商圈，周边办公楼项目较多，入驻率高，办公集聚程度较好</v>
      </c>
      <c r="C59" s="2201" t="s">
        <v>3159</v>
      </c>
      <c r="D59" s="1194">
        <f t="shared" ref="D59:D67" si="15">SUMIF($J$58:$N$58,C59,J59:N59)</f>
        <v>1.5100000000000001E-2</v>
      </c>
      <c r="E59" s="759">
        <f>ROUND(SUM(D59:D67),4)</f>
        <v>6.7000000000000004E-2</v>
      </c>
      <c r="F59" s="1968">
        <f>IF(E2="办公",SUMIF(L1:L12,G2,N1:N12),"——")</f>
        <v>0.126</v>
      </c>
      <c r="G59" s="1192">
        <f>H59</f>
        <v>1.5100000000000001E-2</v>
      </c>
      <c r="H59" s="1196">
        <f t="shared" ref="H59:H67" si="16">IFERROR(ROUNDDOWN($F$59*I59/2,4),"——")</f>
        <v>1.5100000000000001E-2</v>
      </c>
      <c r="I59" s="758">
        <v>0.24</v>
      </c>
      <c r="J59" s="1193">
        <f t="shared" ref="J59:J67" si="17">K59+$G59</f>
        <v>3.0200000000000001E-2</v>
      </c>
      <c r="K59" s="1193">
        <f t="shared" ref="K59:K67" si="18">$L59+$G59</f>
        <v>1.5100000000000001E-2</v>
      </c>
      <c r="L59" s="1193">
        <v>0</v>
      </c>
      <c r="M59" s="1193">
        <f t="shared" ref="M59:N67" si="19">L59-$G59</f>
        <v>-1.5100000000000001E-2</v>
      </c>
      <c r="N59" s="1193">
        <f t="shared" si="19"/>
        <v>-3.0200000000000001E-2</v>
      </c>
      <c r="AA59" s="1251"/>
      <c r="AB59" s="1251"/>
      <c r="AC59" s="1251"/>
      <c r="AD59" s="1251"/>
      <c r="AE59" s="1251"/>
      <c r="AF59" s="1251"/>
      <c r="AG59" s="1251"/>
      <c r="AH59" s="1251"/>
      <c r="AI59" s="1251"/>
      <c r="AJ59" s="1251"/>
      <c r="AK59" s="1251"/>
    </row>
    <row r="60" spans="1:37" s="1250" customFormat="1" ht="51">
      <c r="A60" s="2296" t="s">
        <v>2710</v>
      </c>
      <c r="B60" s="2300" t="str">
        <f>估价对象房地状况!C18</f>
        <v>估价对象周边道路状况、公共交通通达情况、停车便捷程度，综合评价交通便捷度较好</v>
      </c>
      <c r="C60" s="2201" t="s">
        <v>3159</v>
      </c>
      <c r="D60" s="1194">
        <f t="shared" si="15"/>
        <v>1.89E-2</v>
      </c>
      <c r="E60" s="760"/>
      <c r="F60" s="1968"/>
      <c r="G60" s="1192">
        <f t="shared" ref="G60:G67" si="20">H60</f>
        <v>1.89E-2</v>
      </c>
      <c r="H60" s="1196">
        <f t="shared" si="16"/>
        <v>1.89E-2</v>
      </c>
      <c r="I60" s="758">
        <v>0.3</v>
      </c>
      <c r="J60" s="1193">
        <f t="shared" si="17"/>
        <v>3.78E-2</v>
      </c>
      <c r="K60" s="1193">
        <f t="shared" si="18"/>
        <v>1.89E-2</v>
      </c>
      <c r="L60" s="1193">
        <v>0</v>
      </c>
      <c r="M60" s="1193">
        <f t="shared" si="19"/>
        <v>-1.89E-2</v>
      </c>
      <c r="N60" s="1193">
        <f t="shared" si="19"/>
        <v>-3.78E-2</v>
      </c>
      <c r="AA60" s="1251"/>
      <c r="AB60" s="1251"/>
      <c r="AC60" s="1251"/>
      <c r="AD60" s="1251"/>
      <c r="AE60" s="1251"/>
      <c r="AF60" s="1251"/>
      <c r="AG60" s="1251"/>
      <c r="AH60" s="1251"/>
      <c r="AI60" s="1251"/>
      <c r="AJ60" s="1251"/>
      <c r="AK60" s="1251"/>
    </row>
    <row r="61" spans="1:37" s="1250" customFormat="1" ht="24">
      <c r="A61" s="2296" t="s">
        <v>2711</v>
      </c>
      <c r="B61" s="2300">
        <f>估价对象房地状况!C19</f>
        <v>0</v>
      </c>
      <c r="C61" s="2201" t="s">
        <v>3159</v>
      </c>
      <c r="D61" s="1194">
        <f t="shared" si="15"/>
        <v>5.0000000000000001E-3</v>
      </c>
      <c r="E61" s="760"/>
      <c r="F61" s="1968"/>
      <c r="G61" s="1192">
        <f t="shared" si="20"/>
        <v>5.0000000000000001E-3</v>
      </c>
      <c r="H61" s="1196">
        <f t="shared" si="16"/>
        <v>5.0000000000000001E-3</v>
      </c>
      <c r="I61" s="758">
        <v>0.08</v>
      </c>
      <c r="J61" s="1193">
        <f t="shared" si="17"/>
        <v>0.01</v>
      </c>
      <c r="K61" s="1193">
        <f t="shared" si="18"/>
        <v>5.0000000000000001E-3</v>
      </c>
      <c r="L61" s="1193">
        <v>0</v>
      </c>
      <c r="M61" s="1193">
        <f t="shared" si="19"/>
        <v>-5.0000000000000001E-3</v>
      </c>
      <c r="N61" s="1193">
        <f t="shared" si="19"/>
        <v>-0.01</v>
      </c>
      <c r="AA61" s="1251"/>
      <c r="AB61" s="1251"/>
      <c r="AC61" s="1251"/>
      <c r="AD61" s="1251"/>
      <c r="AE61" s="1251"/>
      <c r="AF61" s="1251"/>
      <c r="AG61" s="1251"/>
      <c r="AH61" s="1251"/>
      <c r="AI61" s="1251"/>
      <c r="AJ61" s="1251"/>
      <c r="AK61" s="1251"/>
    </row>
    <row r="62" spans="1:37" s="1250" customFormat="1" ht="36.75">
      <c r="A62" s="2296" t="s">
        <v>2712</v>
      </c>
      <c r="B62" s="2301" t="s">
        <v>2713</v>
      </c>
      <c r="C62" s="2201" t="s">
        <v>3159</v>
      </c>
      <c r="D62" s="1194">
        <f t="shared" si="15"/>
        <v>2.5000000000000001E-3</v>
      </c>
      <c r="E62" s="760"/>
      <c r="F62" s="1968"/>
      <c r="G62" s="1192">
        <f t="shared" si="20"/>
        <v>2.5000000000000001E-3</v>
      </c>
      <c r="H62" s="1196">
        <f t="shared" si="16"/>
        <v>2.5000000000000001E-3</v>
      </c>
      <c r="I62" s="758">
        <v>0.04</v>
      </c>
      <c r="J62" s="1193">
        <f t="shared" si="17"/>
        <v>5.0000000000000001E-3</v>
      </c>
      <c r="K62" s="1193">
        <f t="shared" si="18"/>
        <v>2.5000000000000001E-3</v>
      </c>
      <c r="L62" s="1193">
        <v>0</v>
      </c>
      <c r="M62" s="1193">
        <f t="shared" si="19"/>
        <v>-2.5000000000000001E-3</v>
      </c>
      <c r="N62" s="1193">
        <f t="shared" si="19"/>
        <v>-5.0000000000000001E-3</v>
      </c>
      <c r="AA62" s="1251"/>
      <c r="AB62" s="1251"/>
      <c r="AC62" s="1251"/>
      <c r="AD62" s="1251"/>
      <c r="AE62" s="1251"/>
      <c r="AF62" s="1251"/>
      <c r="AG62" s="1251"/>
      <c r="AH62" s="1251"/>
      <c r="AI62" s="1251"/>
      <c r="AJ62" s="1251"/>
      <c r="AK62" s="1251"/>
    </row>
    <row r="63" spans="1:37" s="1250" customFormat="1" ht="24">
      <c r="A63" s="2296" t="s">
        <v>2714</v>
      </c>
      <c r="B63" s="2300">
        <f>估价对象房地状况!C24</f>
        <v>0</v>
      </c>
      <c r="C63" s="2201" t="s">
        <v>3160</v>
      </c>
      <c r="D63" s="1194">
        <f t="shared" si="15"/>
        <v>0</v>
      </c>
      <c r="E63" s="760"/>
      <c r="F63" s="1968"/>
      <c r="G63" s="1192">
        <f t="shared" si="20"/>
        <v>3.0999999999999999E-3</v>
      </c>
      <c r="H63" s="1196">
        <f t="shared" si="16"/>
        <v>3.0999999999999999E-3</v>
      </c>
      <c r="I63" s="758">
        <v>0.05</v>
      </c>
      <c r="J63" s="1193">
        <f t="shared" si="17"/>
        <v>6.1999999999999998E-3</v>
      </c>
      <c r="K63" s="1193">
        <f t="shared" si="18"/>
        <v>3.0999999999999999E-3</v>
      </c>
      <c r="L63" s="1193">
        <v>0</v>
      </c>
      <c r="M63" s="1193">
        <f t="shared" si="19"/>
        <v>-3.0999999999999999E-3</v>
      </c>
      <c r="N63" s="1193">
        <f t="shared" si="19"/>
        <v>-6.1999999999999998E-3</v>
      </c>
      <c r="AA63" s="1251"/>
      <c r="AB63" s="1251"/>
      <c r="AC63" s="1251"/>
      <c r="AD63" s="1251"/>
      <c r="AE63" s="1251"/>
      <c r="AF63" s="1251"/>
      <c r="AG63" s="1251"/>
      <c r="AH63" s="1251"/>
      <c r="AI63" s="1251"/>
      <c r="AJ63" s="1251"/>
      <c r="AK63" s="1251"/>
    </row>
    <row r="64" spans="1:37" s="1250" customFormat="1" ht="24">
      <c r="A64" s="2296" t="s">
        <v>2715</v>
      </c>
      <c r="B64" s="2302" t="s">
        <v>2716</v>
      </c>
      <c r="C64" s="2201" t="s">
        <v>3159</v>
      </c>
      <c r="D64" s="1194">
        <f t="shared" si="15"/>
        <v>3.0999999999999999E-3</v>
      </c>
      <c r="E64" s="760"/>
      <c r="F64" s="1968"/>
      <c r="G64" s="1192">
        <f t="shared" si="20"/>
        <v>3.0999999999999999E-3</v>
      </c>
      <c r="H64" s="1196">
        <f t="shared" si="16"/>
        <v>3.0999999999999999E-3</v>
      </c>
      <c r="I64" s="758">
        <v>0.05</v>
      </c>
      <c r="J64" s="1193">
        <f t="shared" si="17"/>
        <v>6.1999999999999998E-3</v>
      </c>
      <c r="K64" s="1193">
        <f t="shared" si="18"/>
        <v>3.0999999999999999E-3</v>
      </c>
      <c r="L64" s="1193">
        <v>0</v>
      </c>
      <c r="M64" s="1193">
        <f t="shared" si="19"/>
        <v>-3.0999999999999999E-3</v>
      </c>
      <c r="N64" s="1193">
        <f t="shared" si="19"/>
        <v>-6.1999999999999998E-3</v>
      </c>
      <c r="AA64" s="1251"/>
      <c r="AB64" s="1251"/>
      <c r="AC64" s="1251"/>
      <c r="AD64" s="1251"/>
      <c r="AE64" s="1251"/>
      <c r="AF64" s="1251"/>
      <c r="AG64" s="1251"/>
      <c r="AH64" s="1251"/>
      <c r="AI64" s="1251"/>
      <c r="AJ64" s="1251"/>
      <c r="AK64" s="1251"/>
    </row>
    <row r="65" spans="1:37" s="1250" customFormat="1" ht="25.5">
      <c r="A65" s="2296" t="s">
        <v>2717</v>
      </c>
      <c r="B65" s="1464" t="str">
        <f>估价对象房地状况!C21</f>
        <v>估价对象所在区域公共配套设施齐备情况</v>
      </c>
      <c r="C65" s="2201" t="s">
        <v>3159</v>
      </c>
      <c r="D65" s="1194">
        <f t="shared" si="15"/>
        <v>3.7000000000000002E-3</v>
      </c>
      <c r="E65" s="760"/>
      <c r="F65" s="1968"/>
      <c r="G65" s="1192">
        <f t="shared" si="20"/>
        <v>3.7000000000000002E-3</v>
      </c>
      <c r="H65" s="1196">
        <f t="shared" si="16"/>
        <v>3.7000000000000002E-3</v>
      </c>
      <c r="I65" s="758">
        <v>0.06</v>
      </c>
      <c r="J65" s="1193">
        <f t="shared" si="17"/>
        <v>7.4000000000000003E-3</v>
      </c>
      <c r="K65" s="1193">
        <f t="shared" si="18"/>
        <v>3.7000000000000002E-3</v>
      </c>
      <c r="L65" s="1193">
        <v>0</v>
      </c>
      <c r="M65" s="1193">
        <f t="shared" si="19"/>
        <v>-3.7000000000000002E-3</v>
      </c>
      <c r="N65" s="1193">
        <f t="shared" si="19"/>
        <v>-7.4000000000000003E-3</v>
      </c>
      <c r="AA65" s="1251"/>
      <c r="AB65" s="1251"/>
      <c r="AC65" s="1251"/>
      <c r="AD65" s="1251"/>
      <c r="AE65" s="1251"/>
      <c r="AF65" s="1251"/>
      <c r="AG65" s="1251"/>
      <c r="AH65" s="1251"/>
      <c r="AI65" s="1251"/>
      <c r="AJ65" s="1251"/>
      <c r="AK65" s="1251"/>
    </row>
    <row r="66" spans="1:37" s="1250" customFormat="1" ht="25.5">
      <c r="A66" s="2296" t="s">
        <v>2718</v>
      </c>
      <c r="B66" s="1464" t="str">
        <f>估价对象房地状况!C22</f>
        <v>估价对象所在区域基础设施水平</v>
      </c>
      <c r="C66" s="2201" t="s">
        <v>3161</v>
      </c>
      <c r="D66" s="1194">
        <f t="shared" si="15"/>
        <v>1.4999999999999999E-2</v>
      </c>
      <c r="E66" s="760"/>
      <c r="F66" s="1968"/>
      <c r="G66" s="1192">
        <f t="shared" si="20"/>
        <v>7.4999999999999997E-3</v>
      </c>
      <c r="H66" s="1196">
        <f t="shared" si="16"/>
        <v>7.4999999999999997E-3</v>
      </c>
      <c r="I66" s="758">
        <v>0.12</v>
      </c>
      <c r="J66" s="1193">
        <f t="shared" si="17"/>
        <v>1.4999999999999999E-2</v>
      </c>
      <c r="K66" s="1193">
        <f t="shared" si="18"/>
        <v>7.4999999999999997E-3</v>
      </c>
      <c r="L66" s="1193">
        <v>0</v>
      </c>
      <c r="M66" s="1193">
        <f t="shared" si="19"/>
        <v>-7.4999999999999997E-3</v>
      </c>
      <c r="N66" s="1193">
        <f t="shared" si="19"/>
        <v>-1.4999999999999999E-2</v>
      </c>
      <c r="AA66" s="1251"/>
      <c r="AB66" s="1251"/>
      <c r="AC66" s="1251"/>
      <c r="AD66" s="1251"/>
      <c r="AE66" s="1251"/>
      <c r="AF66" s="1251"/>
      <c r="AG66" s="1251"/>
      <c r="AH66" s="1251"/>
      <c r="AI66" s="1251"/>
      <c r="AJ66" s="1251"/>
      <c r="AK66" s="1251"/>
    </row>
    <row r="67" spans="1:37" s="1250" customFormat="1" ht="39" thickBot="1">
      <c r="A67" s="2304" t="s">
        <v>2719</v>
      </c>
      <c r="B67" s="2306" t="str">
        <f>估价对象房地状况!C20</f>
        <v>区域自然环境：；人文环境；综合评价环境状况一般</v>
      </c>
      <c r="C67" s="2201" t="s">
        <v>3159</v>
      </c>
      <c r="D67" s="1194">
        <f t="shared" si="15"/>
        <v>3.7000000000000002E-3</v>
      </c>
      <c r="E67" s="763"/>
      <c r="F67" s="1968"/>
      <c r="G67" s="1192">
        <f t="shared" si="20"/>
        <v>3.7000000000000002E-3</v>
      </c>
      <c r="H67" s="1196">
        <f t="shared" si="16"/>
        <v>3.7000000000000002E-3</v>
      </c>
      <c r="I67" s="762">
        <v>0.06</v>
      </c>
      <c r="J67" s="1193">
        <f t="shared" si="17"/>
        <v>7.4000000000000003E-3</v>
      </c>
      <c r="K67" s="1193">
        <f t="shared" si="18"/>
        <v>3.7000000000000002E-3</v>
      </c>
      <c r="L67" s="1193">
        <v>0</v>
      </c>
      <c r="M67" s="1193">
        <f t="shared" si="19"/>
        <v>-3.7000000000000002E-3</v>
      </c>
      <c r="N67" s="1193">
        <f t="shared" si="19"/>
        <v>-7.4000000000000003E-3</v>
      </c>
      <c r="AA67" s="1251"/>
      <c r="AB67" s="1251"/>
      <c r="AC67" s="1251"/>
      <c r="AD67" s="1251"/>
      <c r="AE67" s="1251"/>
      <c r="AF67" s="1251"/>
      <c r="AG67" s="1251"/>
      <c r="AH67" s="1251"/>
      <c r="AI67" s="1251"/>
      <c r="AJ67" s="1251"/>
      <c r="AK67" s="1251"/>
    </row>
    <row r="68" spans="1:37" s="1250" customFormat="1" ht="15">
      <c r="A68" s="2292" t="s">
        <v>2723</v>
      </c>
      <c r="B68" s="2293">
        <f>1+E70</f>
        <v>1</v>
      </c>
      <c r="C68" s="752"/>
      <c r="D68" s="752"/>
      <c r="E68" s="753"/>
      <c r="F68" s="2295"/>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6" t="s">
        <v>2701</v>
      </c>
      <c r="B69" s="1503"/>
      <c r="C69" s="1503" t="s">
        <v>2703</v>
      </c>
      <c r="D69" s="1503" t="s">
        <v>2704</v>
      </c>
      <c r="E69" s="757" t="s">
        <v>2705</v>
      </c>
      <c r="F69" s="2297" t="s">
        <v>2721</v>
      </c>
      <c r="G69" s="1503" t="s">
        <v>754</v>
      </c>
      <c r="H69" s="2298" t="s">
        <v>2707</v>
      </c>
      <c r="I69" s="1503" t="s">
        <v>2708</v>
      </c>
      <c r="J69" s="560" t="s">
        <v>2358</v>
      </c>
      <c r="K69" s="560" t="s">
        <v>2359</v>
      </c>
      <c r="L69" s="560" t="s">
        <v>2360</v>
      </c>
      <c r="M69" s="560" t="s">
        <v>2361</v>
      </c>
      <c r="N69" s="560" t="s">
        <v>2362</v>
      </c>
      <c r="AA69" s="1251"/>
      <c r="AB69" s="1251"/>
      <c r="AC69" s="1251"/>
      <c r="AD69" s="1251"/>
      <c r="AE69" s="1251"/>
      <c r="AF69" s="1251"/>
      <c r="AG69" s="1251"/>
      <c r="AH69" s="1251"/>
      <c r="AI69" s="1251"/>
      <c r="AJ69" s="1251"/>
      <c r="AK69" s="1251"/>
    </row>
    <row r="70" spans="1:37" s="1250" customFormat="1" ht="51">
      <c r="A70" s="2296" t="s">
        <v>2724</v>
      </c>
      <c r="B70" s="2299" t="str">
        <f>估价对象房地状况!C15</f>
        <v>估价对象周边居住用地比例、居住小区规模和社区发展完善程度，综合评价居住社区成熟度一般</v>
      </c>
      <c r="C70" s="2201"/>
      <c r="D70" s="1194">
        <f t="shared" ref="D70:D78" si="21">SUMIF($J$69:$N$69,C70,J70:N70)</f>
        <v>0</v>
      </c>
      <c r="E70" s="759">
        <f>ROUND(SUM(D70:D78),4)</f>
        <v>0</v>
      </c>
      <c r="F70" s="1968" t="str">
        <f>IF(E2="住宅",SUMIF(L1:L12,G2,N1:N12),"——")</f>
        <v>——</v>
      </c>
      <c r="G70" s="1192"/>
      <c r="H70" s="1196" t="str">
        <f t="shared" ref="H70:H78" si="22">IFERROR(ROUNDDOWN($F$70*I70/2,4),"——")</f>
        <v>——</v>
      </c>
      <c r="I70" s="758">
        <v>0.14000000000000001</v>
      </c>
      <c r="J70" s="1193">
        <f t="shared" ref="J70:J78" si="23">K70+$G70</f>
        <v>0</v>
      </c>
      <c r="K70" s="1193">
        <f t="shared" ref="K70:K78" si="24">$L70+$G70</f>
        <v>0</v>
      </c>
      <c r="L70" s="1193">
        <v>0</v>
      </c>
      <c r="M70" s="1193">
        <f t="shared" ref="M70:N78" si="25">L70-$G70</f>
        <v>0</v>
      </c>
      <c r="N70" s="1193">
        <f t="shared" si="25"/>
        <v>0</v>
      </c>
      <c r="AA70" s="1251"/>
      <c r="AB70" s="1251"/>
      <c r="AC70" s="1251"/>
      <c r="AD70" s="1251"/>
      <c r="AE70" s="1251"/>
      <c r="AF70" s="1251"/>
      <c r="AG70" s="1251"/>
      <c r="AH70" s="1251"/>
      <c r="AI70" s="1251"/>
      <c r="AJ70" s="1251"/>
      <c r="AK70" s="1251"/>
    </row>
    <row r="71" spans="1:37" s="1250" customFormat="1" ht="51">
      <c r="A71" s="2296" t="s">
        <v>2710</v>
      </c>
      <c r="B71" s="2300" t="str">
        <f>估价对象房地状况!C18</f>
        <v>估价对象周边道路状况、公共交通通达情况、停车便捷程度，综合评价交通便捷度较好</v>
      </c>
      <c r="C71" s="2201"/>
      <c r="D71" s="1194">
        <f t="shared" si="21"/>
        <v>0</v>
      </c>
      <c r="E71" s="764"/>
      <c r="F71" s="1968"/>
      <c r="G71" s="1192"/>
      <c r="H71" s="1196" t="str">
        <f t="shared" si="22"/>
        <v>——</v>
      </c>
      <c r="I71" s="758">
        <v>0.3</v>
      </c>
      <c r="J71" s="1193">
        <f t="shared" si="23"/>
        <v>0</v>
      </c>
      <c r="K71" s="1193">
        <f t="shared" si="24"/>
        <v>0</v>
      </c>
      <c r="L71" s="1193">
        <v>0</v>
      </c>
      <c r="M71" s="1193">
        <f t="shared" si="25"/>
        <v>0</v>
      </c>
      <c r="N71" s="1193">
        <f t="shared" si="25"/>
        <v>0</v>
      </c>
      <c r="AA71" s="1251"/>
      <c r="AB71" s="1251"/>
      <c r="AC71" s="1251"/>
      <c r="AD71" s="1251"/>
      <c r="AE71" s="1251"/>
      <c r="AF71" s="1251"/>
      <c r="AG71" s="1251"/>
      <c r="AH71" s="1251"/>
      <c r="AI71" s="1251"/>
      <c r="AJ71" s="1251"/>
      <c r="AK71" s="1251"/>
    </row>
    <row r="72" spans="1:37" s="1250" customFormat="1" ht="24">
      <c r="A72" s="2296" t="s">
        <v>2711</v>
      </c>
      <c r="B72" s="2300">
        <f>估价对象房地状况!C19</f>
        <v>0</v>
      </c>
      <c r="C72" s="2201"/>
      <c r="D72" s="1194">
        <f t="shared" si="21"/>
        <v>0</v>
      </c>
      <c r="E72" s="764"/>
      <c r="F72" s="1968"/>
      <c r="G72" s="1192"/>
      <c r="H72" s="1196" t="str">
        <f t="shared" si="22"/>
        <v>——</v>
      </c>
      <c r="I72" s="758">
        <v>0.08</v>
      </c>
      <c r="J72" s="1193">
        <f t="shared" si="23"/>
        <v>0</v>
      </c>
      <c r="K72" s="1193">
        <f t="shared" si="24"/>
        <v>0</v>
      </c>
      <c r="L72" s="1193">
        <v>0</v>
      </c>
      <c r="M72" s="1193">
        <f t="shared" si="25"/>
        <v>0</v>
      </c>
      <c r="N72" s="1193">
        <f t="shared" si="25"/>
        <v>0</v>
      </c>
      <c r="AA72" s="1251"/>
      <c r="AB72" s="1251"/>
      <c r="AC72" s="1251"/>
      <c r="AD72" s="1251"/>
      <c r="AE72" s="1251"/>
      <c r="AF72" s="1251"/>
      <c r="AG72" s="1251"/>
      <c r="AH72" s="1251"/>
      <c r="AI72" s="1251"/>
      <c r="AJ72" s="1251"/>
      <c r="AK72" s="1251"/>
    </row>
    <row r="73" spans="1:37" s="1250" customFormat="1" ht="14.25">
      <c r="A73" s="2296" t="s">
        <v>2725</v>
      </c>
      <c r="B73" s="2300">
        <f>估价对象房地状况!C24</f>
        <v>0</v>
      </c>
      <c r="C73" s="2201"/>
      <c r="D73" s="1194">
        <f t="shared" si="21"/>
        <v>0</v>
      </c>
      <c r="E73" s="764"/>
      <c r="F73" s="1968"/>
      <c r="G73" s="1192"/>
      <c r="H73" s="1196" t="str">
        <f t="shared" si="22"/>
        <v>——</v>
      </c>
      <c r="I73" s="758">
        <v>0.04</v>
      </c>
      <c r="J73" s="1193">
        <f t="shared" si="23"/>
        <v>0</v>
      </c>
      <c r="K73" s="1193">
        <f t="shared" si="24"/>
        <v>0</v>
      </c>
      <c r="L73" s="1193">
        <v>0</v>
      </c>
      <c r="M73" s="1193">
        <f t="shared" si="25"/>
        <v>0</v>
      </c>
      <c r="N73" s="1193">
        <f t="shared" si="25"/>
        <v>0</v>
      </c>
      <c r="AA73" s="1251"/>
      <c r="AB73" s="1251"/>
      <c r="AC73" s="1251"/>
      <c r="AD73" s="1251"/>
      <c r="AE73" s="1251"/>
      <c r="AF73" s="1251"/>
      <c r="AG73" s="1251"/>
      <c r="AH73" s="1251"/>
      <c r="AI73" s="1251"/>
      <c r="AJ73" s="1251"/>
      <c r="AK73" s="1251"/>
    </row>
    <row r="74" spans="1:37" s="1250" customFormat="1" ht="25.5">
      <c r="A74" s="2296" t="s">
        <v>2717</v>
      </c>
      <c r="B74" s="1464" t="str">
        <f>估价对象房地状况!C21</f>
        <v>估价对象所在区域公共配套设施齐备情况</v>
      </c>
      <c r="C74" s="2201"/>
      <c r="D74" s="1194">
        <f t="shared" si="21"/>
        <v>0</v>
      </c>
      <c r="E74" s="764"/>
      <c r="F74" s="1968"/>
      <c r="G74" s="1192"/>
      <c r="H74" s="1196" t="str">
        <f t="shared" si="22"/>
        <v>——</v>
      </c>
      <c r="I74" s="758">
        <v>0.08</v>
      </c>
      <c r="J74" s="1193">
        <f t="shared" si="23"/>
        <v>0</v>
      </c>
      <c r="K74" s="1193">
        <f t="shared" si="24"/>
        <v>0</v>
      </c>
      <c r="L74" s="1193">
        <v>0</v>
      </c>
      <c r="M74" s="1193">
        <f t="shared" si="25"/>
        <v>0</v>
      </c>
      <c r="N74" s="1193">
        <f t="shared" si="25"/>
        <v>0</v>
      </c>
      <c r="AA74" s="1251"/>
      <c r="AB74" s="1251"/>
      <c r="AC74" s="1251"/>
      <c r="AD74" s="1251"/>
      <c r="AE74" s="1251"/>
      <c r="AF74" s="1251"/>
      <c r="AG74" s="1251"/>
      <c r="AH74" s="1251"/>
      <c r="AI74" s="1251"/>
      <c r="AJ74" s="1251"/>
      <c r="AK74" s="1251"/>
    </row>
    <row r="75" spans="1:37" s="1250" customFormat="1" ht="25.5">
      <c r="A75" s="2296" t="s">
        <v>2718</v>
      </c>
      <c r="B75" s="1464" t="str">
        <f>估价对象房地状况!C22</f>
        <v>估价对象所在区域基础设施水平</v>
      </c>
      <c r="C75" s="2201"/>
      <c r="D75" s="1194">
        <f t="shared" si="21"/>
        <v>0</v>
      </c>
      <c r="E75" s="764"/>
      <c r="F75" s="1968"/>
      <c r="G75" s="1192"/>
      <c r="H75" s="1196" t="str">
        <f t="shared" si="22"/>
        <v>——</v>
      </c>
      <c r="I75" s="758">
        <v>0.12</v>
      </c>
      <c r="J75" s="1193">
        <f t="shared" si="23"/>
        <v>0</v>
      </c>
      <c r="K75" s="1193">
        <f t="shared" si="24"/>
        <v>0</v>
      </c>
      <c r="L75" s="1193">
        <v>0</v>
      </c>
      <c r="M75" s="1193">
        <f t="shared" si="25"/>
        <v>0</v>
      </c>
      <c r="N75" s="1193">
        <f t="shared" si="25"/>
        <v>0</v>
      </c>
      <c r="AA75" s="1251"/>
      <c r="AB75" s="1251"/>
      <c r="AC75" s="1251"/>
      <c r="AD75" s="1251"/>
      <c r="AE75" s="1251"/>
      <c r="AF75" s="1251"/>
      <c r="AG75" s="1251"/>
      <c r="AH75" s="1251"/>
      <c r="AI75" s="1251"/>
      <c r="AJ75" s="1251"/>
      <c r="AK75" s="1251"/>
    </row>
    <row r="76" spans="1:37" s="2150" customFormat="1" ht="24">
      <c r="A76" s="2296" t="s">
        <v>2715</v>
      </c>
      <c r="B76" s="2302" t="s">
        <v>2716</v>
      </c>
      <c r="C76" s="2201"/>
      <c r="D76" s="1194">
        <f t="shared" si="21"/>
        <v>0</v>
      </c>
      <c r="E76" s="764"/>
      <c r="F76" s="1968"/>
      <c r="G76" s="1192"/>
      <c r="H76" s="1196" t="str">
        <f t="shared" si="22"/>
        <v>——</v>
      </c>
      <c r="I76" s="758">
        <v>0.05</v>
      </c>
      <c r="J76" s="1193">
        <f t="shared" si="23"/>
        <v>0</v>
      </c>
      <c r="K76" s="1193">
        <f t="shared" si="24"/>
        <v>0</v>
      </c>
      <c r="L76" s="1193">
        <v>0</v>
      </c>
      <c r="M76" s="1193">
        <f t="shared" si="25"/>
        <v>0</v>
      </c>
      <c r="N76" s="1193">
        <f t="shared" si="25"/>
        <v>0</v>
      </c>
      <c r="AA76" s="2307"/>
      <c r="AB76" s="1251"/>
      <c r="AC76" s="1251"/>
      <c r="AD76" s="1251"/>
      <c r="AE76" s="1251"/>
      <c r="AF76" s="1251"/>
      <c r="AG76" s="1251"/>
      <c r="AH76" s="2307"/>
      <c r="AI76" s="2307"/>
      <c r="AJ76" s="2307"/>
      <c r="AK76" s="2307"/>
    </row>
    <row r="77" spans="1:37" ht="38.25">
      <c r="A77" s="2296" t="s">
        <v>2719</v>
      </c>
      <c r="B77" s="2299" t="str">
        <f>估价对象房地状况!C20</f>
        <v>区域自然环境：；人文环境；综合评价环境状况一般</v>
      </c>
      <c r="C77" s="2201"/>
      <c r="D77" s="1194">
        <f t="shared" si="21"/>
        <v>0</v>
      </c>
      <c r="E77" s="764"/>
      <c r="F77" s="1968"/>
      <c r="G77" s="1192"/>
      <c r="H77" s="1196" t="str">
        <f t="shared" si="22"/>
        <v>——</v>
      </c>
      <c r="I77" s="758">
        <v>0.15</v>
      </c>
      <c r="J77" s="1193">
        <f t="shared" si="23"/>
        <v>0</v>
      </c>
      <c r="K77" s="1193">
        <f t="shared" si="24"/>
        <v>0</v>
      </c>
      <c r="L77" s="1193">
        <v>0</v>
      </c>
      <c r="M77" s="1193">
        <f t="shared" si="25"/>
        <v>0</v>
      </c>
      <c r="N77" s="1193">
        <f t="shared" si="25"/>
        <v>0</v>
      </c>
      <c r="Z77" s="2151"/>
      <c r="AA77" s="2217"/>
      <c r="AG77" s="1252"/>
      <c r="AK77" s="2217"/>
    </row>
    <row r="78" spans="1:37" ht="24.75" thickBot="1">
      <c r="A78" s="2304" t="s">
        <v>2726</v>
      </c>
      <c r="B78" s="2308"/>
      <c r="C78" s="2201"/>
      <c r="D78" s="1194">
        <f t="shared" si="21"/>
        <v>0</v>
      </c>
      <c r="E78" s="765"/>
      <c r="F78" s="1968"/>
      <c r="G78" s="1192"/>
      <c r="H78" s="1196" t="str">
        <f t="shared" si="22"/>
        <v>——</v>
      </c>
      <c r="I78" s="762">
        <v>0.04</v>
      </c>
      <c r="J78" s="1193">
        <f t="shared" si="23"/>
        <v>0</v>
      </c>
      <c r="K78" s="1193">
        <f t="shared" si="24"/>
        <v>0</v>
      </c>
      <c r="L78" s="1193">
        <v>0</v>
      </c>
      <c r="M78" s="1193">
        <f t="shared" si="25"/>
        <v>0</v>
      </c>
      <c r="N78" s="1193">
        <f t="shared" si="25"/>
        <v>0</v>
      </c>
      <c r="Z78" s="2151"/>
      <c r="AA78" s="2217"/>
      <c r="AG78" s="1252"/>
      <c r="AK78" s="2217"/>
    </row>
    <row r="79" spans="1:37" ht="15">
      <c r="A79" s="2292" t="s">
        <v>2727</v>
      </c>
      <c r="B79" s="2293">
        <f>1+E81</f>
        <v>1</v>
      </c>
      <c r="C79" s="752"/>
      <c r="D79" s="752"/>
      <c r="E79" s="753"/>
      <c r="F79" s="2295"/>
      <c r="G79" s="6"/>
      <c r="H79" s="6"/>
      <c r="I79" s="6"/>
      <c r="J79" s="7"/>
      <c r="K79" s="7"/>
      <c r="L79" s="7"/>
      <c r="M79" s="7"/>
      <c r="N79" s="7"/>
      <c r="Z79" s="2151"/>
      <c r="AA79" s="2217"/>
      <c r="AG79" s="1252"/>
      <c r="AK79" s="2217"/>
    </row>
    <row r="80" spans="1:37" ht="24.75">
      <c r="A80" s="2296" t="s">
        <v>2701</v>
      </c>
      <c r="B80" s="1503"/>
      <c r="C80" s="1503" t="s">
        <v>2703</v>
      </c>
      <c r="D80" s="1503" t="s">
        <v>2704</v>
      </c>
      <c r="E80" s="757" t="s">
        <v>2705</v>
      </c>
      <c r="F80" s="2297" t="s">
        <v>2721</v>
      </c>
      <c r="G80" s="1503" t="s">
        <v>754</v>
      </c>
      <c r="H80" s="2298" t="s">
        <v>2707</v>
      </c>
      <c r="I80" s="1503" t="s">
        <v>2708</v>
      </c>
      <c r="J80" s="560" t="s">
        <v>2358</v>
      </c>
      <c r="K80" s="560" t="s">
        <v>2359</v>
      </c>
      <c r="L80" s="560" t="s">
        <v>2360</v>
      </c>
      <c r="M80" s="560" t="s">
        <v>2361</v>
      </c>
      <c r="N80" s="560" t="s">
        <v>2362</v>
      </c>
      <c r="Z80" s="2151"/>
      <c r="AA80" s="2217"/>
      <c r="AG80" s="1252"/>
      <c r="AK80" s="2217"/>
    </row>
    <row r="81" spans="1:37" ht="38.25">
      <c r="A81" s="2296" t="s">
        <v>2728</v>
      </c>
      <c r="B81" s="2300" t="str">
        <f>估价对象房地状况!G15</f>
        <v>估价对象位于XX开发区，园区建设成熟度XX，产业集聚程度XX</v>
      </c>
      <c r="C81" s="2201"/>
      <c r="D81" s="1194">
        <f t="shared" ref="D81:D88" si="26">SUMIF($J$80:$N$80,C81,J81:N81)</f>
        <v>0</v>
      </c>
      <c r="E81" s="759">
        <f>ROUND(SUM(D81:D88),4)</f>
        <v>0</v>
      </c>
      <c r="F81" s="1968" t="str">
        <f>IF(E2="工业",SUMIF(L1:L12,G2,N1:N12),"——")</f>
        <v>——</v>
      </c>
      <c r="G81" s="1192"/>
      <c r="H81" s="1196" t="str">
        <f t="shared" ref="H81:H88" si="27">IFERROR(ROUNDDOWN($F$81*I81/2,4),"——")</f>
        <v>——</v>
      </c>
      <c r="I81" s="758">
        <v>0.26</v>
      </c>
      <c r="J81" s="1193">
        <f t="shared" ref="J81:J88" si="28">K81+$G81</f>
        <v>0</v>
      </c>
      <c r="K81" s="1193">
        <f t="shared" ref="K81:K88" si="29">$L81+$G81</f>
        <v>0</v>
      </c>
      <c r="L81" s="1193">
        <v>0</v>
      </c>
      <c r="M81" s="1193">
        <f t="shared" ref="M81:N88" si="30">L81-$G81</f>
        <v>0</v>
      </c>
      <c r="N81" s="1193">
        <f t="shared" si="30"/>
        <v>0</v>
      </c>
      <c r="Z81" s="2151"/>
      <c r="AA81" s="2217"/>
      <c r="AG81" s="1252"/>
      <c r="AK81" s="2217"/>
    </row>
    <row r="82" spans="1:37" ht="51">
      <c r="A82" s="2296" t="s">
        <v>2710</v>
      </c>
      <c r="B82" s="2300" t="str">
        <f>估价对象房地状况!G16</f>
        <v>估价对象周边道路状况、公共交通通达情况、停车便捷程度，综合评价交通便捷度较好</v>
      </c>
      <c r="C82" s="2201"/>
      <c r="D82" s="1194">
        <f t="shared" si="26"/>
        <v>0</v>
      </c>
      <c r="E82" s="764"/>
      <c r="F82" s="1968"/>
      <c r="G82" s="1192"/>
      <c r="H82" s="1196" t="str">
        <f t="shared" si="27"/>
        <v>——</v>
      </c>
      <c r="I82" s="758">
        <v>0.33</v>
      </c>
      <c r="J82" s="1193">
        <f t="shared" si="28"/>
        <v>0</v>
      </c>
      <c r="K82" s="1193">
        <f t="shared" si="29"/>
        <v>0</v>
      </c>
      <c r="L82" s="1193">
        <v>0</v>
      </c>
      <c r="M82" s="1193">
        <f t="shared" si="30"/>
        <v>0</v>
      </c>
      <c r="N82" s="1193">
        <f t="shared" si="30"/>
        <v>0</v>
      </c>
      <c r="Z82" s="2151"/>
      <c r="AA82" s="2217"/>
      <c r="AG82" s="1252"/>
      <c r="AK82" s="2217"/>
    </row>
    <row r="83" spans="1:37" ht="24">
      <c r="A83" s="2296" t="s">
        <v>2711</v>
      </c>
      <c r="B83" s="2300">
        <f>估价对象房地状况!G17</f>
        <v>0</v>
      </c>
      <c r="C83" s="2201"/>
      <c r="D83" s="1194">
        <f t="shared" si="26"/>
        <v>0</v>
      </c>
      <c r="E83" s="764"/>
      <c r="F83" s="1968"/>
      <c r="G83" s="1192"/>
      <c r="H83" s="1196" t="str">
        <f t="shared" si="27"/>
        <v>——</v>
      </c>
      <c r="I83" s="758">
        <v>0.05</v>
      </c>
      <c r="J83" s="1193">
        <f t="shared" si="28"/>
        <v>0</v>
      </c>
      <c r="K83" s="1193">
        <f t="shared" si="29"/>
        <v>0</v>
      </c>
      <c r="L83" s="1193">
        <v>0</v>
      </c>
      <c r="M83" s="1193">
        <f t="shared" si="30"/>
        <v>0</v>
      </c>
      <c r="N83" s="1193">
        <f t="shared" si="30"/>
        <v>0</v>
      </c>
      <c r="Z83" s="2151"/>
      <c r="AA83" s="2217"/>
      <c r="AG83" s="1252"/>
      <c r="AK83" s="2217"/>
    </row>
    <row r="84" spans="1:37" ht="14.25">
      <c r="A84" s="2296" t="s">
        <v>2725</v>
      </c>
      <c r="B84" s="2300">
        <f>估价对象房地状况!G22</f>
        <v>0</v>
      </c>
      <c r="C84" s="2201"/>
      <c r="D84" s="1194">
        <f t="shared" si="26"/>
        <v>0</v>
      </c>
      <c r="E84" s="764"/>
      <c r="F84" s="1968"/>
      <c r="G84" s="1192"/>
      <c r="H84" s="1196" t="str">
        <f t="shared" si="27"/>
        <v>——</v>
      </c>
      <c r="I84" s="758">
        <v>0.04</v>
      </c>
      <c r="J84" s="1193">
        <f t="shared" si="28"/>
        <v>0</v>
      </c>
      <c r="K84" s="1193">
        <f t="shared" si="29"/>
        <v>0</v>
      </c>
      <c r="L84" s="1193">
        <v>0</v>
      </c>
      <c r="M84" s="1193">
        <f t="shared" si="30"/>
        <v>0</v>
      </c>
      <c r="N84" s="1193">
        <f t="shared" si="30"/>
        <v>0</v>
      </c>
      <c r="Z84" s="2151"/>
      <c r="AA84" s="2217"/>
      <c r="AG84" s="1252"/>
      <c r="AK84" s="2217"/>
    </row>
    <row r="85" spans="1:37" ht="25.5">
      <c r="A85" s="2296" t="s">
        <v>2717</v>
      </c>
      <c r="B85" s="1464" t="str">
        <f>估价对象房地状况!G19</f>
        <v>估价对象所在区域公共配套设施齐备情况</v>
      </c>
      <c r="C85" s="2201"/>
      <c r="D85" s="1194">
        <f t="shared" si="26"/>
        <v>0</v>
      </c>
      <c r="E85" s="764"/>
      <c r="F85" s="1968"/>
      <c r="G85" s="1192"/>
      <c r="H85" s="1196" t="str">
        <f t="shared" si="27"/>
        <v>——</v>
      </c>
      <c r="I85" s="758">
        <v>0.06</v>
      </c>
      <c r="J85" s="1193">
        <f t="shared" si="28"/>
        <v>0</v>
      </c>
      <c r="K85" s="1193">
        <f t="shared" si="29"/>
        <v>0</v>
      </c>
      <c r="L85" s="1193">
        <v>0</v>
      </c>
      <c r="M85" s="1193">
        <f t="shared" si="30"/>
        <v>0</v>
      </c>
      <c r="N85" s="1193">
        <f t="shared" si="30"/>
        <v>0</v>
      </c>
      <c r="Z85" s="2151"/>
      <c r="AA85" s="2217"/>
      <c r="AG85" s="1252"/>
      <c r="AK85" s="2217"/>
    </row>
    <row r="86" spans="1:37" ht="25.5">
      <c r="A86" s="2296" t="s">
        <v>2718</v>
      </c>
      <c r="B86" s="1464" t="str">
        <f>估价对象房地状况!G20</f>
        <v>估价对象所在区域基础设施水平</v>
      </c>
      <c r="C86" s="2201"/>
      <c r="D86" s="1194">
        <f t="shared" si="26"/>
        <v>0</v>
      </c>
      <c r="E86" s="764"/>
      <c r="F86" s="1968"/>
      <c r="G86" s="1192"/>
      <c r="H86" s="1196" t="str">
        <f t="shared" si="27"/>
        <v>——</v>
      </c>
      <c r="I86" s="758">
        <v>0.15</v>
      </c>
      <c r="J86" s="1193">
        <f t="shared" si="28"/>
        <v>0</v>
      </c>
      <c r="K86" s="1193">
        <f t="shared" si="29"/>
        <v>0</v>
      </c>
      <c r="L86" s="1193">
        <v>0</v>
      </c>
      <c r="M86" s="1193">
        <f t="shared" si="30"/>
        <v>0</v>
      </c>
      <c r="N86" s="1193">
        <f t="shared" si="30"/>
        <v>0</v>
      </c>
      <c r="Z86" s="2151"/>
      <c r="AA86" s="2217"/>
      <c r="AG86" s="1252"/>
      <c r="AK86" s="2217"/>
    </row>
    <row r="87" spans="1:37" ht="24">
      <c r="A87" s="2296" t="s">
        <v>2715</v>
      </c>
      <c r="B87" s="2302" t="s">
        <v>2729</v>
      </c>
      <c r="C87" s="2201"/>
      <c r="D87" s="1194">
        <f t="shared" si="26"/>
        <v>0</v>
      </c>
      <c r="E87" s="764"/>
      <c r="F87" s="1968"/>
      <c r="G87" s="1192"/>
      <c r="H87" s="1196" t="str">
        <f t="shared" si="27"/>
        <v>——</v>
      </c>
      <c r="I87" s="758">
        <v>0.05</v>
      </c>
      <c r="J87" s="1193">
        <f t="shared" si="28"/>
        <v>0</v>
      </c>
      <c r="K87" s="1193">
        <f t="shared" si="29"/>
        <v>0</v>
      </c>
      <c r="L87" s="1193">
        <v>0</v>
      </c>
      <c r="M87" s="1193">
        <f t="shared" si="30"/>
        <v>0</v>
      </c>
      <c r="N87" s="1193">
        <f t="shared" si="30"/>
        <v>0</v>
      </c>
      <c r="Z87" s="2151"/>
      <c r="AA87" s="2217"/>
      <c r="AG87" s="1252"/>
      <c r="AK87" s="2217"/>
    </row>
    <row r="88" spans="1:37" ht="39" thickBot="1">
      <c r="A88" s="2304" t="s">
        <v>2730</v>
      </c>
      <c r="B88" s="2309" t="str">
        <f>估价对象房地状况!G18</f>
        <v>该园区内是否有污染型企业，绿化情况，卫生条件，整体环境状况判断</v>
      </c>
      <c r="C88" s="2201"/>
      <c r="D88" s="1194">
        <f t="shared" si="26"/>
        <v>0</v>
      </c>
      <c r="E88" s="765"/>
      <c r="F88" s="1968"/>
      <c r="G88" s="1192"/>
      <c r="H88" s="1196" t="str">
        <f t="shared" si="27"/>
        <v>——</v>
      </c>
      <c r="I88" s="762">
        <v>0.06</v>
      </c>
      <c r="J88" s="1193">
        <f t="shared" si="28"/>
        <v>0</v>
      </c>
      <c r="K88" s="1193">
        <f t="shared" si="29"/>
        <v>0</v>
      </c>
      <c r="L88" s="1193">
        <v>0</v>
      </c>
      <c r="M88" s="1193">
        <f t="shared" si="30"/>
        <v>0</v>
      </c>
      <c r="N88" s="1193">
        <f t="shared" si="30"/>
        <v>0</v>
      </c>
      <c r="Z88" s="2151"/>
      <c r="AA88" s="2217"/>
      <c r="AG88" s="1252"/>
      <c r="AK88" s="2217"/>
    </row>
    <row r="90" spans="1:37">
      <c r="A90" s="3521" t="s">
        <v>2731</v>
      </c>
      <c r="B90" s="3521"/>
      <c r="C90" s="3521"/>
      <c r="D90" s="3521"/>
      <c r="E90" s="3521"/>
      <c r="F90" s="3521"/>
      <c r="G90" s="3521"/>
      <c r="H90" s="3521"/>
      <c r="I90" s="3521"/>
      <c r="J90" s="3521"/>
      <c r="K90" s="2310"/>
      <c r="L90" s="2310"/>
      <c r="M90" s="2310"/>
      <c r="N90" s="2310"/>
    </row>
    <row r="91" spans="1:37">
      <c r="A91" s="3523" t="s">
        <v>2732</v>
      </c>
      <c r="B91" s="3523" t="s">
        <v>2733</v>
      </c>
      <c r="C91" s="2264" t="s">
        <v>2734</v>
      </c>
      <c r="D91" s="2265"/>
      <c r="E91" s="2265"/>
      <c r="F91" s="2265"/>
      <c r="G91" s="2265"/>
      <c r="H91" s="2265"/>
      <c r="I91" s="2265"/>
      <c r="J91" s="2311"/>
      <c r="K91" s="2312"/>
      <c r="L91" s="2312"/>
      <c r="M91" s="2312"/>
      <c r="N91" s="2312"/>
    </row>
    <row r="92" spans="1:37">
      <c r="A92" s="3523"/>
      <c r="B92" s="3523"/>
      <c r="C92" s="878" t="s">
        <v>2602</v>
      </c>
      <c r="D92" s="878" t="s">
        <v>2603</v>
      </c>
      <c r="E92" s="878" t="s">
        <v>2604</v>
      </c>
      <c r="F92" s="878" t="s">
        <v>2605</v>
      </c>
      <c r="G92" s="878" t="s">
        <v>2606</v>
      </c>
      <c r="H92" s="878" t="s">
        <v>2607</v>
      </c>
      <c r="I92" s="878" t="s">
        <v>2608</v>
      </c>
      <c r="J92" s="878" t="s">
        <v>2609</v>
      </c>
      <c r="K92" s="878" t="s">
        <v>2610</v>
      </c>
      <c r="L92" s="878" t="s">
        <v>2611</v>
      </c>
      <c r="M92" s="878" t="s">
        <v>2612</v>
      </c>
      <c r="N92" s="878" t="s">
        <v>2613</v>
      </c>
    </row>
    <row r="93" spans="1:37">
      <c r="A93" s="3524" t="s">
        <v>2735</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525"/>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525"/>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525"/>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525"/>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525"/>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525"/>
      <c r="B99" s="2313" t="s">
        <v>2618</v>
      </c>
      <c r="C99" s="2315">
        <f>$I$3</f>
        <v>0</v>
      </c>
      <c r="D99" s="2315">
        <f t="shared" ref="D99:M99" si="31">$I$3</f>
        <v>0</v>
      </c>
      <c r="E99" s="2315">
        <f t="shared" si="31"/>
        <v>0</v>
      </c>
      <c r="F99" s="2315">
        <f t="shared" si="31"/>
        <v>0</v>
      </c>
      <c r="G99" s="2315">
        <f t="shared" si="31"/>
        <v>0</v>
      </c>
      <c r="H99" s="2315">
        <f t="shared" si="31"/>
        <v>0</v>
      </c>
      <c r="I99" s="2315">
        <f t="shared" si="31"/>
        <v>0</v>
      </c>
      <c r="J99" s="2315">
        <f t="shared" si="31"/>
        <v>0</v>
      </c>
      <c r="K99" s="2315">
        <f t="shared" si="31"/>
        <v>0</v>
      </c>
      <c r="L99" s="2315">
        <f t="shared" si="31"/>
        <v>0</v>
      </c>
      <c r="M99" s="2315">
        <f t="shared" si="31"/>
        <v>0</v>
      </c>
      <c r="N99" s="2315">
        <f>$I$3</f>
        <v>0</v>
      </c>
    </row>
    <row r="100" spans="1:14">
      <c r="A100" s="3526"/>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524" t="s">
        <v>2736</v>
      </c>
      <c r="B101" s="2317" t="s">
        <v>2737</v>
      </c>
      <c r="C101" s="2318">
        <f>$G$3</f>
        <v>3.6</v>
      </c>
      <c r="D101" s="2318">
        <f t="shared" ref="D101:N101" si="32">$G$3</f>
        <v>3.6</v>
      </c>
      <c r="E101" s="2318">
        <f t="shared" si="32"/>
        <v>3.6</v>
      </c>
      <c r="F101" s="2318">
        <f t="shared" si="32"/>
        <v>3.6</v>
      </c>
      <c r="G101" s="2318">
        <f t="shared" si="32"/>
        <v>3.6</v>
      </c>
      <c r="H101" s="2318">
        <f t="shared" si="32"/>
        <v>3.6</v>
      </c>
      <c r="I101" s="2318">
        <f t="shared" si="32"/>
        <v>3.6</v>
      </c>
      <c r="J101" s="2318">
        <f t="shared" si="32"/>
        <v>3.6</v>
      </c>
      <c r="K101" s="2318">
        <f t="shared" si="32"/>
        <v>3.6</v>
      </c>
      <c r="L101" s="2318">
        <f t="shared" si="32"/>
        <v>3.6</v>
      </c>
      <c r="M101" s="2318">
        <f t="shared" si="32"/>
        <v>3.6</v>
      </c>
      <c r="N101" s="2318">
        <f t="shared" si="32"/>
        <v>3.6</v>
      </c>
    </row>
    <row r="102" spans="1:14">
      <c r="A102" s="3525"/>
      <c r="B102" s="2313">
        <v>1</v>
      </c>
      <c r="C102" s="2314">
        <f>1.9362/C101</f>
        <v>0.53783333333333327</v>
      </c>
      <c r="D102" s="2314">
        <f>1.9362/D101</f>
        <v>0.53783333333333327</v>
      </c>
      <c r="E102" s="2314">
        <f>1.8629/E101</f>
        <v>0.51747222222222222</v>
      </c>
      <c r="F102" s="2314">
        <f>1.8629/F101</f>
        <v>0.51747222222222222</v>
      </c>
      <c r="G102" s="2314">
        <f>1.8629/G101</f>
        <v>0.51747222222222222</v>
      </c>
      <c r="H102" s="2314">
        <f>1.8629/H101</f>
        <v>0.51747222222222222</v>
      </c>
      <c r="I102" s="2314">
        <f>1.8629/I101</f>
        <v>0.51747222222222222</v>
      </c>
      <c r="J102" s="2314">
        <f>1.942/J101</f>
        <v>0.53944444444444439</v>
      </c>
      <c r="K102" s="2314">
        <f>1.942/K101</f>
        <v>0.53944444444444439</v>
      </c>
      <c r="L102" s="2314">
        <f>1.942/L101</f>
        <v>0.53944444444444439</v>
      </c>
      <c r="M102" s="2314">
        <f>1.942/M101</f>
        <v>0.53944444444444439</v>
      </c>
      <c r="N102" s="2314">
        <f>1.942/N101</f>
        <v>0.53944444444444439</v>
      </c>
    </row>
    <row r="103" spans="1:14">
      <c r="A103" s="3525"/>
      <c r="B103" s="2313">
        <v>2</v>
      </c>
      <c r="C103" s="2314">
        <f>1.4198/C101</f>
        <v>0.39438888888888884</v>
      </c>
      <c r="D103" s="2314">
        <f>1.4198/D101</f>
        <v>0.39438888888888884</v>
      </c>
      <c r="E103" s="2314">
        <f>1.3372/E101</f>
        <v>0.37144444444444441</v>
      </c>
      <c r="F103" s="2314">
        <f>1.3372/F101</f>
        <v>0.37144444444444441</v>
      </c>
      <c r="G103" s="2314">
        <f>1.3372/G101</f>
        <v>0.37144444444444441</v>
      </c>
      <c r="H103" s="2314">
        <f>1.3372/H101</f>
        <v>0.37144444444444441</v>
      </c>
      <c r="I103" s="2314">
        <f>1.3372/I101</f>
        <v>0.37144444444444441</v>
      </c>
      <c r="J103" s="2314">
        <f>1.2799/J101</f>
        <v>0.35552777777777778</v>
      </c>
      <c r="K103" s="2314">
        <f>1.2799/K101</f>
        <v>0.35552777777777778</v>
      </c>
      <c r="L103" s="2314">
        <f>1.2799/L101</f>
        <v>0.35552777777777778</v>
      </c>
      <c r="M103" s="2314">
        <f>1.2799/M101</f>
        <v>0.35552777777777778</v>
      </c>
      <c r="N103" s="2314">
        <f>1.2799/N101</f>
        <v>0.35552777777777778</v>
      </c>
    </row>
    <row r="104" spans="1:14">
      <c r="A104" s="3525"/>
      <c r="B104" s="2313">
        <v>3</v>
      </c>
      <c r="C104" s="2314">
        <f>1.1594/C101</f>
        <v>0.32205555555555554</v>
      </c>
      <c r="D104" s="2314">
        <f>1.1594/D101</f>
        <v>0.32205555555555554</v>
      </c>
      <c r="E104" s="2314">
        <f>1.0788/E101</f>
        <v>0.29966666666666664</v>
      </c>
      <c r="F104" s="2314">
        <f>1.0788/F101</f>
        <v>0.29966666666666664</v>
      </c>
      <c r="G104" s="2314">
        <f>1.0788/G101</f>
        <v>0.29966666666666664</v>
      </c>
      <c r="H104" s="2314">
        <f>1.0788/H101</f>
        <v>0.29966666666666664</v>
      </c>
      <c r="I104" s="2314">
        <f>1.0788/I101</f>
        <v>0.29966666666666664</v>
      </c>
      <c r="J104" s="2314">
        <f>1.0072/J101</f>
        <v>0.27977777777777779</v>
      </c>
      <c r="K104" s="2314">
        <f>1.0072/K101</f>
        <v>0.27977777777777779</v>
      </c>
      <c r="L104" s="2314">
        <f>1.0072/L101</f>
        <v>0.27977777777777779</v>
      </c>
      <c r="M104" s="2314">
        <f>1.0072/M101</f>
        <v>0.27977777777777779</v>
      </c>
      <c r="N104" s="2314">
        <f>1.0072/N101</f>
        <v>0.27977777777777779</v>
      </c>
    </row>
    <row r="105" spans="1:14">
      <c r="A105" s="3525"/>
      <c r="B105" s="2313">
        <v>4</v>
      </c>
      <c r="C105" s="2314">
        <f>0.9622/C101</f>
        <v>0.26727777777777778</v>
      </c>
      <c r="D105" s="2314">
        <f>0.9622/D101</f>
        <v>0.26727777777777778</v>
      </c>
      <c r="E105" s="2314">
        <f>0.8656/E101</f>
        <v>0.24044444444444446</v>
      </c>
      <c r="F105" s="2314">
        <f>0.8656/F101</f>
        <v>0.24044444444444446</v>
      </c>
      <c r="G105" s="2314">
        <f>0.8656/G101</f>
        <v>0.24044444444444446</v>
      </c>
      <c r="H105" s="2314">
        <f>0.8656/H101</f>
        <v>0.24044444444444446</v>
      </c>
      <c r="I105" s="2314">
        <f>0.8656/I101</f>
        <v>0.24044444444444446</v>
      </c>
      <c r="J105" s="2314">
        <f>0.7525/J101</f>
        <v>0.20902777777777776</v>
      </c>
      <c r="K105" s="2314">
        <f>0.7525/K101</f>
        <v>0.20902777777777776</v>
      </c>
      <c r="L105" s="2314">
        <f>0.7525/L101</f>
        <v>0.20902777777777776</v>
      </c>
      <c r="M105" s="2314">
        <f>0.7525/M101</f>
        <v>0.20902777777777776</v>
      </c>
      <c r="N105" s="2314">
        <f>0.7525/N101</f>
        <v>0.20902777777777776</v>
      </c>
    </row>
    <row r="106" spans="1:14">
      <c r="A106" s="3525"/>
      <c r="B106" s="2313">
        <v>5</v>
      </c>
      <c r="C106" s="2314">
        <f>0.8417/C101</f>
        <v>0.23380555555555554</v>
      </c>
      <c r="D106" s="2314">
        <f>0.8417/D101</f>
        <v>0.23380555555555554</v>
      </c>
      <c r="E106" s="2314">
        <f>0.7371/E101</f>
        <v>0.20474999999999999</v>
      </c>
      <c r="F106" s="2314">
        <f>0.7371/F101</f>
        <v>0.20474999999999999</v>
      </c>
      <c r="G106" s="2314">
        <f>0.7371/G101</f>
        <v>0.20474999999999999</v>
      </c>
      <c r="H106" s="2314">
        <f>0.7371/H101</f>
        <v>0.20474999999999999</v>
      </c>
      <c r="I106" s="2314">
        <f>0.7371/I101</f>
        <v>0.20474999999999999</v>
      </c>
      <c r="J106" s="2314">
        <f>0.5659/J101</f>
        <v>0.15719444444444444</v>
      </c>
      <c r="K106" s="2314">
        <f>0.5659/K101</f>
        <v>0.15719444444444444</v>
      </c>
      <c r="L106" s="2314">
        <f>0.5659/L101</f>
        <v>0.15719444444444444</v>
      </c>
      <c r="M106" s="2314">
        <f>0.5659/M101</f>
        <v>0.15719444444444444</v>
      </c>
      <c r="N106" s="2314">
        <f>0.5659/N101</f>
        <v>0.15719444444444444</v>
      </c>
    </row>
    <row r="107" spans="1:14">
      <c r="A107" s="3525"/>
      <c r="B107" s="2313">
        <v>6</v>
      </c>
      <c r="C107" s="2314">
        <f>0.7608/C101</f>
        <v>0.21133333333333335</v>
      </c>
      <c r="D107" s="2314">
        <f>0.7608/D101</f>
        <v>0.21133333333333335</v>
      </c>
      <c r="E107" s="2314">
        <f>0.6482/E101</f>
        <v>0.18005555555555555</v>
      </c>
      <c r="F107" s="2314">
        <f>0.6482/F101</f>
        <v>0.18005555555555555</v>
      </c>
      <c r="G107" s="2314">
        <f>0.6482/G101</f>
        <v>0.18005555555555555</v>
      </c>
      <c r="H107" s="2314">
        <f>0.6482/H101</f>
        <v>0.18005555555555555</v>
      </c>
      <c r="I107" s="2314">
        <f>0.6482/I101</f>
        <v>0.18005555555555555</v>
      </c>
      <c r="J107" s="2314">
        <f>0.4525/J101</f>
        <v>0.12569444444444444</v>
      </c>
      <c r="K107" s="2314">
        <f>0.4525/K101</f>
        <v>0.12569444444444444</v>
      </c>
      <c r="L107" s="2314">
        <f>0.4525/L101</f>
        <v>0.12569444444444444</v>
      </c>
      <c r="M107" s="2314">
        <f>0.4525/M101</f>
        <v>0.12569444444444444</v>
      </c>
      <c r="N107" s="2314">
        <f>0.4525/N101</f>
        <v>0.12569444444444444</v>
      </c>
    </row>
    <row r="108" spans="1:14">
      <c r="A108" s="3525"/>
      <c r="B108" s="3527" t="s">
        <v>2738</v>
      </c>
      <c r="C108" s="2315">
        <f>C99</f>
        <v>0</v>
      </c>
      <c r="D108" s="2315">
        <f t="shared" ref="D108:N108" si="33">D99</f>
        <v>0</v>
      </c>
      <c r="E108" s="2315">
        <f t="shared" si="33"/>
        <v>0</v>
      </c>
      <c r="F108" s="2315">
        <f t="shared" si="33"/>
        <v>0</v>
      </c>
      <c r="G108" s="2315">
        <f t="shared" si="33"/>
        <v>0</v>
      </c>
      <c r="H108" s="2315">
        <f t="shared" si="33"/>
        <v>0</v>
      </c>
      <c r="I108" s="2315">
        <f t="shared" si="33"/>
        <v>0</v>
      </c>
      <c r="J108" s="2315">
        <f t="shared" si="33"/>
        <v>0</v>
      </c>
      <c r="K108" s="2315">
        <f t="shared" si="33"/>
        <v>0</v>
      </c>
      <c r="L108" s="2315">
        <f t="shared" si="33"/>
        <v>0</v>
      </c>
      <c r="M108" s="2315">
        <f t="shared" si="33"/>
        <v>0</v>
      </c>
      <c r="N108" s="2315">
        <f t="shared" si="33"/>
        <v>0</v>
      </c>
    </row>
    <row r="109" spans="1:14">
      <c r="A109" s="3526"/>
      <c r="B109" s="3528"/>
      <c r="C109" s="2316">
        <f>(-0.163*(C108^2)-0.59*C108+7617)*(10^(-4))/C101</f>
        <v>0.21158333333333335</v>
      </c>
      <c r="D109" s="2316">
        <f>(-0.163*(D108^2)-0.59*D108+7617)*(10^(-4))/D101</f>
        <v>0.21158333333333335</v>
      </c>
      <c r="E109" s="2316">
        <f>(-0.161*(E108^2)-7.509*E108+6533)*(10^(-4))/E101</f>
        <v>0.18147222222222223</v>
      </c>
      <c r="F109" s="2316">
        <f>(-0.161*(F108^2)-7.509*F108+6533)*(10^(-4))/F101</f>
        <v>0.18147222222222223</v>
      </c>
      <c r="G109" s="2316">
        <f>(-0.161*(G108^2)-7.509*G108+6533)*(10^(-4))/G101</f>
        <v>0.18147222222222223</v>
      </c>
      <c r="H109" s="2316">
        <f>(-0.161*(H108^2)-7.509*H108+6533)*(10^(-4))/H101</f>
        <v>0.18147222222222223</v>
      </c>
      <c r="I109" s="2316">
        <f>(-0.161*(I108^2)-7.509*I108+6533)*(10^(-4))/I101</f>
        <v>0.18147222222222223</v>
      </c>
      <c r="J109" s="2316">
        <f>(-0.214*(J108^2)-21.991*J108+4665)*(10^(-4))/J101</f>
        <v>0.12958333333333333</v>
      </c>
      <c r="K109" s="2316">
        <f>(-0.214*(K108^2)-21.991*K108+4665)*(10^(-4))/K101</f>
        <v>0.12958333333333333</v>
      </c>
      <c r="L109" s="2316">
        <f>(-0.214*(L108^2)-21.991*L108+4665)*(10^(-4))/L101</f>
        <v>0.12958333333333333</v>
      </c>
      <c r="M109" s="2316">
        <f>(-0.214*(M108^2)-21.991*M108+4665)*(10^(-4))/M101</f>
        <v>0.12958333333333333</v>
      </c>
      <c r="N109" s="2316">
        <f>(-0.214*(N108^2)-21.991*N108+4665)*(10^(-4))/N101</f>
        <v>0.12958333333333333</v>
      </c>
    </row>
    <row r="110" spans="1:14">
      <c r="A110" s="3522" t="s">
        <v>2739</v>
      </c>
      <c r="B110" s="3522"/>
      <c r="C110" s="3522"/>
      <c r="D110" s="3522"/>
      <c r="E110" s="3522"/>
      <c r="F110" s="3522"/>
      <c r="G110" s="3522"/>
      <c r="H110" s="3522"/>
      <c r="I110" s="3522"/>
      <c r="J110" s="3522"/>
      <c r="K110" s="2319"/>
      <c r="L110" s="2319"/>
      <c r="M110" s="2319"/>
      <c r="N110" s="2319"/>
    </row>
    <row r="112" spans="1:14" ht="13.5" thickBot="1"/>
    <row r="113" spans="1:13" ht="25.5" thickBot="1">
      <c r="A113" s="841" t="s">
        <v>2740</v>
      </c>
      <c r="B113" s="1195">
        <f>G3</f>
        <v>3.6</v>
      </c>
      <c r="C113" s="842" t="s">
        <v>2741</v>
      </c>
      <c r="D113" s="843">
        <f>SUMPRODUCT((A115:A118=F113)*(B114:M114=H113)*B115:M118)</f>
        <v>0.80989999999999995</v>
      </c>
      <c r="E113" s="2155" t="s">
        <v>2575</v>
      </c>
      <c r="F113" s="2321" t="str">
        <f>E2</f>
        <v>办公</v>
      </c>
      <c r="G113" s="2155" t="s">
        <v>2576</v>
      </c>
      <c r="H113" s="2321" t="str">
        <f>G2</f>
        <v>六级</v>
      </c>
      <c r="I113" s="2155"/>
      <c r="J113" s="2322"/>
      <c r="K113" s="2322"/>
      <c r="L113" s="2322"/>
      <c r="M113" s="2322"/>
    </row>
    <row r="114" spans="1:13">
      <c r="A114" s="846"/>
      <c r="B114" s="2323" t="s">
        <v>2742</v>
      </c>
      <c r="C114" s="2323" t="s">
        <v>2743</v>
      </c>
      <c r="D114" s="2323" t="s">
        <v>2744</v>
      </c>
      <c r="E114" s="2324" t="s">
        <v>2745</v>
      </c>
      <c r="F114" s="2324" t="s">
        <v>2746</v>
      </c>
      <c r="G114" s="2324" t="s">
        <v>2747</v>
      </c>
      <c r="H114" s="2325" t="s">
        <v>2748</v>
      </c>
      <c r="I114" s="2325" t="s">
        <v>2749</v>
      </c>
      <c r="J114" s="2326" t="s">
        <v>2750</v>
      </c>
      <c r="K114" s="2326" t="s">
        <v>2751</v>
      </c>
      <c r="L114" s="2326" t="s">
        <v>2752</v>
      </c>
      <c r="M114" s="2327" t="s">
        <v>2753</v>
      </c>
    </row>
    <row r="115" spans="1:13">
      <c r="A115" s="847" t="s">
        <v>2640</v>
      </c>
      <c r="B115" s="848">
        <f>ROUND(0.9335-0.0094*B113,4)</f>
        <v>0.89970000000000006</v>
      </c>
      <c r="C115" s="848">
        <f>B115</f>
        <v>0.89970000000000006</v>
      </c>
      <c r="D115" s="848">
        <f>ROUND(0.8331-0.0109*B113,4)</f>
        <v>0.79390000000000005</v>
      </c>
      <c r="E115" s="848">
        <f>D115</f>
        <v>0.79390000000000005</v>
      </c>
      <c r="F115" s="848">
        <f>E115</f>
        <v>0.79390000000000005</v>
      </c>
      <c r="G115" s="848">
        <f>F115</f>
        <v>0.79390000000000005</v>
      </c>
      <c r="H115" s="848">
        <f>G115</f>
        <v>0.79390000000000005</v>
      </c>
      <c r="I115" s="848">
        <f>ROUND(0.689-0.0155*B113,4)</f>
        <v>0.63319999999999999</v>
      </c>
      <c r="J115" s="848">
        <f t="shared" ref="J115:M118" si="34">I115</f>
        <v>0.63319999999999999</v>
      </c>
      <c r="K115" s="848">
        <f t="shared" si="34"/>
        <v>0.63319999999999999</v>
      </c>
      <c r="L115" s="848">
        <f t="shared" si="34"/>
        <v>0.63319999999999999</v>
      </c>
      <c r="M115" s="849">
        <f t="shared" si="34"/>
        <v>0.63319999999999999</v>
      </c>
    </row>
    <row r="116" spans="1:13">
      <c r="A116" s="847" t="s">
        <v>2641</v>
      </c>
      <c r="B116" s="848">
        <f>ROUND(0.949-0.012*B113,4)</f>
        <v>0.90580000000000005</v>
      </c>
      <c r="C116" s="848">
        <f>B116</f>
        <v>0.90580000000000005</v>
      </c>
      <c r="D116" s="848">
        <f>ROUND(0.8567-0.013*B113,4)</f>
        <v>0.80989999999999995</v>
      </c>
      <c r="E116" s="848">
        <f t="shared" ref="E116:H117" si="35">D116</f>
        <v>0.80989999999999995</v>
      </c>
      <c r="F116" s="848">
        <f t="shared" si="35"/>
        <v>0.80989999999999995</v>
      </c>
      <c r="G116" s="848">
        <f t="shared" si="35"/>
        <v>0.80989999999999995</v>
      </c>
      <c r="H116" s="848">
        <f t="shared" si="35"/>
        <v>0.80989999999999995</v>
      </c>
      <c r="I116" s="848">
        <f>ROUND(0.7694-0.014*B113,4)</f>
        <v>0.71899999999999997</v>
      </c>
      <c r="J116" s="848">
        <f t="shared" si="34"/>
        <v>0.71899999999999997</v>
      </c>
      <c r="K116" s="848">
        <f t="shared" si="34"/>
        <v>0.71899999999999997</v>
      </c>
      <c r="L116" s="848">
        <f t="shared" si="34"/>
        <v>0.71899999999999997</v>
      </c>
      <c r="M116" s="849">
        <f t="shared" si="34"/>
        <v>0.71899999999999997</v>
      </c>
    </row>
    <row r="117" spans="1:13">
      <c r="A117" s="847" t="s">
        <v>2642</v>
      </c>
      <c r="B117" s="848">
        <f>ROUND(0.8808-0.006*B113,4)</f>
        <v>0.85919999999999996</v>
      </c>
      <c r="C117" s="848">
        <f>B117</f>
        <v>0.85919999999999996</v>
      </c>
      <c r="D117" s="848">
        <f>ROUND(0.8748-0.008*B113,4)</f>
        <v>0.84599999999999997</v>
      </c>
      <c r="E117" s="848">
        <f t="shared" si="35"/>
        <v>0.84599999999999997</v>
      </c>
      <c r="F117" s="848">
        <f t="shared" si="35"/>
        <v>0.84599999999999997</v>
      </c>
      <c r="G117" s="848">
        <f t="shared" si="35"/>
        <v>0.84599999999999997</v>
      </c>
      <c r="H117" s="848">
        <f t="shared" si="35"/>
        <v>0.84599999999999997</v>
      </c>
      <c r="I117" s="848">
        <f>ROUND(0.7412-0.0095*B113,4)</f>
        <v>0.70699999999999996</v>
      </c>
      <c r="J117" s="848">
        <f t="shared" si="34"/>
        <v>0.70699999999999996</v>
      </c>
      <c r="K117" s="848">
        <f t="shared" si="34"/>
        <v>0.70699999999999996</v>
      </c>
      <c r="L117" s="848">
        <f t="shared" si="34"/>
        <v>0.70699999999999996</v>
      </c>
      <c r="M117" s="849">
        <f t="shared" si="34"/>
        <v>0.70699999999999996</v>
      </c>
    </row>
    <row r="118" spans="1:13" ht="13.5" thickBot="1">
      <c r="A118" s="669" t="s">
        <v>2643</v>
      </c>
      <c r="B118" s="850">
        <f>ROUND(0.7275-0.01*B113,4)</f>
        <v>0.6915</v>
      </c>
      <c r="C118" s="850">
        <f>B118</f>
        <v>0.6915</v>
      </c>
      <c r="D118" s="850">
        <f>ROUND(0.7043-0.012*B113,4)</f>
        <v>0.66110000000000002</v>
      </c>
      <c r="E118" s="850">
        <f>D118</f>
        <v>0.66110000000000002</v>
      </c>
      <c r="F118" s="850">
        <f>E118</f>
        <v>0.66110000000000002</v>
      </c>
      <c r="G118" s="850">
        <f>ROUND(0.6299-0.0122*B113,4)</f>
        <v>0.58599999999999997</v>
      </c>
      <c r="H118" s="850">
        <f>G118</f>
        <v>0.58599999999999997</v>
      </c>
      <c r="I118" s="850">
        <f>ROUND(0.5667-0.0136*B113,4)</f>
        <v>0.51770000000000005</v>
      </c>
      <c r="J118" s="850">
        <f t="shared" si="34"/>
        <v>0.51770000000000005</v>
      </c>
      <c r="K118" s="850">
        <f t="shared" si="34"/>
        <v>0.51770000000000005</v>
      </c>
      <c r="L118" s="850">
        <f t="shared" si="34"/>
        <v>0.51770000000000005</v>
      </c>
      <c r="M118" s="851">
        <f t="shared" si="34"/>
        <v>0.51770000000000005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45" t="s">
        <v>183</v>
      </c>
      <c r="B18" s="820" t="s">
        <v>560</v>
      </c>
      <c r="C18" s="821" t="s">
        <v>561</v>
      </c>
      <c r="D18" s="822"/>
      <c r="E18" s="820">
        <v>1</v>
      </c>
      <c r="F18" s="823" t="s">
        <v>562</v>
      </c>
      <c r="G18" s="824"/>
      <c r="H18" s="816"/>
      <c r="I18" s="816"/>
    </row>
    <row r="19" spans="1:9" s="825" customFormat="1" ht="19.5" customHeight="1">
      <c r="A19" s="3545"/>
      <c r="B19" s="3545" t="s">
        <v>563</v>
      </c>
      <c r="C19" s="821" t="s">
        <v>564</v>
      </c>
      <c r="D19" s="822"/>
      <c r="E19" s="820">
        <v>0.9</v>
      </c>
      <c r="F19" s="823" t="s">
        <v>565</v>
      </c>
      <c r="G19" s="824"/>
      <c r="H19" s="816"/>
      <c r="I19" s="816"/>
    </row>
    <row r="20" spans="1:9" s="825" customFormat="1" ht="19.5" customHeight="1">
      <c r="A20" s="3545"/>
      <c r="B20" s="3545"/>
      <c r="C20" s="821" t="s">
        <v>566</v>
      </c>
      <c r="D20" s="822"/>
      <c r="E20" s="820">
        <v>1.1000000000000001</v>
      </c>
      <c r="F20" s="823" t="s">
        <v>567</v>
      </c>
      <c r="G20" s="824"/>
      <c r="H20" s="816"/>
      <c r="I20" s="816"/>
    </row>
    <row r="21" spans="1:9" s="825" customFormat="1" ht="19.5" customHeight="1">
      <c r="A21" s="3545"/>
      <c r="B21" s="3545"/>
      <c r="C21" s="821" t="s">
        <v>568</v>
      </c>
      <c r="D21" s="822"/>
      <c r="E21" s="820">
        <v>0.8</v>
      </c>
      <c r="F21" s="823" t="s">
        <v>569</v>
      </c>
      <c r="G21" s="824"/>
      <c r="H21" s="816"/>
      <c r="I21" s="816"/>
    </row>
    <row r="22" spans="1:9" s="825" customFormat="1" ht="19.5" customHeight="1">
      <c r="A22" s="3545"/>
      <c r="B22" s="3545"/>
      <c r="C22" s="821" t="s">
        <v>570</v>
      </c>
      <c r="D22" s="822"/>
      <c r="E22" s="820">
        <v>0.5</v>
      </c>
      <c r="F22" s="823"/>
      <c r="G22" s="824"/>
      <c r="H22" s="816"/>
      <c r="I22" s="816"/>
    </row>
    <row r="23" spans="1:9" s="825" customFormat="1" ht="19.5" customHeight="1">
      <c r="A23" s="3545" t="s">
        <v>184</v>
      </c>
      <c r="B23" s="820" t="s">
        <v>560</v>
      </c>
      <c r="C23" s="821" t="s">
        <v>571</v>
      </c>
      <c r="D23" s="822"/>
      <c r="E23" s="820">
        <v>1</v>
      </c>
      <c r="F23" s="823" t="s">
        <v>572</v>
      </c>
      <c r="G23" s="824"/>
      <c r="H23" s="816"/>
      <c r="I23" s="816"/>
    </row>
    <row r="24" spans="1:9" s="825" customFormat="1" ht="19.5" customHeight="1">
      <c r="A24" s="3545"/>
      <c r="B24" s="3545" t="s">
        <v>563</v>
      </c>
      <c r="C24" s="821" t="s">
        <v>573</v>
      </c>
      <c r="D24" s="822"/>
      <c r="E24" s="820">
        <v>0.5</v>
      </c>
      <c r="F24" s="823"/>
      <c r="G24" s="824"/>
      <c r="H24" s="816"/>
      <c r="I24" s="816"/>
    </row>
    <row r="25" spans="1:9" s="825" customFormat="1" ht="19.5" customHeight="1">
      <c r="A25" s="3545"/>
      <c r="B25" s="3545"/>
      <c r="C25" s="821" t="s">
        <v>574</v>
      </c>
      <c r="D25" s="822"/>
      <c r="E25" s="820">
        <v>1.1000000000000001</v>
      </c>
      <c r="F25" s="823"/>
      <c r="G25" s="824"/>
      <c r="H25" s="816"/>
      <c r="I25" s="816"/>
    </row>
    <row r="26" spans="1:9" s="825" customFormat="1" ht="19.5" customHeight="1">
      <c r="A26" s="3545"/>
      <c r="B26" s="3545"/>
      <c r="C26" s="821" t="s">
        <v>575</v>
      </c>
      <c r="D26" s="822"/>
      <c r="E26" s="820">
        <v>1.1000000000000001</v>
      </c>
      <c r="F26" s="823"/>
      <c r="G26" s="824"/>
      <c r="H26" s="816"/>
      <c r="I26" s="816"/>
    </row>
    <row r="27" spans="1:9" s="825" customFormat="1" ht="19.5" customHeight="1">
      <c r="A27" s="3545"/>
      <c r="B27" s="3545"/>
      <c r="C27" s="821" t="s">
        <v>576</v>
      </c>
      <c r="D27" s="822"/>
      <c r="E27" s="820">
        <v>0.9</v>
      </c>
      <c r="F27" s="823" t="s">
        <v>577</v>
      </c>
      <c r="G27" s="824"/>
      <c r="H27" s="816"/>
      <c r="I27" s="816"/>
    </row>
    <row r="28" spans="1:9" s="825" customFormat="1" ht="19.5" customHeight="1">
      <c r="A28" s="3545"/>
      <c r="B28" s="3545"/>
      <c r="C28" s="821" t="s">
        <v>578</v>
      </c>
      <c r="D28" s="822"/>
      <c r="E28" s="820">
        <v>0.9</v>
      </c>
      <c r="F28" s="823" t="s">
        <v>579</v>
      </c>
      <c r="G28" s="824"/>
      <c r="H28" s="816"/>
      <c r="I28" s="816"/>
    </row>
    <row r="29" spans="1:9" s="825" customFormat="1" ht="19.5" customHeight="1">
      <c r="A29" s="3545"/>
      <c r="B29" s="3545"/>
      <c r="C29" s="821" t="s">
        <v>580</v>
      </c>
      <c r="D29" s="822"/>
      <c r="E29" s="820">
        <v>0.9</v>
      </c>
      <c r="F29" s="823" t="s">
        <v>581</v>
      </c>
      <c r="G29" s="824"/>
      <c r="H29" s="816"/>
      <c r="I29" s="816"/>
    </row>
    <row r="30" spans="1:9" s="825" customFormat="1" ht="19.5" customHeight="1">
      <c r="A30" s="3545"/>
      <c r="B30" s="3545"/>
      <c r="C30" s="821" t="s">
        <v>582</v>
      </c>
      <c r="D30" s="822"/>
      <c r="E30" s="820">
        <v>0.9</v>
      </c>
      <c r="F30" s="823" t="s">
        <v>583</v>
      </c>
      <c r="G30" s="824"/>
      <c r="H30" s="816"/>
      <c r="I30" s="816"/>
    </row>
    <row r="31" spans="1:9" s="825" customFormat="1" ht="19.5" customHeight="1">
      <c r="A31" s="3545"/>
      <c r="B31" s="3545"/>
      <c r="C31" s="821" t="s">
        <v>584</v>
      </c>
      <c r="D31" s="822"/>
      <c r="E31" s="820">
        <v>0.8</v>
      </c>
      <c r="F31" s="823" t="s">
        <v>585</v>
      </c>
      <c r="G31" s="824"/>
      <c r="H31" s="816"/>
      <c r="I31" s="816"/>
    </row>
    <row r="32" spans="1:9" s="825" customFormat="1" ht="19.5" customHeight="1">
      <c r="A32" s="3545"/>
      <c r="B32" s="3545"/>
      <c r="C32" s="821" t="s">
        <v>586</v>
      </c>
      <c r="D32" s="822"/>
      <c r="E32" s="820">
        <v>0.8</v>
      </c>
      <c r="F32" s="823" t="s">
        <v>587</v>
      </c>
      <c r="G32" s="824"/>
      <c r="H32" s="816"/>
      <c r="I32" s="816"/>
    </row>
    <row r="33" spans="1:9" s="825" customFormat="1" ht="19.5" customHeight="1">
      <c r="A33" s="3545" t="s">
        <v>185</v>
      </c>
      <c r="B33" s="820" t="s">
        <v>560</v>
      </c>
      <c r="C33" s="821" t="s">
        <v>588</v>
      </c>
      <c r="D33" s="822"/>
      <c r="E33" s="820">
        <v>1</v>
      </c>
      <c r="F33" s="823" t="s">
        <v>589</v>
      </c>
      <c r="G33" s="824"/>
      <c r="H33" s="816"/>
      <c r="I33" s="816"/>
    </row>
    <row r="34" spans="1:9" s="825" customFormat="1" ht="19.5" customHeight="1">
      <c r="A34" s="3545"/>
      <c r="B34" s="820" t="s">
        <v>563</v>
      </c>
      <c r="C34" s="821" t="s">
        <v>590</v>
      </c>
      <c r="D34" s="822"/>
      <c r="E34" s="820">
        <v>1.5</v>
      </c>
      <c r="F34" s="823" t="s">
        <v>591</v>
      </c>
      <c r="G34" s="824"/>
      <c r="H34" s="816"/>
      <c r="I34" s="816"/>
    </row>
    <row r="35" spans="1:9" s="825" customFormat="1" ht="19.5" customHeight="1">
      <c r="A35" s="3545" t="s">
        <v>186</v>
      </c>
      <c r="B35" s="820" t="s">
        <v>560</v>
      </c>
      <c r="C35" s="821" t="s">
        <v>592</v>
      </c>
      <c r="D35" s="822"/>
      <c r="E35" s="820">
        <v>1</v>
      </c>
      <c r="F35" s="823" t="s">
        <v>593</v>
      </c>
      <c r="G35" s="824"/>
      <c r="H35" s="816"/>
      <c r="I35" s="816"/>
    </row>
    <row r="36" spans="1:9" s="825" customFormat="1" ht="19.5" customHeight="1">
      <c r="A36" s="3545"/>
      <c r="B36" s="3545" t="s">
        <v>563</v>
      </c>
      <c r="C36" s="821" t="s">
        <v>594</v>
      </c>
      <c r="D36" s="822"/>
      <c r="E36" s="820">
        <v>1</v>
      </c>
      <c r="F36" s="823" t="s">
        <v>595</v>
      </c>
      <c r="G36" s="824"/>
      <c r="H36" s="816"/>
      <c r="I36" s="816"/>
    </row>
    <row r="37" spans="1:9" s="825" customFormat="1" ht="19.5" customHeight="1">
      <c r="A37" s="3545"/>
      <c r="B37" s="3545"/>
      <c r="C37" s="821" t="s">
        <v>596</v>
      </c>
      <c r="D37" s="822"/>
      <c r="E37" s="820">
        <v>1.5</v>
      </c>
      <c r="F37" s="823" t="s">
        <v>597</v>
      </c>
      <c r="G37" s="824"/>
      <c r="H37" s="816"/>
      <c r="I37" s="816"/>
    </row>
    <row r="38" spans="1:9" s="825" customFormat="1" ht="19.5" customHeight="1">
      <c r="A38" s="3545"/>
      <c r="B38" s="3545"/>
      <c r="C38" s="821" t="s">
        <v>598</v>
      </c>
      <c r="D38" s="822"/>
      <c r="E38" s="820">
        <v>1</v>
      </c>
      <c r="F38" s="823" t="s">
        <v>599</v>
      </c>
      <c r="G38" s="824"/>
      <c r="H38" s="816"/>
      <c r="I38" s="816"/>
    </row>
    <row r="39" spans="1:9" s="825" customFormat="1" ht="19.5" customHeight="1">
      <c r="A39" s="3545"/>
      <c r="B39" s="354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45" t="s">
        <v>614</v>
      </c>
      <c r="C61" s="756" t="s">
        <v>615</v>
      </c>
      <c r="D61" s="756" t="s">
        <v>616</v>
      </c>
      <c r="E61" s="833">
        <v>0.5</v>
      </c>
      <c r="F61" s="820">
        <v>80</v>
      </c>
    </row>
    <row r="62" spans="1:8" s="816" customFormat="1" ht="24">
      <c r="A62" s="820">
        <v>2</v>
      </c>
      <c r="B62" s="3545"/>
      <c r="C62" s="756" t="s">
        <v>617</v>
      </c>
      <c r="D62" s="756" t="s">
        <v>618</v>
      </c>
      <c r="E62" s="833">
        <v>0.5</v>
      </c>
      <c r="F62" s="820">
        <v>80</v>
      </c>
    </row>
    <row r="63" spans="1:8" s="816" customFormat="1" ht="36">
      <c r="A63" s="820">
        <v>3</v>
      </c>
      <c r="B63" s="3545"/>
      <c r="C63" s="756" t="s">
        <v>619</v>
      </c>
      <c r="D63" s="756" t="s">
        <v>620</v>
      </c>
      <c r="E63" s="833">
        <v>0.5</v>
      </c>
      <c r="F63" s="820">
        <v>80</v>
      </c>
    </row>
    <row r="64" spans="1:8" s="816" customFormat="1" ht="36">
      <c r="A64" s="820">
        <v>4</v>
      </c>
      <c r="B64" s="3545"/>
      <c r="C64" s="756" t="s">
        <v>621</v>
      </c>
      <c r="D64" s="756" t="s">
        <v>622</v>
      </c>
      <c r="E64" s="833">
        <v>0.4</v>
      </c>
      <c r="F64" s="820">
        <v>60</v>
      </c>
    </row>
    <row r="65" spans="1:6" s="816" customFormat="1" ht="36">
      <c r="A65" s="820">
        <v>5</v>
      </c>
      <c r="B65" s="3545"/>
      <c r="C65" s="756" t="s">
        <v>623</v>
      </c>
      <c r="D65" s="756" t="s">
        <v>624</v>
      </c>
      <c r="E65" s="833">
        <v>0.2</v>
      </c>
      <c r="F65" s="820">
        <v>30</v>
      </c>
    </row>
    <row r="66" spans="1:6" s="816" customFormat="1" ht="36">
      <c r="A66" s="820">
        <v>6</v>
      </c>
      <c r="B66" s="3545"/>
      <c r="C66" s="756" t="s">
        <v>625</v>
      </c>
      <c r="D66" s="756" t="s">
        <v>626</v>
      </c>
      <c r="E66" s="833">
        <v>0.3</v>
      </c>
      <c r="F66" s="820">
        <v>50</v>
      </c>
    </row>
    <row r="67" spans="1:6" s="816" customFormat="1" ht="36">
      <c r="A67" s="820">
        <v>7</v>
      </c>
      <c r="B67" s="3545"/>
      <c r="C67" s="756" t="s">
        <v>627</v>
      </c>
      <c r="D67" s="756" t="s">
        <v>628</v>
      </c>
      <c r="E67" s="833">
        <v>0.2</v>
      </c>
      <c r="F67" s="820">
        <v>30</v>
      </c>
    </row>
    <row r="68" spans="1:6" s="816" customFormat="1" ht="36">
      <c r="A68" s="820">
        <v>8</v>
      </c>
      <c r="B68" s="3545"/>
      <c r="C68" s="756" t="s">
        <v>629</v>
      </c>
      <c r="D68" s="756" t="s">
        <v>630</v>
      </c>
      <c r="E68" s="833">
        <v>0.2</v>
      </c>
      <c r="F68" s="820">
        <v>30</v>
      </c>
    </row>
    <row r="69" spans="1:6" s="816" customFormat="1" ht="36">
      <c r="A69" s="820">
        <v>9</v>
      </c>
      <c r="B69" s="3545"/>
      <c r="C69" s="756" t="s">
        <v>631</v>
      </c>
      <c r="D69" s="756" t="s">
        <v>632</v>
      </c>
      <c r="E69" s="833">
        <v>0.2</v>
      </c>
      <c r="F69" s="820">
        <v>30</v>
      </c>
    </row>
    <row r="70" spans="1:6" s="816" customFormat="1" ht="48">
      <c r="A70" s="820">
        <v>10</v>
      </c>
      <c r="B70" s="3545"/>
      <c r="C70" s="756" t="s">
        <v>633</v>
      </c>
      <c r="D70" s="756" t="s">
        <v>634</v>
      </c>
      <c r="E70" s="833">
        <v>0.2</v>
      </c>
      <c r="F70" s="820">
        <v>30</v>
      </c>
    </row>
    <row r="71" spans="1:6" s="816" customFormat="1" ht="48">
      <c r="A71" s="820">
        <v>11</v>
      </c>
      <c r="B71" s="3545"/>
      <c r="C71" s="756" t="s">
        <v>635</v>
      </c>
      <c r="D71" s="756" t="s">
        <v>636</v>
      </c>
      <c r="E71" s="833">
        <v>0.2</v>
      </c>
      <c r="F71" s="820">
        <v>30</v>
      </c>
    </row>
    <row r="72" spans="1:6" s="816" customFormat="1" ht="36">
      <c r="A72" s="820">
        <v>12</v>
      </c>
      <c r="B72" s="3545"/>
      <c r="C72" s="756" t="s">
        <v>637</v>
      </c>
      <c r="D72" s="756" t="s">
        <v>638</v>
      </c>
      <c r="E72" s="833">
        <v>0.5</v>
      </c>
      <c r="F72" s="820">
        <v>80</v>
      </c>
    </row>
    <row r="73" spans="1:6" s="816" customFormat="1" ht="24">
      <c r="A73" s="820">
        <v>13</v>
      </c>
      <c r="B73" s="3545"/>
      <c r="C73" s="756" t="s">
        <v>639</v>
      </c>
      <c r="D73" s="756" t="s">
        <v>640</v>
      </c>
      <c r="E73" s="833">
        <v>0.4</v>
      </c>
      <c r="F73" s="820">
        <v>60</v>
      </c>
    </row>
    <row r="74" spans="1:6" s="816" customFormat="1" ht="24">
      <c r="A74" s="820">
        <v>14</v>
      </c>
      <c r="B74" s="3545"/>
      <c r="C74" s="756" t="s">
        <v>641</v>
      </c>
      <c r="D74" s="756" t="s">
        <v>642</v>
      </c>
      <c r="E74" s="833">
        <v>0.2</v>
      </c>
      <c r="F74" s="820">
        <v>30</v>
      </c>
    </row>
    <row r="75" spans="1:6" s="816" customFormat="1" ht="24">
      <c r="A75" s="820">
        <v>15</v>
      </c>
      <c r="B75" s="3545"/>
      <c r="C75" s="756" t="s">
        <v>643</v>
      </c>
      <c r="D75" s="756" t="s">
        <v>644</v>
      </c>
      <c r="E75" s="833">
        <v>0.2</v>
      </c>
      <c r="F75" s="820">
        <v>30</v>
      </c>
    </row>
    <row r="76" spans="1:6" s="816" customFormat="1" ht="24">
      <c r="A76" s="820">
        <v>16</v>
      </c>
      <c r="B76" s="3545" t="s">
        <v>645</v>
      </c>
      <c r="C76" s="756" t="s">
        <v>646</v>
      </c>
      <c r="D76" s="756" t="s">
        <v>647</v>
      </c>
      <c r="E76" s="833">
        <v>0.5</v>
      </c>
      <c r="F76" s="820">
        <v>80</v>
      </c>
    </row>
    <row r="77" spans="1:6" s="816" customFormat="1" ht="24">
      <c r="A77" s="820">
        <v>17</v>
      </c>
      <c r="B77" s="3545"/>
      <c r="C77" s="756" t="s">
        <v>648</v>
      </c>
      <c r="D77" s="756" t="s">
        <v>649</v>
      </c>
      <c r="E77" s="833">
        <v>0.5</v>
      </c>
      <c r="F77" s="820">
        <v>80</v>
      </c>
    </row>
    <row r="78" spans="1:6" s="816" customFormat="1" ht="24">
      <c r="A78" s="820">
        <v>18</v>
      </c>
      <c r="B78" s="3545"/>
      <c r="C78" s="756" t="s">
        <v>650</v>
      </c>
      <c r="D78" s="756" t="s">
        <v>651</v>
      </c>
      <c r="E78" s="833">
        <v>0.2</v>
      </c>
      <c r="F78" s="820">
        <v>30</v>
      </c>
    </row>
    <row r="79" spans="1:6" s="816" customFormat="1" ht="24">
      <c r="A79" s="820">
        <v>19</v>
      </c>
      <c r="B79" s="3545"/>
      <c r="C79" s="756" t="s">
        <v>652</v>
      </c>
      <c r="D79" s="756" t="s">
        <v>653</v>
      </c>
      <c r="E79" s="833">
        <v>0.5</v>
      </c>
      <c r="F79" s="820">
        <v>80</v>
      </c>
    </row>
    <row r="80" spans="1:6" s="816" customFormat="1" ht="36">
      <c r="A80" s="820">
        <v>20</v>
      </c>
      <c r="B80" s="3545"/>
      <c r="C80" s="756" t="s">
        <v>654</v>
      </c>
      <c r="D80" s="756" t="s">
        <v>655</v>
      </c>
      <c r="E80" s="833">
        <v>0.2</v>
      </c>
      <c r="F80" s="820">
        <v>30</v>
      </c>
    </row>
    <row r="81" spans="1:6" s="816" customFormat="1" ht="36">
      <c r="A81" s="820">
        <v>21</v>
      </c>
      <c r="B81" s="3545"/>
      <c r="C81" s="756" t="s">
        <v>656</v>
      </c>
      <c r="D81" s="756" t="s">
        <v>657</v>
      </c>
      <c r="E81" s="833">
        <v>0.2</v>
      </c>
      <c r="F81" s="820">
        <v>30</v>
      </c>
    </row>
    <row r="82" spans="1:6" s="816" customFormat="1" ht="48">
      <c r="A82" s="820">
        <v>22</v>
      </c>
      <c r="B82" s="3545"/>
      <c r="C82" s="756" t="s">
        <v>658</v>
      </c>
      <c r="D82" s="756" t="s">
        <v>659</v>
      </c>
      <c r="E82" s="833">
        <v>0.2</v>
      </c>
      <c r="F82" s="820">
        <v>30</v>
      </c>
    </row>
    <row r="83" spans="1:6" s="816" customFormat="1" ht="48">
      <c r="A83" s="820">
        <v>23</v>
      </c>
      <c r="B83" s="3545"/>
      <c r="C83" s="756" t="s">
        <v>660</v>
      </c>
      <c r="D83" s="756" t="s">
        <v>661</v>
      </c>
      <c r="E83" s="833">
        <v>0.2</v>
      </c>
      <c r="F83" s="820">
        <v>30</v>
      </c>
    </row>
    <row r="84" spans="1:6" s="816" customFormat="1" ht="36">
      <c r="A84" s="820">
        <v>24</v>
      </c>
      <c r="B84" s="3545"/>
      <c r="C84" s="756" t="s">
        <v>662</v>
      </c>
      <c r="D84" s="756" t="s">
        <v>663</v>
      </c>
      <c r="E84" s="833">
        <v>0.2</v>
      </c>
      <c r="F84" s="820">
        <v>30</v>
      </c>
    </row>
    <row r="85" spans="1:6" s="816" customFormat="1" ht="36">
      <c r="A85" s="820">
        <v>25</v>
      </c>
      <c r="B85" s="3545"/>
      <c r="C85" s="756" t="s">
        <v>664</v>
      </c>
      <c r="D85" s="756" t="s">
        <v>665</v>
      </c>
      <c r="E85" s="833">
        <v>0.5</v>
      </c>
      <c r="F85" s="820">
        <v>80</v>
      </c>
    </row>
    <row r="86" spans="1:6" s="816" customFormat="1" ht="36">
      <c r="A86" s="820">
        <v>26</v>
      </c>
      <c r="B86" s="3545"/>
      <c r="C86" s="756" t="s">
        <v>666</v>
      </c>
      <c r="D86" s="756" t="s">
        <v>667</v>
      </c>
      <c r="E86" s="833">
        <v>0.2</v>
      </c>
      <c r="F86" s="820">
        <v>30</v>
      </c>
    </row>
    <row r="87" spans="1:6" s="816" customFormat="1" ht="36">
      <c r="A87" s="820">
        <v>27</v>
      </c>
      <c r="B87" s="3545"/>
      <c r="C87" s="756" t="s">
        <v>668</v>
      </c>
      <c r="D87" s="756" t="s">
        <v>669</v>
      </c>
      <c r="E87" s="833">
        <v>0.2</v>
      </c>
      <c r="F87" s="820">
        <v>30</v>
      </c>
    </row>
    <row r="88" spans="1:6" s="816" customFormat="1" ht="36">
      <c r="A88" s="820">
        <v>28</v>
      </c>
      <c r="B88" s="3545"/>
      <c r="C88" s="756" t="s">
        <v>670</v>
      </c>
      <c r="D88" s="756" t="s">
        <v>671</v>
      </c>
      <c r="E88" s="833">
        <v>0.2</v>
      </c>
      <c r="F88" s="820">
        <v>30</v>
      </c>
    </row>
    <row r="89" spans="1:6" s="816" customFormat="1" ht="24">
      <c r="A89" s="820">
        <v>29</v>
      </c>
      <c r="B89" s="3545"/>
      <c r="C89" s="756" t="s">
        <v>672</v>
      </c>
      <c r="D89" s="756" t="s">
        <v>673</v>
      </c>
      <c r="E89" s="833">
        <v>0.2</v>
      </c>
      <c r="F89" s="820">
        <v>30</v>
      </c>
    </row>
    <row r="90" spans="1:6" s="816" customFormat="1" ht="24">
      <c r="A90" s="820">
        <v>30</v>
      </c>
      <c r="B90" s="3545"/>
      <c r="C90" s="756" t="s">
        <v>674</v>
      </c>
      <c r="D90" s="756" t="s">
        <v>675</v>
      </c>
      <c r="E90" s="833">
        <v>0.2</v>
      </c>
      <c r="F90" s="820">
        <v>30</v>
      </c>
    </row>
    <row r="91" spans="1:6" s="816" customFormat="1" ht="36">
      <c r="A91" s="820">
        <v>31</v>
      </c>
      <c r="B91" s="3545"/>
      <c r="C91" s="756" t="s">
        <v>676</v>
      </c>
      <c r="D91" s="756" t="s">
        <v>677</v>
      </c>
      <c r="E91" s="833">
        <v>0.2</v>
      </c>
      <c r="F91" s="820">
        <v>30</v>
      </c>
    </row>
    <row r="92" spans="1:6" s="816" customFormat="1" ht="24">
      <c r="A92" s="820">
        <v>32</v>
      </c>
      <c r="B92" s="3545" t="s">
        <v>678</v>
      </c>
      <c r="C92" s="820" t="s">
        <v>679</v>
      </c>
      <c r="D92" s="756" t="s">
        <v>680</v>
      </c>
      <c r="E92" s="833">
        <v>0.2</v>
      </c>
      <c r="F92" s="820">
        <v>30</v>
      </c>
    </row>
    <row r="93" spans="1:6" s="816" customFormat="1" ht="36">
      <c r="A93" s="820">
        <v>33</v>
      </c>
      <c r="B93" s="3545"/>
      <c r="C93" s="820" t="s">
        <v>681</v>
      </c>
      <c r="D93" s="756" t="s">
        <v>682</v>
      </c>
      <c r="E93" s="833">
        <v>0.2</v>
      </c>
      <c r="F93" s="820">
        <v>30</v>
      </c>
    </row>
    <row r="94" spans="1:6" s="816" customFormat="1" ht="48">
      <c r="A94" s="820">
        <v>34</v>
      </c>
      <c r="B94" s="3545"/>
      <c r="C94" s="820" t="s">
        <v>683</v>
      </c>
      <c r="D94" s="756" t="s">
        <v>684</v>
      </c>
      <c r="E94" s="833">
        <v>0.2</v>
      </c>
      <c r="F94" s="820">
        <v>30</v>
      </c>
    </row>
    <row r="95" spans="1:6" s="816" customFormat="1" ht="36">
      <c r="A95" s="820">
        <v>35</v>
      </c>
      <c r="B95" s="3545"/>
      <c r="C95" s="820" t="s">
        <v>685</v>
      </c>
      <c r="D95" s="756" t="s">
        <v>686</v>
      </c>
      <c r="E95" s="833">
        <v>0.2</v>
      </c>
      <c r="F95" s="820">
        <v>30</v>
      </c>
    </row>
    <row r="96" spans="1:6" s="816" customFormat="1" ht="48">
      <c r="A96" s="820">
        <v>36</v>
      </c>
      <c r="B96" s="3545"/>
      <c r="C96" s="756" t="s">
        <v>687</v>
      </c>
      <c r="D96" s="756" t="s">
        <v>688</v>
      </c>
      <c r="E96" s="833">
        <v>0.2</v>
      </c>
      <c r="F96" s="820">
        <v>30</v>
      </c>
    </row>
    <row r="97" spans="1:6" s="816" customFormat="1" ht="36">
      <c r="A97" s="820">
        <v>37</v>
      </c>
      <c r="B97" s="3545"/>
      <c r="C97" s="820" t="s">
        <v>689</v>
      </c>
      <c r="D97" s="756" t="s">
        <v>690</v>
      </c>
      <c r="E97" s="833">
        <v>0.2</v>
      </c>
      <c r="F97" s="820">
        <v>30</v>
      </c>
    </row>
    <row r="98" spans="1:6" s="816" customFormat="1" ht="36">
      <c r="A98" s="820">
        <v>38</v>
      </c>
      <c r="B98" s="3545"/>
      <c r="C98" s="820" t="s">
        <v>691</v>
      </c>
      <c r="D98" s="756" t="s">
        <v>692</v>
      </c>
      <c r="E98" s="833">
        <v>0.2</v>
      </c>
      <c r="F98" s="820">
        <v>30</v>
      </c>
    </row>
    <row r="99" spans="1:6" s="816" customFormat="1" ht="36">
      <c r="A99" s="820">
        <v>39</v>
      </c>
      <c r="B99" s="3545" t="s">
        <v>693</v>
      </c>
      <c r="C99" s="820" t="s">
        <v>694</v>
      </c>
      <c r="D99" s="756" t="s">
        <v>695</v>
      </c>
      <c r="E99" s="833">
        <v>0.3</v>
      </c>
      <c r="F99" s="820">
        <v>50</v>
      </c>
    </row>
    <row r="100" spans="1:6" s="816" customFormat="1" ht="24">
      <c r="A100" s="820">
        <v>40</v>
      </c>
      <c r="B100" s="3545"/>
      <c r="C100" s="820" t="s">
        <v>696</v>
      </c>
      <c r="D100" s="756" t="s">
        <v>697</v>
      </c>
      <c r="E100" s="833">
        <v>0.2</v>
      </c>
      <c r="F100" s="820">
        <v>30</v>
      </c>
    </row>
    <row r="101" spans="1:6" s="816" customFormat="1" ht="36">
      <c r="A101" s="820">
        <v>41</v>
      </c>
      <c r="B101" s="354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45" t="s">
        <v>708</v>
      </c>
      <c r="C105" s="820" t="s">
        <v>709</v>
      </c>
      <c r="D105" s="756" t="s">
        <v>710</v>
      </c>
      <c r="E105" s="833">
        <v>0.2</v>
      </c>
      <c r="F105" s="820">
        <v>30</v>
      </c>
    </row>
    <row r="106" spans="1:6" s="816" customFormat="1" ht="36">
      <c r="A106" s="820">
        <v>46</v>
      </c>
      <c r="B106" s="3545"/>
      <c r="C106" s="820" t="s">
        <v>711</v>
      </c>
      <c r="D106" s="756" t="s">
        <v>712</v>
      </c>
      <c r="E106" s="833">
        <v>0.2</v>
      </c>
      <c r="F106" s="820">
        <v>30</v>
      </c>
    </row>
    <row r="107" spans="1:6" s="816" customFormat="1" ht="36">
      <c r="A107" s="820">
        <v>47</v>
      </c>
      <c r="B107" s="3545" t="s">
        <v>713</v>
      </c>
      <c r="C107" s="820" t="s">
        <v>714</v>
      </c>
      <c r="D107" s="756" t="s">
        <v>715</v>
      </c>
      <c r="E107" s="833">
        <v>0.3</v>
      </c>
      <c r="F107" s="820">
        <v>50</v>
      </c>
    </row>
    <row r="108" spans="1:6" s="816" customFormat="1" ht="36">
      <c r="A108" s="820">
        <v>48</v>
      </c>
      <c r="B108" s="354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45" t="s">
        <v>724</v>
      </c>
      <c r="C111" s="820" t="s">
        <v>725</v>
      </c>
      <c r="D111" s="756" t="s">
        <v>726</v>
      </c>
      <c r="E111" s="833">
        <v>0.2</v>
      </c>
      <c r="F111" s="820">
        <v>30</v>
      </c>
    </row>
    <row r="112" spans="1:6" s="816" customFormat="1" ht="24">
      <c r="A112" s="820">
        <v>52</v>
      </c>
      <c r="B112" s="3545"/>
      <c r="C112" s="820" t="s">
        <v>727</v>
      </c>
      <c r="D112" s="756" t="s">
        <v>728</v>
      </c>
      <c r="E112" s="833">
        <v>0.2</v>
      </c>
      <c r="F112" s="820">
        <v>30</v>
      </c>
    </row>
    <row r="113" spans="1:6" s="816" customFormat="1" ht="24">
      <c r="A113" s="820">
        <v>53</v>
      </c>
      <c r="B113" s="354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45" t="s">
        <v>737</v>
      </c>
      <c r="C116" s="820" t="s">
        <v>738</v>
      </c>
      <c r="D116" s="756" t="s">
        <v>739</v>
      </c>
      <c r="E116" s="833">
        <v>0.2</v>
      </c>
      <c r="F116" s="820">
        <v>30</v>
      </c>
    </row>
    <row r="117" spans="1:6" ht="36">
      <c r="A117" s="820">
        <v>57</v>
      </c>
      <c r="B117" s="354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0.89190000000000003</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2762</v>
      </c>
      <c r="B1" s="2330"/>
      <c r="C1" s="2330"/>
      <c r="D1" s="2330"/>
      <c r="E1" s="2330"/>
      <c r="F1" s="2991"/>
      <c r="G1" s="2991"/>
      <c r="H1" s="2991"/>
      <c r="I1" s="2991"/>
      <c r="J1" s="2991"/>
      <c r="K1" s="2991"/>
      <c r="L1" s="2991"/>
      <c r="M1" s="2991"/>
      <c r="N1" s="2991"/>
      <c r="O1" s="2991"/>
      <c r="P1" s="2991"/>
    </row>
    <row r="2" spans="1:16" ht="15.75">
      <c r="A2" s="2328" t="s">
        <v>2754</v>
      </c>
      <c r="B2" s="2795">
        <f ca="1">SUMIF(B6:B13,"&lt;&gt;#ref!",B6:B13)</f>
        <v>26819</v>
      </c>
      <c r="C2" s="2328" t="s">
        <v>2755</v>
      </c>
      <c r="D2" s="2328" t="s">
        <v>2756</v>
      </c>
      <c r="E2" s="2805">
        <f ca="1">SUMIF(E6:E13,"&lt;&gt;#ref!",E6:E13)</f>
        <v>26834.3</v>
      </c>
      <c r="F2" s="2991"/>
      <c r="G2" s="2991"/>
      <c r="H2" s="2991"/>
      <c r="I2" s="2991"/>
      <c r="J2" s="2991"/>
      <c r="K2" s="2991"/>
      <c r="L2" s="2991"/>
      <c r="M2" s="2991"/>
      <c r="N2" s="2991"/>
      <c r="O2" s="2991"/>
      <c r="P2" s="2991"/>
    </row>
    <row r="3" spans="1:16" ht="15.75">
      <c r="A3" s="2328" t="s">
        <v>2757</v>
      </c>
      <c r="B3" s="2795">
        <f ca="1">ROUND(B2*10000/E2,0)</f>
        <v>9994</v>
      </c>
      <c r="C3" s="2328" t="s">
        <v>2763</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2758</v>
      </c>
      <c r="B5" s="2803" t="s">
        <v>2759</v>
      </c>
      <c r="C5" s="2329"/>
      <c r="D5" s="2991"/>
      <c r="E5" s="2804" t="s">
        <v>2760</v>
      </c>
      <c r="F5" s="2991"/>
      <c r="G5" s="2991"/>
      <c r="H5" s="2991"/>
      <c r="I5" s="2991"/>
      <c r="J5" s="2991"/>
      <c r="K5" s="2991"/>
      <c r="L5" s="2991"/>
      <c r="M5" s="2991"/>
      <c r="N5" s="2991"/>
      <c r="O5" s="2991"/>
      <c r="P5" s="2991"/>
    </row>
    <row r="6" spans="1:16" ht="15.75">
      <c r="A6" s="2802" t="s">
        <v>2761</v>
      </c>
      <c r="B6" s="2795">
        <f ca="1">SUMIF(INDIRECT("'"&amp;A6&amp;"'"&amp;"!A:A"),"总价",INDIRECT("'"&amp;A6&amp;"'"&amp;"!B:B"))</f>
        <v>26819</v>
      </c>
      <c r="C6" s="2328" t="s">
        <v>2755</v>
      </c>
      <c r="D6" s="2991"/>
      <c r="E6" s="2805">
        <f ca="1">SUMIF(INDIRECT("'"&amp;A6&amp;"'"&amp;"!C:C"),"建筑面积",INDIRECT("'"&amp;A6&amp;"'"&amp;"!D:D"))</f>
        <v>26834.3</v>
      </c>
      <c r="F6" s="2991"/>
      <c r="G6" s="2991"/>
      <c r="H6" s="2991"/>
      <c r="I6" s="2991"/>
      <c r="J6" s="2991"/>
      <c r="K6" s="2991"/>
      <c r="L6" s="2991"/>
      <c r="M6" s="2991"/>
      <c r="N6" s="2991"/>
      <c r="O6" s="2991"/>
      <c r="P6" s="2991"/>
    </row>
    <row r="7" spans="1:16" ht="15.75">
      <c r="A7" s="2802"/>
      <c r="B7" s="2795" t="e">
        <f ca="1">SUMIF(INDIRECT("'"&amp;A7&amp;"'"&amp;"!A:A"),"总价",INDIRECT("'"&amp;A7&amp;"'"&amp;"!B:B"))</f>
        <v>#REF!</v>
      </c>
      <c r="C7" s="2328" t="s">
        <v>2755</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28" t="s">
        <v>2755</v>
      </c>
      <c r="D8" s="2991"/>
      <c r="E8" s="2805" t="e">
        <f t="shared" ca="1" si="0"/>
        <v>#REF!</v>
      </c>
      <c r="F8" s="2991"/>
      <c r="G8" s="2991"/>
      <c r="H8" s="2991"/>
      <c r="I8" s="2991"/>
      <c r="J8" s="2991"/>
      <c r="K8" s="2991"/>
      <c r="L8" s="2991"/>
      <c r="M8" s="2991"/>
      <c r="N8" s="2991"/>
      <c r="O8" s="2991"/>
      <c r="P8" s="2991"/>
    </row>
    <row r="9" spans="1:16" ht="15.75">
      <c r="A9" s="2802"/>
      <c r="B9" s="2795" t="e">
        <f t="shared" ca="1" si="1"/>
        <v>#REF!</v>
      </c>
      <c r="C9" s="2328" t="s">
        <v>2755</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28" t="s">
        <v>2755</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28" t="s">
        <v>2755</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28" t="s">
        <v>2755</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28" t="s">
        <v>2755</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551" t="s">
        <v>1058</v>
      </c>
      <c r="C1" s="3551"/>
      <c r="D1" s="3551"/>
      <c r="E1" s="3551"/>
      <c r="F1" s="3551"/>
      <c r="G1" s="3547" t="s">
        <v>1059</v>
      </c>
      <c r="H1" s="3547"/>
      <c r="I1" s="3547"/>
      <c r="J1" s="3547"/>
      <c r="K1" s="3547"/>
      <c r="L1" s="3547"/>
      <c r="N1" s="3547" t="s">
        <v>1060</v>
      </c>
      <c r="O1" s="3547"/>
      <c r="P1" s="3547"/>
      <c r="Q1" s="3547"/>
      <c r="S1" s="3547" t="s">
        <v>1061</v>
      </c>
      <c r="T1" s="3547"/>
      <c r="U1" s="3547"/>
      <c r="V1" s="3547"/>
      <c r="X1" s="3546" t="s">
        <v>1062</v>
      </c>
      <c r="Y1" s="3547"/>
      <c r="Z1" s="3547"/>
      <c r="AA1" s="3547"/>
      <c r="AB1" s="3547"/>
      <c r="AD1" s="3546" t="s">
        <v>1063</v>
      </c>
      <c r="AE1" s="3547"/>
      <c r="AF1" s="3547"/>
      <c r="AG1" s="3547"/>
      <c r="AH1" s="3547"/>
    </row>
    <row r="2" spans="1:34" s="2357" customFormat="1" ht="14.2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25">
      <c r="A3" s="2361" t="s">
        <v>2794</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3126</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2795</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3125</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3">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3002</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3001</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3000</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2998</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2997</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2811</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2809</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2808</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2807</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2805</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2803</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2806</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549">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2801</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549"/>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2800</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549"/>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2793</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556"/>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2791</v>
      </c>
      <c r="B22" s="2405">
        <v>439</v>
      </c>
      <c r="C22" s="2405">
        <v>327</v>
      </c>
      <c r="D22" s="2405">
        <f>C22</f>
        <v>327</v>
      </c>
      <c r="E22" s="2405">
        <v>627</v>
      </c>
      <c r="F22" s="2406">
        <v>283</v>
      </c>
      <c r="G22" s="3552">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2792</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549"/>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549"/>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556"/>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552">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549"/>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549"/>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550"/>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548">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549"/>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549"/>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550"/>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548">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549"/>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549"/>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550"/>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1071</v>
      </c>
      <c r="B38" s="2405">
        <v>299</v>
      </c>
      <c r="C38" s="2405">
        <v>252</v>
      </c>
      <c r="D38" s="2405">
        <f t="shared" si="213"/>
        <v>252</v>
      </c>
      <c r="E38" s="2405">
        <v>409</v>
      </c>
      <c r="F38" s="2406">
        <v>227</v>
      </c>
      <c r="G38" s="3553">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554"/>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554"/>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555"/>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1075</v>
      </c>
      <c r="B42" s="2440">
        <v>278</v>
      </c>
      <c r="C42" s="2440">
        <v>234</v>
      </c>
      <c r="D42" s="2440">
        <f t="shared" si="213"/>
        <v>234</v>
      </c>
      <c r="E42" s="2440">
        <v>379</v>
      </c>
      <c r="F42" s="2441">
        <v>220</v>
      </c>
      <c r="G42" s="3548">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549"/>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549"/>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1078</v>
      </c>
      <c r="B45" s="2391">
        <f>B44/(1+N44)</f>
        <v>275.19025476197027</v>
      </c>
      <c r="C45" s="2442">
        <v>232</v>
      </c>
      <c r="D45" s="2442">
        <f t="shared" si="213"/>
        <v>232</v>
      </c>
      <c r="E45" s="2391">
        <f t="shared" si="224"/>
        <v>375.65990977608692</v>
      </c>
      <c r="F45" s="2391">
        <f t="shared" si="224"/>
        <v>214.12518283971252</v>
      </c>
      <c r="G45" s="3550"/>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1079</v>
      </c>
      <c r="B46" s="2405">
        <v>275</v>
      </c>
      <c r="C46" s="2405">
        <v>232</v>
      </c>
      <c r="D46" s="2405">
        <f t="shared" si="213"/>
        <v>232</v>
      </c>
      <c r="E46" s="2405">
        <v>376</v>
      </c>
      <c r="F46" s="2406">
        <v>213</v>
      </c>
      <c r="G46" s="3548">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549">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549">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550">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1083</v>
      </c>
      <c r="B50" s="2405">
        <v>269</v>
      </c>
      <c r="C50" s="2405">
        <v>221</v>
      </c>
      <c r="D50" s="2405">
        <f t="shared" si="213"/>
        <v>221</v>
      </c>
      <c r="E50" s="2405">
        <v>373</v>
      </c>
      <c r="F50" s="2406">
        <v>196</v>
      </c>
      <c r="G50" s="3548">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549">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549">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550">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1087</v>
      </c>
      <c r="B54" s="2405">
        <v>220</v>
      </c>
      <c r="C54" s="2405">
        <v>187</v>
      </c>
      <c r="D54" s="2405">
        <f t="shared" si="213"/>
        <v>187</v>
      </c>
      <c r="E54" s="2405">
        <v>301</v>
      </c>
      <c r="F54" s="2406">
        <v>168</v>
      </c>
      <c r="G54" s="3548">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549">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549">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550">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1091</v>
      </c>
      <c r="B58" s="2440">
        <v>214</v>
      </c>
      <c r="C58" s="2440">
        <v>188</v>
      </c>
      <c r="D58" s="2440">
        <f t="shared" si="213"/>
        <v>188</v>
      </c>
      <c r="E58" s="2440">
        <v>289</v>
      </c>
      <c r="F58" s="2441">
        <v>166</v>
      </c>
      <c r="G58" s="3548">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549">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549">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550">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1095</v>
      </c>
      <c r="B62" s="2405">
        <v>188</v>
      </c>
      <c r="C62" s="2405">
        <v>165</v>
      </c>
      <c r="D62" s="2405">
        <f t="shared" si="213"/>
        <v>165</v>
      </c>
      <c r="E62" s="2405">
        <v>254</v>
      </c>
      <c r="F62" s="2406">
        <v>148</v>
      </c>
      <c r="G62" s="3548">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549">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549">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550">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1099</v>
      </c>
      <c r="B66" s="2419">
        <v>159</v>
      </c>
      <c r="C66" s="2419">
        <v>141</v>
      </c>
      <c r="D66" s="2419">
        <f t="shared" si="213"/>
        <v>141</v>
      </c>
      <c r="E66" s="2419">
        <v>195</v>
      </c>
      <c r="F66" s="2420">
        <v>122</v>
      </c>
      <c r="G66" s="3548">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549">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549">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550">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1103</v>
      </c>
      <c r="B70" s="2419">
        <v>138</v>
      </c>
      <c r="C70" s="2419">
        <v>131</v>
      </c>
      <c r="D70" s="2419">
        <f t="shared" si="213"/>
        <v>131</v>
      </c>
      <c r="E70" s="2419">
        <v>155</v>
      </c>
      <c r="F70" s="2420">
        <v>114</v>
      </c>
      <c r="G70" s="3548">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549">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549">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550">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1107</v>
      </c>
      <c r="B74" s="2440">
        <v>121</v>
      </c>
      <c r="C74" s="2440">
        <v>122</v>
      </c>
      <c r="D74" s="2440">
        <f t="shared" si="213"/>
        <v>122</v>
      </c>
      <c r="E74" s="2440">
        <v>124</v>
      </c>
      <c r="F74" s="2441">
        <v>107</v>
      </c>
      <c r="G74" s="3548">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549">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549">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550">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1111</v>
      </c>
      <c r="B78" s="2460">
        <v>111</v>
      </c>
      <c r="C78" s="2460">
        <v>114</v>
      </c>
      <c r="D78" s="2460">
        <f t="shared" si="213"/>
        <v>114</v>
      </c>
      <c r="E78" s="2460">
        <v>108</v>
      </c>
      <c r="F78" s="2461">
        <v>104</v>
      </c>
      <c r="G78" s="3548">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549">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549">
        <v>2003</v>
      </c>
      <c r="H80" s="2403">
        <v>2</v>
      </c>
      <c r="I80" s="2462"/>
      <c r="J80" s="2462"/>
      <c r="K80" s="2462"/>
      <c r="L80" s="2462"/>
      <c r="X80" s="2454"/>
      <c r="Y80" s="2454"/>
      <c r="Z80" s="2454"/>
    </row>
    <row r="81" spans="1:26" ht="13.5" thickBot="1">
      <c r="A81" s="2390" t="s">
        <v>1114</v>
      </c>
      <c r="B81" s="2464">
        <f t="shared" si="249"/>
        <v>107.25</v>
      </c>
      <c r="C81" s="2464">
        <f t="shared" si="249"/>
        <v>108.75</v>
      </c>
      <c r="D81" s="2464">
        <f t="shared" si="213"/>
        <v>108.75</v>
      </c>
      <c r="E81" s="2464">
        <f t="shared" si="250"/>
        <v>105.75</v>
      </c>
      <c r="F81" s="2464">
        <f t="shared" si="250"/>
        <v>102.5</v>
      </c>
      <c r="G81" s="3550">
        <v>2003</v>
      </c>
      <c r="H81" s="2465">
        <v>1</v>
      </c>
      <c r="I81" s="2462"/>
      <c r="J81" s="2462"/>
      <c r="K81" s="2462"/>
      <c r="L81" s="2462"/>
      <c r="S81" s="2393"/>
      <c r="T81" s="2378"/>
      <c r="U81" s="2378"/>
      <c r="X81" s="2454"/>
      <c r="Y81" s="2454"/>
      <c r="Z81" s="2454"/>
    </row>
    <row r="82" spans="1:26" ht="13.5" thickBot="1">
      <c r="A82" s="2390" t="s">
        <v>1115</v>
      </c>
      <c r="B82" s="2466">
        <v>106</v>
      </c>
      <c r="C82" s="2466">
        <v>107</v>
      </c>
      <c r="D82" s="2466">
        <f t="shared" si="213"/>
        <v>107</v>
      </c>
      <c r="E82" s="2466">
        <v>105</v>
      </c>
      <c r="F82" s="2467">
        <v>102</v>
      </c>
      <c r="G82" s="3548">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549">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549">
        <v>2002</v>
      </c>
      <c r="H84" s="2403">
        <v>2</v>
      </c>
      <c r="I84" s="2462"/>
      <c r="J84" s="2462"/>
      <c r="K84" s="2462"/>
      <c r="L84" s="2462"/>
      <c r="X84" s="2454"/>
      <c r="Y84" s="2454"/>
      <c r="Z84" s="2454"/>
    </row>
    <row r="85" spans="1:26" s="2427" customFormat="1" ht="13.5" thickBot="1">
      <c r="A85" s="2423" t="s">
        <v>1118</v>
      </c>
      <c r="B85" s="2430">
        <f t="shared" si="251"/>
        <v>103</v>
      </c>
      <c r="C85" s="2430">
        <f t="shared" si="251"/>
        <v>104</v>
      </c>
      <c r="D85" s="2430">
        <f t="shared" si="213"/>
        <v>104</v>
      </c>
      <c r="E85" s="2430">
        <f t="shared" si="252"/>
        <v>103.5</v>
      </c>
      <c r="F85" s="2430">
        <f t="shared" si="252"/>
        <v>100.5</v>
      </c>
      <c r="G85" s="3550">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5"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8" sqref="T2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2764</v>
      </c>
      <c r="C1" s="3560" t="s">
        <v>2765</v>
      </c>
      <c r="D1" s="3561"/>
      <c r="E1" s="3561"/>
      <c r="F1" s="3561"/>
      <c r="G1" s="3561"/>
      <c r="H1" s="3561"/>
      <c r="I1" s="3561"/>
      <c r="J1" s="3561"/>
      <c r="K1" s="3561"/>
      <c r="L1" s="3561"/>
      <c r="M1" s="3561"/>
      <c r="N1" s="3561"/>
      <c r="O1" s="3561"/>
      <c r="P1" s="3561"/>
      <c r="Q1" s="3561"/>
      <c r="R1" s="3561"/>
      <c r="S1" s="3562"/>
      <c r="T1" s="1113" t="s">
        <v>2766</v>
      </c>
    </row>
    <row r="2" spans="1:45" s="663" customFormat="1" ht="38.25">
      <c r="A2" s="1114"/>
      <c r="B2" s="659" t="s">
        <v>2767</v>
      </c>
      <c r="C2" s="660" t="str">
        <f t="shared" ref="C2:L2" si="0">C3&amp;"(含)"&amp;"-"&amp;D3</f>
        <v>0(含)-300</v>
      </c>
      <c r="D2" s="661" t="str">
        <f t="shared" si="0"/>
        <v>300(含)-500</v>
      </c>
      <c r="E2" s="661" t="str">
        <f t="shared" si="0"/>
        <v>500(含)-1000</v>
      </c>
      <c r="F2" s="661" t="str">
        <f t="shared" si="0"/>
        <v>1000(含)-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'比较法-办公'!C104</f>
        <v>0</v>
      </c>
      <c r="D3" s="665">
        <f>'比较法-办公'!D104</f>
        <v>300</v>
      </c>
      <c r="E3" s="665">
        <f>'比较法-办公'!E104</f>
        <v>500</v>
      </c>
      <c r="F3" s="665">
        <f>'比较法-办公'!F104</f>
        <v>1000</v>
      </c>
      <c r="G3" s="665"/>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665">
        <f>'比较法-办公'!C105</f>
        <v>96</v>
      </c>
      <c r="D4" s="665">
        <f>'比较法-办公'!D105</f>
        <v>98</v>
      </c>
      <c r="E4" s="665">
        <f>'比较法-办公'!E105</f>
        <v>100</v>
      </c>
      <c r="F4" s="665">
        <f>'比较法-办公'!F105</f>
        <v>98</v>
      </c>
      <c r="G4" s="665"/>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4" t="s">
        <v>2768</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5" t="s">
        <v>2769</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5" t="s">
        <v>2770</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4" t="s">
        <v>2771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4" t="s">
        <v>2772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4" t="s">
        <v>2773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31" t="s">
        <v>2774</v>
      </c>
      <c r="B17" s="2332" t="s">
        <v>2775</v>
      </c>
      <c r="C17" s="3224" t="s">
        <v>3187</v>
      </c>
      <c r="D17" s="3225" t="s">
        <v>3188</v>
      </c>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3" customFormat="1" ht="13.5" thickBot="1">
      <c r="A18" s="1149"/>
      <c r="B18" s="1150"/>
      <c r="C18" s="1151">
        <v>100</v>
      </c>
      <c r="D18" s="1152">
        <v>20</v>
      </c>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4"/>
      <c r="B19" s="164"/>
      <c r="C19" s="164"/>
      <c r="D19" s="2333" t="s">
        <v>2776</v>
      </c>
      <c r="E19" s="1492"/>
      <c r="F19" s="1492"/>
      <c r="G19" s="1492"/>
      <c r="H19" s="1188"/>
      <c r="I19" s="164"/>
      <c r="J19" s="164"/>
      <c r="K19" s="164"/>
      <c r="L19" s="164"/>
      <c r="M19" s="164"/>
      <c r="N19" s="164"/>
      <c r="O19" s="164"/>
      <c r="P19" s="164"/>
      <c r="Q19" s="164"/>
      <c r="R19" s="726"/>
      <c r="S19" s="134"/>
    </row>
    <row r="20" spans="1:45" ht="16.5" thickBot="1">
      <c r="A20" s="670" t="s">
        <v>2777</v>
      </c>
      <c r="B20" s="300">
        <f>IF(D20="——",S22,S22-F20)</f>
        <v>69940</v>
      </c>
      <c r="C20" s="164"/>
      <c r="D20" s="2334" t="s">
        <v>70</v>
      </c>
      <c r="E20" s="1493"/>
      <c r="F20" s="1113" t="e">
        <f ca="1">SUMIF(INDIRECT("'"&amp;H20&amp;"'"&amp;"!A:A"),"承租人权益价值",INDIRECT("'"&amp;H20&amp;"'"&amp;"!c:c"))</f>
        <v>#REF!</v>
      </c>
      <c r="G20" s="1113" t="s">
        <v>2778</v>
      </c>
      <c r="H20" s="2335"/>
      <c r="I20" s="164"/>
      <c r="J20" s="164"/>
      <c r="K20" s="164"/>
      <c r="L20" s="164"/>
      <c r="M20" s="164"/>
      <c r="N20" s="164"/>
      <c r="O20" s="164"/>
      <c r="P20" s="164"/>
      <c r="Q20" s="164"/>
      <c r="R20" s="726"/>
      <c r="S20" s="134"/>
    </row>
    <row r="21" spans="1:45" ht="15.75">
      <c r="A21" s="670" t="s">
        <v>2779</v>
      </c>
      <c r="B21" s="300">
        <f>ROUND(B20*10000/B22,0)</f>
        <v>26064</v>
      </c>
      <c r="C21" s="164"/>
      <c r="D21" s="164"/>
      <c r="E21" s="164"/>
      <c r="F21" s="164"/>
      <c r="G21" s="164"/>
      <c r="H21" s="164"/>
      <c r="I21" s="164"/>
      <c r="J21" s="164"/>
      <c r="K21" s="164"/>
      <c r="L21" s="164"/>
      <c r="M21" s="164"/>
      <c r="N21" s="164"/>
      <c r="O21" s="164"/>
      <c r="P21" s="164"/>
      <c r="Q21" s="164"/>
      <c r="R21" s="726"/>
      <c r="S21" s="134"/>
    </row>
    <row r="22" spans="1:45">
      <c r="A22" s="322" t="s">
        <v>2780</v>
      </c>
      <c r="B22" s="24">
        <f>SUM(B24:B10000)</f>
        <v>26834.3</v>
      </c>
      <c r="C22" s="3557" t="s">
        <v>33</v>
      </c>
      <c r="D22" s="3558"/>
      <c r="E22" s="3558"/>
      <c r="F22" s="3558"/>
      <c r="G22" s="3558"/>
      <c r="H22" s="3558"/>
      <c r="I22" s="3558"/>
      <c r="J22" s="3558"/>
      <c r="K22" s="3558"/>
      <c r="L22" s="3558"/>
      <c r="M22" s="3558"/>
      <c r="N22" s="3558"/>
      <c r="O22" s="3558"/>
      <c r="P22" s="3558"/>
      <c r="Q22" s="3559"/>
      <c r="R22" s="671">
        <f>ROUND(S22*10000/B22,0)</f>
        <v>26064</v>
      </c>
      <c r="S22" s="24">
        <f>SUM(S24:S10000)</f>
        <v>69940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2" t="s">
        <v>2784</v>
      </c>
      <c r="S23" s="11" t="s">
        <v>2785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3222" t="s">
        <v>3185</v>
      </c>
      <c r="B24" s="673">
        <f>'数据-汇总表'!F19</f>
        <v>24137.57</v>
      </c>
      <c r="C24" s="3008">
        <v>1</v>
      </c>
      <c r="D24" s="3009"/>
      <c r="E24" s="3008">
        <v>1</v>
      </c>
      <c r="F24" s="3009"/>
      <c r="G24" s="3008">
        <v>1</v>
      </c>
      <c r="H24" s="3009"/>
      <c r="I24" s="3008">
        <v>1</v>
      </c>
      <c r="J24" s="3009"/>
      <c r="K24" s="3008">
        <v>1</v>
      </c>
      <c r="L24" s="3009"/>
      <c r="M24" s="3008">
        <v>1</v>
      </c>
      <c r="N24" s="3009"/>
      <c r="O24" s="3008">
        <v>1</v>
      </c>
      <c r="P24" s="3226" t="s">
        <v>3189</v>
      </c>
      <c r="Q24" s="3008">
        <v>1</v>
      </c>
      <c r="R24" s="676">
        <f>'比较法-办公'!C50</f>
        <v>28342</v>
      </c>
      <c r="S24" s="674">
        <f t="shared" ref="S24:S54" si="11">ROUND(R24*B24/10000,0)</f>
        <v>68411</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3223" t="s">
        <v>3186</v>
      </c>
      <c r="B25" s="57">
        <f>'数据-汇总表'!G19</f>
        <v>2696.73</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3227" t="s">
        <v>3190</v>
      </c>
      <c r="Q25" s="24">
        <f>(SUMIF($17:$17,P25,$18:$18)-SUMIF($17:$17,$P$24,$18:$18)+100)/100</f>
        <v>0.2</v>
      </c>
      <c r="R25" s="671">
        <f>IF(B25="",0,ROUND($R$24*C25*E25*G25*I25*K25*M25*O25*Q25,0))</f>
        <v>5668</v>
      </c>
      <c r="S25" s="322">
        <f t="shared" si="11"/>
        <v>1529</v>
      </c>
    </row>
    <row r="26" spans="1:45">
      <c r="A26" s="155"/>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0</v>
      </c>
      <c r="R26" s="671">
        <f t="shared" ref="R26:R89" si="20">IF(B26="",0,ROUND($R$24*C26*E26*G26*I26*K26*M26*O26*Q26,0))</f>
        <v>0</v>
      </c>
      <c r="S26" s="322">
        <f t="shared" si="11"/>
        <v>0</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0</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0</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0</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9.5" thickBot="1">
      <c r="A4" s="1646"/>
      <c r="B4" s="3232" t="s">
        <v>1535</v>
      </c>
      <c r="C4" s="3232"/>
      <c r="D4" s="3232"/>
      <c r="E4" s="1646"/>
    </row>
    <row r="5" spans="1:5" ht="16.5" thickTop="1">
      <c r="A5" s="1644"/>
      <c r="B5" s="3230" t="s">
        <v>1527</v>
      </c>
      <c r="C5" s="1647" t="s">
        <v>1528</v>
      </c>
      <c r="D5" s="958">
        <f ca="1">结果表!H101</f>
        <v>66521</v>
      </c>
      <c r="E5" s="1644"/>
    </row>
    <row r="6" spans="1:5" ht="15.75">
      <c r="A6" s="1644"/>
      <c r="B6" s="3230"/>
      <c r="C6" s="1647" t="s">
        <v>1529</v>
      </c>
      <c r="D6" s="958" t="str">
        <f ca="1">NUMBERSTRING(INT(D5*10000),2)&amp;"元整"</f>
        <v>陆亿陆仟伍佰贰拾壹万元整</v>
      </c>
      <c r="E6" s="1644"/>
    </row>
    <row r="7" spans="1:5" ht="15.75">
      <c r="A7" s="1644"/>
      <c r="B7" s="3235"/>
      <c r="C7" s="1648" t="s">
        <v>1530</v>
      </c>
      <c r="D7" s="959">
        <f ca="1">结果表!H102</f>
        <v>24790</v>
      </c>
      <c r="E7" s="1644"/>
    </row>
    <row r="8" spans="1:5" ht="15.75">
      <c r="A8" s="1644"/>
      <c r="B8" s="3236" t="str">
        <f>结果表!E103</f>
        <v>2.估价师知悉的法定优先受偿款</v>
      </c>
      <c r="C8" s="1649" t="s">
        <v>1531</v>
      </c>
      <c r="D8" s="959">
        <f>结果表!H103</f>
        <v>0</v>
      </c>
      <c r="E8" s="1644"/>
    </row>
    <row r="9" spans="1:5" ht="15.75">
      <c r="A9" s="1644"/>
      <c r="B9" s="3238"/>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29" t="str">
        <f>结果表!E107</f>
        <v>3.房地产抵押价值</v>
      </c>
      <c r="C13" s="1652" t="s">
        <v>1528</v>
      </c>
      <c r="D13" s="961">
        <f ca="1">结果表!H107</f>
        <v>66521</v>
      </c>
      <c r="E13" s="1644"/>
    </row>
    <row r="14" spans="1:5" ht="15.75">
      <c r="A14" s="1644"/>
      <c r="B14" s="3230"/>
      <c r="C14" s="1647" t="s">
        <v>1529</v>
      </c>
      <c r="D14" s="958" t="str">
        <f ca="1">NUMBERSTRING(INT(D13*10000),2)&amp;"元整"</f>
        <v>陆亿陆仟伍佰贰拾壹万元整</v>
      </c>
      <c r="E14" s="1644"/>
    </row>
    <row r="15" spans="1:5" ht="15">
      <c r="A15" s="1644"/>
      <c r="B15" s="3235"/>
      <c r="C15" s="1648" t="s">
        <v>1539</v>
      </c>
      <c r="D15" s="967">
        <f ca="1">结果表!H108</f>
        <v>24790</v>
      </c>
      <c r="E15" s="1644"/>
    </row>
    <row r="16" spans="1:5" ht="15">
      <c r="A16" s="1644"/>
      <c r="B16" s="3236" t="str">
        <f>结果表!E109</f>
        <v>——</v>
      </c>
      <c r="C16" s="1652" t="s">
        <v>1540</v>
      </c>
      <c r="D16" s="1653" t="str">
        <f>结果表!H109</f>
        <v>——</v>
      </c>
      <c r="E16" s="1644"/>
    </row>
    <row r="17" spans="1:5" ht="15.75">
      <c r="A17" s="1644"/>
      <c r="B17" s="3237"/>
      <c r="C17" s="1647" t="s">
        <v>1541</v>
      </c>
      <c r="D17" s="958" t="e">
        <f>NUMBERSTRING(INT(D16*10000),2)&amp;"元整"</f>
        <v>#VALUE!</v>
      </c>
      <c r="E17" s="1644"/>
    </row>
    <row r="18" spans="1:5" ht="15">
      <c r="A18" s="1644"/>
      <c r="B18" s="3238"/>
      <c r="C18" s="1648" t="s">
        <v>1530</v>
      </c>
      <c r="D18" s="967" t="str">
        <f>结果表!H110</f>
        <v>——</v>
      </c>
      <c r="E18" s="1644"/>
    </row>
    <row r="19" spans="1:5" ht="15.75">
      <c r="A19" s="1644"/>
      <c r="B19" s="3229" t="str">
        <f>结果表!E111</f>
        <v>——</v>
      </c>
      <c r="C19" s="1652" t="s">
        <v>1528</v>
      </c>
      <c r="D19" s="959" t="str">
        <f>结果表!H111</f>
        <v>——</v>
      </c>
      <c r="E19" s="1644"/>
    </row>
    <row r="20" spans="1:5" ht="15.75">
      <c r="A20" s="1644"/>
      <c r="B20" s="3230"/>
      <c r="C20" s="1647" t="s">
        <v>1541</v>
      </c>
      <c r="D20" s="958" t="e">
        <f>NUMBERSTRING(INT(D19*10000),2)&amp;"元整"</f>
        <v>#VALUE!</v>
      </c>
      <c r="E20" s="1644"/>
    </row>
    <row r="21" spans="1:5" ht="15.75" thickBot="1">
      <c r="A21" s="1644"/>
      <c r="B21" s="3231"/>
      <c r="C21" s="1654" t="s">
        <v>1539</v>
      </c>
      <c r="D21" s="968"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40914</v>
      </c>
      <c r="C2" s="2" t="s">
        <v>133</v>
      </c>
      <c r="D2" s="205"/>
      <c r="E2" s="205"/>
      <c r="F2" s="205"/>
      <c r="G2" s="205"/>
    </row>
    <row r="3" spans="1:7" s="206" customFormat="1" ht="18" customHeight="1" thickBot="1">
      <c r="A3" s="209" t="s">
        <v>85</v>
      </c>
      <c r="B3" s="210">
        <f ca="1">ROUND(B2*10000/'数据-汇总表'!E3,0)</f>
        <v>15247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537</v>
      </c>
      <c r="D10" s="953">
        <f>'数据-汇总表'!E6</f>
        <v>26834.3</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537</v>
      </c>
      <c r="D19" s="957">
        <f>'数据-汇总表'!E3</f>
        <v>26834.3</v>
      </c>
      <c r="E19" s="217">
        <f>'数据-取费表'!B31</f>
        <v>200</v>
      </c>
      <c r="F19" s="237"/>
      <c r="G19" s="1" t="s">
        <v>1042</v>
      </c>
    </row>
    <row r="20" spans="1:7" s="220" customFormat="1" ht="13.5" customHeight="1">
      <c r="A20" s="884" t="s">
        <v>1025</v>
      </c>
      <c r="B20" s="216" t="s">
        <v>104</v>
      </c>
      <c r="C20" s="238">
        <f>ROUND((C5+C19)*F20,0)</f>
        <v>423</v>
      </c>
      <c r="D20" s="238"/>
      <c r="E20" s="238"/>
      <c r="F20" s="239">
        <f>'数据-取费表'!B37</f>
        <v>0.02</v>
      </c>
      <c r="G20" s="1197"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34">
        <f ca="1">ROUND(SUM(C23:C25),0)</f>
        <v>1832</v>
      </c>
      <c r="D22" s="241">
        <f ca="1">C26</f>
        <v>8.0000000000000004E-4</v>
      </c>
      <c r="E22" s="242" t="s">
        <v>126</v>
      </c>
      <c r="F22" s="243">
        <f ca="1">'数据-取费表'!B40</f>
        <v>4.2000000000000003E-2</v>
      </c>
      <c r="G22" s="1197" t="str">
        <f>IF('数据-取费表'!B22&lt;=1,"单利计息","复利计息")</f>
        <v>复利计息</v>
      </c>
    </row>
    <row r="23" spans="1:7" s="220" customFormat="1" ht="13.5" customHeight="1">
      <c r="A23" s="887" t="s">
        <v>794</v>
      </c>
      <c r="B23" s="221" t="s">
        <v>1029</v>
      </c>
      <c r="C23" s="1235">
        <f ca="1">ROUND(IF('数据-取费表'!B22&lt;=1,C5*F22*'数据-取费表'!B23,C5*(POWER((1+F22),'数据-取费表'!B23)-1)),0)</f>
        <v>1768</v>
      </c>
      <c r="D23" s="244"/>
      <c r="E23" s="244"/>
      <c r="F23" s="245"/>
      <c r="G23" s="246" t="s">
        <v>108</v>
      </c>
    </row>
    <row r="24" spans="1:7" s="220" customFormat="1" ht="13.5" customHeight="1">
      <c r="A24" s="887" t="s">
        <v>792</v>
      </c>
      <c r="B24" s="221" t="s">
        <v>1024</v>
      </c>
      <c r="C24" s="1235">
        <f ca="1">ROUND(IF('数据-取费表'!B22&lt;=1,C19*F22*('数据-取费表'!B19/2+'数据-取费表'!B21),C19*(POWER((1+F22),('数据-取费表'!B19/2+'数据-取费表'!B21))-1)),0)</f>
        <v>46</v>
      </c>
      <c r="D24" s="244"/>
      <c r="E24" s="244"/>
      <c r="F24" s="245"/>
      <c r="G24" s="246" t="s">
        <v>109</v>
      </c>
    </row>
    <row r="25" spans="1:7" s="220" customFormat="1" ht="24">
      <c r="A25" s="887" t="s">
        <v>793</v>
      </c>
      <c r="B25" s="221" t="s">
        <v>1026</v>
      </c>
      <c r="C25" s="1235">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8.0000000000000004E-4</v>
      </c>
      <c r="D26" s="244"/>
      <c r="E26" s="247"/>
      <c r="F26" s="245"/>
      <c r="G26" s="249"/>
    </row>
    <row r="27" spans="1:7" s="220" customFormat="1" ht="24.75">
      <c r="A27" s="884" t="s">
        <v>787</v>
      </c>
      <c r="B27" s="250" t="s">
        <v>112</v>
      </c>
      <c r="C27" s="251">
        <f>C28</f>
        <v>3236</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3236</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28835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11473</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10465</v>
      </c>
      <c r="D34" s="223"/>
      <c r="E34" s="226"/>
      <c r="F34" s="263">
        <f>IF('数据-取费表'!B24=0,1,'数据-取费表'!N16)</f>
        <v>1</v>
      </c>
      <c r="G34" s="225" t="s">
        <v>116</v>
      </c>
    </row>
    <row r="35" spans="1:7" ht="13.5" customHeight="1">
      <c r="A35" s="887" t="s">
        <v>796</v>
      </c>
      <c r="B35" s="221" t="s">
        <v>60</v>
      </c>
      <c r="C35" s="226">
        <f>ROUND(C34*F35,0)</f>
        <v>314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537</v>
      </c>
      <c r="D37" s="223">
        <f>'数据-汇总表'!E3</f>
        <v>26834.3</v>
      </c>
      <c r="E37" s="255">
        <f>'数据-取费表'!B35</f>
        <v>200</v>
      </c>
      <c r="F37" s="265"/>
      <c r="G37" s="267" t="s">
        <v>119</v>
      </c>
    </row>
    <row r="38" spans="1:7" ht="13.5" customHeight="1">
      <c r="A38" s="887" t="s">
        <v>799</v>
      </c>
      <c r="B38" s="221" t="s">
        <v>63</v>
      </c>
      <c r="C38" s="226">
        <f>ROUND(C34*F38,0)</f>
        <v>157</v>
      </c>
      <c r="D38" s="226"/>
      <c r="E38" s="226"/>
      <c r="F38" s="265">
        <f>'数据-取费表'!B36</f>
        <v>1.4999999999999999E-2</v>
      </c>
      <c r="G38" s="225" t="s">
        <v>117</v>
      </c>
    </row>
    <row r="39" spans="1:7" s="220" customFormat="1" ht="13.5" customHeight="1">
      <c r="A39" s="884" t="s">
        <v>783</v>
      </c>
      <c r="B39" s="216" t="s">
        <v>104</v>
      </c>
      <c r="C39" s="238">
        <f>ROUND(C33*F20,0)</f>
        <v>229</v>
      </c>
      <c r="D39" s="238"/>
      <c r="E39" s="238"/>
      <c r="F39" s="239"/>
      <c r="G39" s="1197"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492</v>
      </c>
      <c r="D41" s="241">
        <f ca="1">C44</f>
        <v>8.0000000000000004E-4</v>
      </c>
      <c r="E41" s="242" t="s">
        <v>129</v>
      </c>
      <c r="F41" s="243"/>
      <c r="G41" s="1197" t="str">
        <f>IF('数据-取费表'!B22&lt;=1,"单利计息","复利计息")</f>
        <v>复利计息</v>
      </c>
    </row>
    <row r="42" spans="1:7" ht="13.5" customHeight="1">
      <c r="A42" s="887" t="s">
        <v>794</v>
      </c>
      <c r="B42" s="221" t="s">
        <v>1029</v>
      </c>
      <c r="C42" s="244">
        <f ca="1">ROUND(IF('数据-取费表'!B22&lt;=1,C33*F22*'数据-取费表'!B21/2,C33*(POWER((1+F22),'数据-取费表'!B21/2)-1)),0)</f>
        <v>482</v>
      </c>
      <c r="D42" s="244"/>
      <c r="E42" s="244"/>
      <c r="F42" s="245"/>
      <c r="G42" s="3417" t="s">
        <v>121</v>
      </c>
    </row>
    <row r="43" spans="1:7" ht="13.5" customHeight="1">
      <c r="A43" s="887" t="s">
        <v>792</v>
      </c>
      <c r="B43" s="221" t="s">
        <v>1032</v>
      </c>
      <c r="C43" s="244">
        <f ca="1">ROUND(IF('数据-取费表'!B22&lt;=1,C39*F22*'数据-取费表'!B21/2,C39*(POWER((1+F22),'数据-取费表'!B21/2)-1)),0)</f>
        <v>10</v>
      </c>
      <c r="D43" s="244"/>
      <c r="E43" s="244"/>
      <c r="F43" s="245"/>
      <c r="G43" s="3418"/>
    </row>
    <row r="44" spans="1:7" ht="13.5" customHeight="1">
      <c r="A44" s="887" t="s">
        <v>793</v>
      </c>
      <c r="B44" s="221" t="s">
        <v>1034</v>
      </c>
      <c r="C44" s="244">
        <f ca="1">ROUND(IF('数据-取费表'!B22&lt;=1,C40*F22*'数据-取费表'!B21/2,C40*(POWER((1+F22),'数据-取费表'!B21/2)-1)),4)</f>
        <v>8.0000000000000004E-4</v>
      </c>
      <c r="D44" s="244"/>
      <c r="E44" s="244"/>
      <c r="F44" s="245"/>
      <c r="G44" s="3419"/>
    </row>
    <row r="45" spans="1:7" s="220" customFormat="1" ht="13.5" customHeight="1">
      <c r="A45" s="884" t="s">
        <v>786</v>
      </c>
      <c r="B45" s="250" t="s">
        <v>112</v>
      </c>
      <c r="C45" s="251">
        <f>C46</f>
        <v>1755</v>
      </c>
      <c r="D45" s="241">
        <f>C47</f>
        <v>3.0000000000000001E-3</v>
      </c>
      <c r="E45" s="242" t="s">
        <v>129</v>
      </c>
      <c r="F45" s="252"/>
      <c r="G45" s="253" t="s">
        <v>1040</v>
      </c>
    </row>
    <row r="46" spans="1:7" s="220" customFormat="1" ht="13.5" customHeight="1">
      <c r="A46" s="887" t="s">
        <v>794</v>
      </c>
      <c r="B46" s="254" t="s">
        <v>1033</v>
      </c>
      <c r="C46" s="255">
        <f>ROUND((C33+C39)*F27,0)</f>
        <v>1755</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15099</v>
      </c>
      <c r="D49" s="238"/>
      <c r="E49" s="238"/>
      <c r="F49" s="270"/>
      <c r="G49" s="240" t="s">
        <v>1041</v>
      </c>
    </row>
    <row r="50" spans="1:7" s="264" customFormat="1" ht="24">
      <c r="A50" s="884" t="s">
        <v>789</v>
      </c>
      <c r="B50" s="216" t="s">
        <v>124</v>
      </c>
      <c r="C50" s="238"/>
      <c r="D50" s="238"/>
      <c r="E50" s="238"/>
      <c r="F50" s="270">
        <f>IF('数据-取费表'!B24=0,'数据-取费表'!N16,1)</f>
        <v>0.8</v>
      </c>
      <c r="G50" s="253" t="s">
        <v>125</v>
      </c>
    </row>
    <row r="51" spans="1:7" ht="16.5" customHeight="1">
      <c r="A51" s="884" t="s">
        <v>790</v>
      </c>
      <c r="B51" s="216" t="s">
        <v>132</v>
      </c>
      <c r="C51" s="238">
        <f ca="1">ROUND(C49*F50,0)</f>
        <v>12079</v>
      </c>
      <c r="D51" s="238"/>
      <c r="E51" s="238"/>
      <c r="F51" s="270"/>
      <c r="G51" s="240" t="s">
        <v>64</v>
      </c>
    </row>
    <row r="52" spans="1:7" s="214" customFormat="1" ht="16.5" thickBot="1">
      <c r="A52" s="271" t="s">
        <v>65</v>
      </c>
      <c r="B52" s="272"/>
      <c r="C52" s="273">
        <f ca="1">C31+C51</f>
        <v>40914</v>
      </c>
      <c r="D52" s="272"/>
      <c r="E52" s="272"/>
      <c r="F52" s="272"/>
      <c r="G52" s="274"/>
    </row>
    <row r="55" spans="1:7" ht="15">
      <c r="B55" s="276" t="s">
        <v>66</v>
      </c>
      <c r="C55" s="277"/>
    </row>
    <row r="56" spans="1:7">
      <c r="B56" s="279" t="s">
        <v>67</v>
      </c>
      <c r="C56" s="280">
        <f ca="1">ROUND(C51/C52,3)</f>
        <v>0.29499999999999998</v>
      </c>
    </row>
    <row r="57" spans="1:7">
      <c r="B57" s="279" t="s">
        <v>68</v>
      </c>
      <c r="C57" s="281">
        <f ca="1">1-C56</f>
        <v>0.70500000000000007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63" t="s">
        <v>156</v>
      </c>
      <c r="B1" s="3563"/>
      <c r="C1" s="3563"/>
      <c r="D1" s="3563"/>
      <c r="E1" s="3563"/>
      <c r="F1" s="356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64" t="s">
        <v>169</v>
      </c>
      <c r="B2" s="3564"/>
      <c r="C2" s="3564"/>
      <c r="D2" s="3564"/>
      <c r="E2" s="3564"/>
      <c r="F2" s="356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6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6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63" t="s">
        <v>839</v>
      </c>
      <c r="B1" s="356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44645</v>
      </c>
      <c r="D1" s="1440" t="s">
        <v>1209</v>
      </c>
      <c r="E1" s="1435">
        <f>'数据-取费表'!B22</f>
        <v>2</v>
      </c>
      <c r="F1" s="1440" t="s">
        <v>1210</v>
      </c>
      <c r="G1" s="1436">
        <f ca="1">INDIRECT("d"&amp;$K$1)/100</f>
        <v>3.7000000000000005E-2</v>
      </c>
      <c r="H1" s="1440" t="s">
        <v>1240</v>
      </c>
      <c r="I1" s="1436">
        <f ca="1">F4/100</f>
        <v>1.4999999999999999E-2</v>
      </c>
      <c r="J1" s="1441">
        <f>IF(C1&gt;C13,0,MATCH(C1,C$13:C$107,-1))+IF(SUMIF(C13:C107,C1,D13:D107)=0,13,12)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9">
        <v>44581</v>
      </c>
      <c r="D13" s="3020">
        <v>3.7</v>
      </c>
      <c r="E13" s="3020">
        <f>D13</f>
        <v>3.7</v>
      </c>
      <c r="F13" s="3020">
        <f>D13</f>
        <v>3.7</v>
      </c>
      <c r="G13" s="3020">
        <f>D13</f>
        <v>3.7</v>
      </c>
      <c r="H13" s="3020">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5"/>
      <c r="C14" s="3016">
        <v>44550</v>
      </c>
      <c r="D14" s="3015">
        <v>3.8</v>
      </c>
      <c r="E14" s="3015">
        <f>D14</f>
        <v>3.8</v>
      </c>
      <c r="F14" s="3015">
        <f>D14</f>
        <v>3.8</v>
      </c>
      <c r="G14" s="3015">
        <f>D14</f>
        <v>3.8</v>
      </c>
      <c r="H14" s="3015">
        <v>4.6500000000000004</v>
      </c>
      <c r="I14" s="3015"/>
      <c r="J14" s="3020"/>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5"/>
      <c r="C15" s="3016">
        <v>43941</v>
      </c>
      <c r="D15" s="3015">
        <v>3.85</v>
      </c>
      <c r="E15" s="3015">
        <v>3.85</v>
      </c>
      <c r="F15" s="3015">
        <v>3.85</v>
      </c>
      <c r="G15" s="3015">
        <v>3.85</v>
      </c>
      <c r="H15" s="3015">
        <v>4.6500000000000004</v>
      </c>
      <c r="I15" s="3015"/>
      <c r="J15" s="3015"/>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5"/>
      <c r="C16" s="3016">
        <v>43881</v>
      </c>
      <c r="D16" s="3015">
        <v>4.05</v>
      </c>
      <c r="E16" s="3015">
        <v>4.05</v>
      </c>
      <c r="F16" s="3015">
        <v>4.05</v>
      </c>
      <c r="G16" s="3015">
        <v>4.05</v>
      </c>
      <c r="H16" s="3015">
        <v>4.75</v>
      </c>
      <c r="I16" s="3015"/>
      <c r="J16" s="3015"/>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c r="C17" s="3016">
        <v>43789</v>
      </c>
      <c r="D17" s="3015">
        <v>4.1500000000000004</v>
      </c>
      <c r="E17" s="3015">
        <v>4.1500000000000004</v>
      </c>
      <c r="F17" s="3015">
        <v>4.1500000000000004</v>
      </c>
      <c r="G17" s="3015">
        <v>4.1500000000000004</v>
      </c>
      <c r="H17" s="3015">
        <v>4.8</v>
      </c>
      <c r="I17" s="3015"/>
      <c r="J17" s="3015"/>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2"/>
      <c r="B19" s="3014" t="s">
        <v>2999</v>
      </c>
      <c r="C19" s="3017">
        <v>43697</v>
      </c>
      <c r="D19" s="3018">
        <v>4.25</v>
      </c>
      <c r="E19" s="3018">
        <v>4.25</v>
      </c>
      <c r="F19" s="3018">
        <v>4.25</v>
      </c>
      <c r="G19" s="3018">
        <v>4.25</v>
      </c>
      <c r="H19" s="3018">
        <v>4.8499999999999996</v>
      </c>
      <c r="I19" s="3018"/>
      <c r="J19" s="3018"/>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21"/>
      <c r="B20" s="3022"/>
      <c r="C20" s="3023">
        <v>42301</v>
      </c>
      <c r="D20" s="3024">
        <v>4.3499999999999996</v>
      </c>
      <c r="E20" s="3024">
        <v>4.3499999999999996</v>
      </c>
      <c r="F20" s="3024">
        <v>4.75</v>
      </c>
      <c r="G20" s="3024">
        <v>4.75</v>
      </c>
      <c r="H20" s="3024">
        <v>4.9000000000000004</v>
      </c>
      <c r="I20" s="3024"/>
      <c r="J20" s="3024"/>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36"/>
  <sheetViews>
    <sheetView workbookViewId="0">
      <selection activeCell="F40" sqref="F40"/>
    </sheetView>
  </sheetViews>
  <sheetFormatPr defaultRowHeight="13.5"/>
  <cols>
    <col min="2" max="2" width="12.125" customWidth="1"/>
    <col min="3" max="3" width="9.5" bestFit="1" customWidth="1"/>
    <col min="4" max="4" width="13.125" customWidth="1"/>
  </cols>
  <sheetData>
    <row r="4" spans="2:6">
      <c r="D4" s="3206"/>
    </row>
    <row r="5" spans="2:6">
      <c r="B5" s="3205">
        <v>41496</v>
      </c>
      <c r="C5" s="3205">
        <v>41860</v>
      </c>
      <c r="D5">
        <v>3941</v>
      </c>
      <c r="E5">
        <v>26834.3</v>
      </c>
      <c r="F5">
        <f>ROUND(D5/E5/365*10000,2)</f>
        <v>4.0199999999999996</v>
      </c>
    </row>
    <row r="6" spans="2:6">
      <c r="B6" s="3205">
        <v>41861</v>
      </c>
      <c r="C6" s="3205">
        <v>42225</v>
      </c>
      <c r="D6">
        <v>3942</v>
      </c>
      <c r="E6">
        <f>E5</f>
        <v>26834.3</v>
      </c>
      <c r="F6">
        <f t="shared" ref="F6:F14" si="0">ROUND(D6/E6/365*10000,2)</f>
        <v>4.0199999999999996</v>
      </c>
    </row>
    <row r="7" spans="2:6">
      <c r="B7" s="3205">
        <v>42226</v>
      </c>
      <c r="C7" s="3205">
        <v>42591</v>
      </c>
      <c r="D7">
        <v>4024</v>
      </c>
      <c r="E7">
        <f t="shared" ref="E7:E14" si="1">E6</f>
        <v>26834.3</v>
      </c>
      <c r="F7">
        <f t="shared" si="0"/>
        <v>4.1100000000000003</v>
      </c>
    </row>
    <row r="8" spans="2:6">
      <c r="B8" s="3205">
        <v>42592</v>
      </c>
      <c r="C8" s="3205">
        <v>42956</v>
      </c>
      <c r="D8">
        <v>4346</v>
      </c>
      <c r="E8">
        <f t="shared" si="1"/>
        <v>26834.3</v>
      </c>
      <c r="F8">
        <f t="shared" si="0"/>
        <v>4.4400000000000004</v>
      </c>
    </row>
    <row r="9" spans="2:6">
      <c r="B9" s="3205">
        <v>42957</v>
      </c>
      <c r="C9" s="3205">
        <v>43321</v>
      </c>
      <c r="D9">
        <v>4694</v>
      </c>
      <c r="E9">
        <f t="shared" si="1"/>
        <v>26834.3</v>
      </c>
      <c r="F9">
        <f t="shared" si="0"/>
        <v>4.79</v>
      </c>
    </row>
    <row r="10" spans="2:6">
      <c r="B10" s="3205">
        <v>43322</v>
      </c>
      <c r="C10" s="3205">
        <v>43686</v>
      </c>
      <c r="D10">
        <v>5070</v>
      </c>
      <c r="E10">
        <f t="shared" si="1"/>
        <v>26834.3</v>
      </c>
      <c r="F10">
        <f t="shared" si="0"/>
        <v>5.18</v>
      </c>
    </row>
    <row r="11" spans="2:6">
      <c r="B11" s="3205">
        <v>43687</v>
      </c>
      <c r="C11" s="3205">
        <v>44052</v>
      </c>
      <c r="D11">
        <v>5475</v>
      </c>
      <c r="E11">
        <f t="shared" si="1"/>
        <v>26834.3</v>
      </c>
      <c r="F11">
        <f t="shared" si="0"/>
        <v>5.59</v>
      </c>
    </row>
    <row r="12" spans="2:6">
      <c r="B12" s="3205">
        <v>44053</v>
      </c>
      <c r="C12" s="3205">
        <v>44417</v>
      </c>
      <c r="D12">
        <v>5013</v>
      </c>
      <c r="E12">
        <f t="shared" si="1"/>
        <v>26834.3</v>
      </c>
      <c r="F12">
        <f t="shared" si="0"/>
        <v>5.12</v>
      </c>
    </row>
    <row r="13" spans="2:6">
      <c r="B13" s="3205">
        <v>44418</v>
      </c>
      <c r="C13" s="3205">
        <v>44782</v>
      </c>
      <c r="D13">
        <v>6386</v>
      </c>
      <c r="E13">
        <f t="shared" si="1"/>
        <v>26834.3</v>
      </c>
      <c r="F13">
        <f t="shared" si="0"/>
        <v>6.52</v>
      </c>
    </row>
    <row r="14" spans="2:6">
      <c r="B14" s="3205">
        <v>44783</v>
      </c>
      <c r="C14" s="3205">
        <v>45147</v>
      </c>
      <c r="D14">
        <v>6897</v>
      </c>
      <c r="E14">
        <f t="shared" si="1"/>
        <v>26834.3</v>
      </c>
      <c r="F14">
        <f t="shared" si="0"/>
        <v>7.04</v>
      </c>
    </row>
    <row r="15" spans="2:6">
      <c r="B15" s="3205"/>
    </row>
    <row r="16" spans="2:6">
      <c r="B16" s="3205"/>
    </row>
    <row r="17" spans="2:2">
      <c r="B17" s="3205"/>
    </row>
    <row r="18" spans="2:2">
      <c r="B18" s="3205"/>
    </row>
    <row r="34" spans="3:4">
      <c r="D34" s="3206"/>
    </row>
    <row r="36" spans="3:4">
      <c r="C36" s="3206" t="s">
        <v>3176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39" t="str">
        <f>IF(项目基本情况!B9="房地产市场价值","估价结果一览表","结果表-2")</f>
        <v>结果表-2</v>
      </c>
      <c r="B1" s="3239"/>
      <c r="C1" s="3239"/>
      <c r="D1" s="3239"/>
      <c r="E1" s="3239"/>
      <c r="F1" s="3239"/>
      <c r="G1" s="3239"/>
      <c r="H1" s="3239"/>
      <c r="I1" s="3239"/>
    </row>
    <row r="2" spans="1:9" ht="30" customHeight="1" thickTop="1">
      <c r="A2" s="3240" t="s">
        <v>1546</v>
      </c>
      <c r="B2" s="3240" t="s">
        <v>1547</v>
      </c>
      <c r="C2" s="3240" t="s">
        <v>1548</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962" t="s">
        <v>1543</v>
      </c>
      <c r="E3" s="962" t="s">
        <v>1549</v>
      </c>
      <c r="F3" s="962" t="s">
        <v>1543</v>
      </c>
      <c r="G3" s="962" t="s">
        <v>1544</v>
      </c>
      <c r="H3" s="962" t="s">
        <v>1543</v>
      </c>
      <c r="I3" s="962" t="s">
        <v>1544</v>
      </c>
    </row>
    <row r="4" spans="1:9" ht="15">
      <c r="A4" s="1658" t="str">
        <f>项目基本情况!S2</f>
        <v>北京市房地产</v>
      </c>
      <c r="B4" s="962">
        <f>项目基本情况!C17</f>
        <v>26834.3</v>
      </c>
      <c r="C4" s="962">
        <f>项目基本情况!C18</f>
        <v>6706.16</v>
      </c>
      <c r="D4" s="962">
        <f ca="1">结果表!D118</f>
        <v>47895</v>
      </c>
      <c r="E4" s="962">
        <f ca="1">结果表!E118</f>
        <v>17849</v>
      </c>
      <c r="F4" s="962">
        <f ca="1">结果表!F118</f>
        <v>18626</v>
      </c>
      <c r="G4" s="962">
        <f ca="1">结果表!G118</f>
        <v>6941</v>
      </c>
      <c r="H4" s="962">
        <f ca="1">结果表!H118</f>
        <v>66521</v>
      </c>
      <c r="I4" s="962">
        <f ca="1">结果表!I118</f>
        <v>24790</v>
      </c>
    </row>
    <row r="5" spans="1:9" ht="30" customHeight="1">
      <c r="A5" s="3241" t="s">
        <v>1545</v>
      </c>
      <c r="B5" s="3241"/>
      <c r="C5" s="3241"/>
      <c r="D5" s="3242" t="str">
        <f ca="1">结果表!D119</f>
        <v>肆亿柒仟捌佰玖拾伍万元整</v>
      </c>
      <c r="E5" s="3242"/>
      <c r="F5" s="3242" t="str">
        <f ca="1">结果表!F119</f>
        <v>壹亿捌仟陆佰贰拾陆万元整</v>
      </c>
      <c r="G5" s="3242"/>
      <c r="H5" s="3242" t="str">
        <f ca="1">结果表!H119</f>
        <v>陆亿陆仟伍佰贰拾壹万元整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1545</v>
      </c>
      <c r="B7" s="3241"/>
      <c r="C7" s="3241"/>
      <c r="D7" s="3244" t="str">
        <f>结果表!D121</f>
        <v>零元整</v>
      </c>
      <c r="E7" s="3245"/>
      <c r="F7" s="3245"/>
      <c r="G7" s="3245"/>
      <c r="H7" s="3245"/>
      <c r="I7" s="3246"/>
    </row>
    <row r="8" spans="1:9" ht="15.75">
      <c r="A8" s="3243" t="str">
        <f>结果表!A122</f>
        <v>房地产抵押价值</v>
      </c>
      <c r="B8" s="3243"/>
      <c r="C8" s="3243"/>
      <c r="D8" s="3243">
        <f ca="1">结果表!D122</f>
        <v>66521</v>
      </c>
      <c r="E8" s="3243"/>
      <c r="F8" s="3243"/>
      <c r="G8" s="3243"/>
      <c r="H8" s="3243"/>
      <c r="I8" s="3243"/>
    </row>
    <row r="9" spans="1:9" ht="15">
      <c r="A9" s="3241" t="s">
        <v>1545</v>
      </c>
      <c r="B9" s="3241"/>
      <c r="C9" s="3241"/>
      <c r="D9" s="3242" t="str">
        <f ca="1">结果表!D123</f>
        <v>陆亿陆仟伍佰贰拾壹万元整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1545</v>
      </c>
      <c r="B11" s="3241"/>
      <c r="C11" s="3241"/>
      <c r="D11" s="3242" t="e">
        <f>结果表!D125</f>
        <v>#VALUE!</v>
      </c>
      <c r="E11" s="3242"/>
      <c r="F11" s="3242"/>
      <c r="G11" s="3242"/>
      <c r="H11" s="3242"/>
      <c r="I11" s="3242"/>
    </row>
    <row r="12" spans="1:9" ht="15.75">
      <c r="A12" s="3243" t="str">
        <f>结果表!A126</f>
        <v/>
      </c>
      <c r="B12" s="3243"/>
      <c r="C12" s="3243"/>
      <c r="D12" s="3243" t="str">
        <f>结果表!D126</f>
        <v>——</v>
      </c>
      <c r="E12" s="3243"/>
      <c r="F12" s="3243"/>
      <c r="G12" s="3243"/>
      <c r="H12" s="3243"/>
      <c r="I12" s="3243"/>
    </row>
    <row r="13" spans="1:9" ht="15.75" thickBot="1">
      <c r="A13" s="3247" t="s">
        <v>1545</v>
      </c>
      <c r="B13" s="3247"/>
      <c r="C13" s="3247"/>
      <c r="D13" s="3248" t="e">
        <f>结果表!D127</f>
        <v>#VALUE!</v>
      </c>
      <c r="E13" s="3248"/>
      <c r="F13" s="3248"/>
      <c r="G13" s="3248"/>
      <c r="H13" s="3248"/>
      <c r="I13" s="3248"/>
    </row>
    <row r="14" spans="1:9" ht="15" thickTop="1">
      <c r="A14" s="3249" t="s">
        <v>1550</v>
      </c>
      <c r="B14" s="3249"/>
      <c r="C14" s="3249"/>
      <c r="D14" s="3249"/>
      <c r="E14" s="3249"/>
      <c r="F14" s="3249"/>
      <c r="G14" s="3249"/>
      <c r="H14" s="3249"/>
      <c r="I14" s="3249"/>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50" t="s">
        <v>1567</v>
      </c>
      <c r="B1" s="3250"/>
      <c r="C1" s="3250"/>
      <c r="D1" s="3250"/>
    </row>
    <row r="2" spans="1:4" ht="18">
      <c r="A2" s="3251" t="s">
        <v>1551</v>
      </c>
      <c r="B2" s="3251"/>
      <c r="C2" s="3251"/>
      <c r="D2" s="3251"/>
    </row>
    <row r="3" spans="1:4" ht="18.75">
      <c r="A3" s="1662" t="s">
        <v>1552</v>
      </c>
      <c r="B3" s="1662" t="s">
        <v>1553</v>
      </c>
      <c r="C3" s="1662" t="s">
        <v>1554</v>
      </c>
      <c r="D3" s="1662" t="s">
        <v>1555</v>
      </c>
    </row>
    <row r="4" spans="1:4" ht="56.25" customHeight="1">
      <c r="A4" s="1663" t="str">
        <f>项目基本情况!B4</f>
        <v>崔锴</v>
      </c>
      <c r="B4" s="1664">
        <f ca="1">项目基本情况!C4</f>
        <v>1120100036</v>
      </c>
      <c r="C4" s="1665"/>
      <c r="D4" s="1666" t="s">
        <v>1556</v>
      </c>
    </row>
    <row r="5" spans="1:4" ht="56.25" customHeight="1">
      <c r="A5" s="1663" t="str">
        <f>项目基本情况!D4</f>
        <v>郑燚</v>
      </c>
      <c r="B5" s="1664">
        <f ca="1">项目基本情况!E4</f>
        <v>1120070131</v>
      </c>
      <c r="C5" s="1667"/>
      <c r="D5" s="1666" t="s">
        <v>1556</v>
      </c>
    </row>
    <row r="6" spans="1:4" ht="18">
      <c r="A6" s="3251" t="s">
        <v>1557</v>
      </c>
      <c r="B6" s="3251"/>
      <c r="C6" s="3251"/>
      <c r="D6" s="3251"/>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252" t="s">
        <v>1560</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6" t="s">
        <v>1561</v>
      </c>
      <c r="B16" s="3256"/>
      <c r="C16" s="3256"/>
      <c r="D16" s="3256"/>
    </row>
    <row r="17" spans="1:4" ht="144" customHeight="1">
      <c r="A17" s="3256" t="s">
        <v>1562</v>
      </c>
      <c r="B17" s="3256"/>
      <c r="C17" s="3256"/>
      <c r="D17" s="3256"/>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7"/>
      <c r="C21" s="3257"/>
      <c r="D21" s="3257"/>
    </row>
    <row r="22" spans="1:4" ht="18.75" customHeight="1">
      <c r="A22" s="3258" t="s">
        <v>1563</v>
      </c>
      <c r="B22" s="3258"/>
      <c r="C22" s="3258"/>
      <c r="D22" s="3258"/>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55">
        <v>42551</v>
      </c>
      <c r="D31" s="32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64" t="s">
        <v>1574</v>
      </c>
      <c r="B15" s="3259" t="s">
        <v>136</v>
      </c>
      <c r="C15" s="3260"/>
    </row>
    <row r="16" spans="1:7" ht="13.5">
      <c r="A16" s="3265"/>
      <c r="B16" s="3259" t="s">
        <v>69</v>
      </c>
      <c r="C16" s="3260"/>
    </row>
    <row r="17" spans="1:3" ht="13.5">
      <c r="A17" s="3265"/>
      <c r="B17" s="3262" t="s">
        <v>1575</v>
      </c>
      <c r="C17" s="1685" t="s">
        <v>1574</v>
      </c>
    </row>
    <row r="18" spans="1:3" ht="13.5">
      <c r="A18" s="3265"/>
      <c r="B18" s="3262"/>
      <c r="C18" s="1685" t="s">
        <v>1576</v>
      </c>
    </row>
    <row r="19" spans="1:3" ht="13.5">
      <c r="A19" s="3265"/>
      <c r="B19" s="3262"/>
      <c r="C19" s="1685" t="s">
        <v>1577</v>
      </c>
    </row>
    <row r="20" spans="1:3" ht="13.5">
      <c r="A20" s="3266"/>
      <c r="B20" s="3261" t="s">
        <v>1578</v>
      </c>
      <c r="C20" s="3260"/>
    </row>
    <row r="21" spans="1:3" ht="13.5">
      <c r="A21" s="1686" t="s">
        <v>1579</v>
      </c>
      <c r="B21" s="1687"/>
      <c r="C21" s="1688"/>
    </row>
    <row r="22" spans="1:3" ht="13.5">
      <c r="A22" s="3263" t="s">
        <v>1580</v>
      </c>
      <c r="B22" s="3261" t="s">
        <v>1581</v>
      </c>
      <c r="C22" s="3260"/>
    </row>
    <row r="23" spans="1:3" ht="13.5">
      <c r="A23" s="3263"/>
      <c r="B23" s="3261" t="s">
        <v>1582</v>
      </c>
      <c r="C23" s="3260"/>
    </row>
    <row r="24" spans="1:3" ht="13.5">
      <c r="A24" s="3263"/>
      <c r="B24" s="3261" t="s">
        <v>1583</v>
      </c>
      <c r="C24" s="3260"/>
    </row>
    <row r="25" spans="1:3" ht="13.5">
      <c r="A25" s="3263"/>
      <c r="B25" s="3262" t="s">
        <v>1584</v>
      </c>
      <c r="C25" s="1685" t="s">
        <v>1585</v>
      </c>
    </row>
    <row r="26" spans="1:3" ht="13.5">
      <c r="A26" s="3263"/>
      <c r="B26" s="3262"/>
      <c r="C26" s="1685" t="s">
        <v>1586</v>
      </c>
    </row>
    <row r="27" spans="1:3" ht="13.5">
      <c r="A27" s="3263"/>
      <c r="B27" s="3262"/>
      <c r="C27" s="1685" t="s">
        <v>1587</v>
      </c>
    </row>
    <row r="28" spans="1:3" ht="13.5">
      <c r="A28" s="3263"/>
      <c r="B28" s="3262"/>
      <c r="C28" s="1685" t="s">
        <v>1588</v>
      </c>
    </row>
    <row r="29" spans="1:3" ht="13.5">
      <c r="A29" s="3263"/>
      <c r="B29" s="3262"/>
      <c r="C29" s="1685" t="s">
        <v>1589</v>
      </c>
    </row>
    <row r="30" spans="1:3" ht="13.5">
      <c r="A30" s="3263"/>
      <c r="B30" s="3262"/>
      <c r="C30" s="1685" t="s">
        <v>1590</v>
      </c>
    </row>
    <row r="31" spans="1:3" ht="13.5">
      <c r="A31" s="3263"/>
      <c r="B31" s="3262"/>
      <c r="C31" s="1685" t="s">
        <v>1591</v>
      </c>
    </row>
    <row r="32" spans="1:3" ht="13.5">
      <c r="A32" s="3263"/>
      <c r="B32" s="3262"/>
      <c r="C32" s="1685" t="s">
        <v>1592</v>
      </c>
    </row>
    <row r="33" spans="1:3" ht="13.5">
      <c r="A33" s="3263"/>
      <c r="B33" s="3262"/>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2820</v>
      </c>
      <c r="B2" s="2529">
        <f ca="1">TODAY()</f>
        <v>44646</v>
      </c>
      <c r="C2" s="2530" t="s">
        <v>2821</v>
      </c>
      <c r="D2" s="2530"/>
      <c r="E2" s="2530"/>
      <c r="F2" s="2526"/>
      <c r="G2" s="2526"/>
      <c r="H2" s="2526"/>
    </row>
    <row r="3" spans="1:8" ht="24" customHeight="1">
      <c r="A3" s="2531" t="s">
        <v>2822</v>
      </c>
      <c r="B3" s="2532" t="s">
        <v>2823</v>
      </c>
      <c r="C3" s="2532" t="s">
        <v>2824</v>
      </c>
      <c r="D3" s="2533" t="s">
        <v>2825</v>
      </c>
      <c r="E3" s="2534" t="s">
        <v>2826</v>
      </c>
      <c r="F3" s="1442" t="s">
        <v>2827</v>
      </c>
      <c r="G3" s="2532" t="s">
        <v>2824</v>
      </c>
      <c r="H3" s="2533" t="s">
        <v>2828</v>
      </c>
    </row>
    <row r="4" spans="1:8" ht="24" customHeight="1">
      <c r="A4" s="1442" t="s">
        <v>2829</v>
      </c>
      <c r="B4" s="1442">
        <f ca="1">IF(C4&lt;B2,"已过期",1119970066)</f>
        <v>1119970066</v>
      </c>
      <c r="C4" s="2535">
        <v>44876</v>
      </c>
      <c r="D4" s="2536" t="str">
        <f ca="1">A4&amp;"（注册号："&amp;B4&amp;"）"</f>
        <v>梁津（注册号：1119970066）</v>
      </c>
      <c r="E4" s="2537" t="s">
        <v>2829</v>
      </c>
      <c r="F4" s="1442">
        <f ca="1">IF(G4&lt;B2,"已过期",96010014)</f>
        <v>96010014</v>
      </c>
      <c r="G4" s="2538">
        <v>47118</v>
      </c>
      <c r="H4" s="2539" t="str">
        <f ca="1">E4&amp;"（注册号："&amp;F4&amp;"）"</f>
        <v>梁津（注册号：96010014）</v>
      </c>
    </row>
    <row r="5" spans="1:8" ht="24" customHeight="1">
      <c r="A5" s="1442" t="s">
        <v>2830</v>
      </c>
      <c r="B5" s="1442">
        <f ca="1">IF(C5&lt;B2,"已过期",1119970111)</f>
        <v>1119970111</v>
      </c>
      <c r="C5" s="2535">
        <v>44876</v>
      </c>
      <c r="D5" s="2536" t="str">
        <f t="shared" ref="D5:D15" ca="1" si="0">A5&amp;"（注册号："&amp;B5&amp;"）"</f>
        <v>叶凌（注册号：1119970111）</v>
      </c>
      <c r="E5" s="2537" t="s">
        <v>2830</v>
      </c>
      <c r="F5" s="1442">
        <f ca="1">IF(G5&lt;B2,"已过期",94010078)</f>
        <v>94010078</v>
      </c>
      <c r="G5" s="2538">
        <v>46387</v>
      </c>
      <c r="H5" s="2539" t="str">
        <f t="shared" ref="H5:H16" ca="1" si="1">E5&amp;"（注册号："&amp;F5&amp;"）"</f>
        <v>叶凌（注册号：94010078）</v>
      </c>
    </row>
    <row r="6" spans="1:8" ht="24" customHeight="1">
      <c r="A6" s="1442" t="s">
        <v>2831</v>
      </c>
      <c r="B6" s="1442" t="str">
        <f ca="1">IF(C6&lt;B2,"已过期",1120050019)</f>
        <v>已过期</v>
      </c>
      <c r="C6" s="2535">
        <v>44395</v>
      </c>
      <c r="D6" s="2536" t="str">
        <f t="shared" ca="1" si="0"/>
        <v>王鹏（注册号：已过期）</v>
      </c>
      <c r="E6" s="2537" t="s">
        <v>2831</v>
      </c>
      <c r="F6" s="1442">
        <f ca="1">IF(G6&lt;B2,"已过期",2002110030)</f>
        <v>2002110030</v>
      </c>
      <c r="G6" s="2538">
        <v>46387</v>
      </c>
      <c r="H6" s="2539" t="str">
        <f t="shared" ca="1" si="1"/>
        <v>王鹏（注册号：2002110030）</v>
      </c>
    </row>
    <row r="7" spans="1:8" ht="24" customHeight="1">
      <c r="A7" s="1442" t="s">
        <v>2832</v>
      </c>
      <c r="B7" s="1442">
        <f ca="1">IF(C7&lt;B2,"已过期",1120000080)</f>
        <v>1120000080</v>
      </c>
      <c r="C7" s="2535">
        <v>44876</v>
      </c>
      <c r="D7" s="2536" t="str">
        <f t="shared" ca="1" si="0"/>
        <v>欧红伟（注册号：1120000080）</v>
      </c>
      <c r="E7" s="2537" t="s">
        <v>2832</v>
      </c>
      <c r="F7" s="1442">
        <f ca="1">IF(G7&lt;B2,"已过期",2000110082)</f>
        <v>2000110082</v>
      </c>
      <c r="G7" s="2538">
        <v>46387</v>
      </c>
      <c r="H7" s="2539" t="str">
        <f t="shared" ca="1" si="1"/>
        <v>欧红伟（注册号：2000110082）</v>
      </c>
    </row>
    <row r="8" spans="1:8" ht="24" customHeight="1">
      <c r="A8" s="1442" t="s">
        <v>2833</v>
      </c>
      <c r="B8" s="1442">
        <f ca="1">IF(C8&lt;B2,"已过期",1419970001)</f>
        <v>1419970001</v>
      </c>
      <c r="C8" s="2535">
        <v>44899</v>
      </c>
      <c r="D8" s="2536" t="str">
        <f t="shared" ca="1" si="0"/>
        <v>吴薇（注册号：1419970001）</v>
      </c>
      <c r="E8" s="2537" t="s">
        <v>2833</v>
      </c>
      <c r="F8" s="1442">
        <f ca="1">IF(G8&lt;B2,"已过期",2002110125)</f>
        <v>2002110125</v>
      </c>
      <c r="G8" s="2538">
        <v>47118</v>
      </c>
      <c r="H8" s="2539" t="str">
        <f t="shared" ca="1" si="1"/>
        <v>吴薇（注册号：2002110125）</v>
      </c>
    </row>
    <row r="9" spans="1:8" ht="24" customHeight="1">
      <c r="A9" s="1442" t="s">
        <v>2834</v>
      </c>
      <c r="B9" s="1442" t="str">
        <f ca="1">IF(C9&lt;B2,"已过期",1120060040)</f>
        <v>已过期</v>
      </c>
      <c r="C9" s="2540">
        <v>44554</v>
      </c>
      <c r="D9" s="2536" t="str">
        <f t="shared" ca="1" si="0"/>
        <v>陈颖（注册号：已过期）</v>
      </c>
      <c r="E9" s="2537" t="s">
        <v>2834</v>
      </c>
      <c r="F9" s="1442">
        <f ca="1">IF(G9&lt;B2,"已过期",2004110096)</f>
        <v>2004110096</v>
      </c>
      <c r="G9" s="2538">
        <v>47118</v>
      </c>
      <c r="H9" s="2539" t="str">
        <f t="shared" ca="1" si="1"/>
        <v>陈颖（注册号：2004110096）</v>
      </c>
    </row>
    <row r="10" spans="1:8" ht="24" customHeight="1">
      <c r="A10" s="1442" t="s">
        <v>2835</v>
      </c>
      <c r="B10" s="1442">
        <f ca="1">IF(C10&lt;B2,"已过期",1120100036)</f>
        <v>1120100036</v>
      </c>
      <c r="C10" s="2540">
        <v>44675</v>
      </c>
      <c r="D10" s="2536" t="str">
        <f t="shared" ca="1" si="0"/>
        <v>崔锴（注册号：1120100036）</v>
      </c>
      <c r="E10" s="2537" t="s">
        <v>2835</v>
      </c>
      <c r="F10" s="1442">
        <f ca="1">IF(G10&lt;B2,"已过期",2010110070)</f>
        <v>2010110070</v>
      </c>
      <c r="G10" s="2538">
        <v>47907</v>
      </c>
      <c r="H10" s="2539" t="str">
        <f t="shared" ca="1" si="1"/>
        <v>崔锴（注册号：2010110070）</v>
      </c>
    </row>
    <row r="11" spans="1:8" ht="24" customHeight="1">
      <c r="A11" s="1442" t="s">
        <v>2836</v>
      </c>
      <c r="B11" s="1442">
        <f ca="1">IF(C11&lt;B2,"已过期",1120070131)</f>
        <v>1120070131</v>
      </c>
      <c r="C11" s="2535">
        <v>44849</v>
      </c>
      <c r="D11" s="2536" t="str">
        <f t="shared" ca="1" si="0"/>
        <v>郑燚（注册号：1120070131）</v>
      </c>
      <c r="E11" s="2537" t="s">
        <v>2836</v>
      </c>
      <c r="F11" s="1442">
        <f ca="1">IF(G11&lt;B2,"已过期",2014110011)</f>
        <v>2014110011</v>
      </c>
      <c r="G11" s="2538">
        <v>49302</v>
      </c>
      <c r="H11" s="2539" t="str">
        <f t="shared" ca="1" si="1"/>
        <v>郑燚（注册号：2014110011）</v>
      </c>
    </row>
    <row r="12" spans="1:8" ht="24" customHeight="1">
      <c r="A12" s="1442" t="s">
        <v>2837</v>
      </c>
      <c r="B12" s="1442">
        <f ca="1">IF(C12&lt;B2,"已过期",1120040230)</f>
        <v>1120040230</v>
      </c>
      <c r="C12" s="2540">
        <v>44864</v>
      </c>
      <c r="D12" s="2536" t="str">
        <f t="shared" ca="1" si="0"/>
        <v>苏海（注册号：1120040230）</v>
      </c>
      <c r="E12" s="2537" t="s">
        <v>2837</v>
      </c>
      <c r="F12" s="1442">
        <f ca="1">IF(G12&lt;B2,"已过期",98030020)</f>
        <v>98030020</v>
      </c>
      <c r="G12" s="2538">
        <v>47118</v>
      </c>
      <c r="H12" s="2539" t="str">
        <f t="shared" ca="1" si="1"/>
        <v>苏海（注册号：98030020）</v>
      </c>
    </row>
    <row r="13" spans="1:8" ht="24" customHeight="1">
      <c r="A13" s="1442" t="s">
        <v>2838</v>
      </c>
      <c r="B13" s="1442" t="str">
        <f ca="1">IF(C13&lt;B2,"已过期",1120020033)</f>
        <v>已过期</v>
      </c>
      <c r="C13" s="2535">
        <v>44339</v>
      </c>
      <c r="D13" s="2536" t="str">
        <f t="shared" ca="1" si="0"/>
        <v>刘敬东（注册号：已过期）</v>
      </c>
      <c r="E13" s="2537" t="s">
        <v>2838</v>
      </c>
      <c r="F13" s="1442">
        <f ca="1">IF(G13&lt;B2,"已过期",2000110137)</f>
        <v>2000110137</v>
      </c>
      <c r="G13" s="2538">
        <v>46387</v>
      </c>
      <c r="H13" s="2539" t="str">
        <f t="shared" ca="1" si="1"/>
        <v>刘敬东（注册号：2000110137）</v>
      </c>
    </row>
    <row r="14" spans="1:8" ht="24" customHeight="1">
      <c r="A14" s="1442" t="s">
        <v>2839</v>
      </c>
      <c r="B14" s="1442">
        <f ca="1">IF(C14&lt;B2,"已过期",1119980106)</f>
        <v>1119980106</v>
      </c>
      <c r="C14" s="2540">
        <v>44969</v>
      </c>
      <c r="D14" s="2536" t="str">
        <f t="shared" ca="1" si="0"/>
        <v>刘俊财（注册号：1119980106）</v>
      </c>
      <c r="E14" s="2537" t="s">
        <v>2839</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2840</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267" t="s">
        <v>2841</v>
      </c>
      <c r="B17" s="3267"/>
      <c r="C17" s="3267"/>
      <c r="D17" s="3267"/>
      <c r="E17" s="3267"/>
      <c r="F17" s="3267"/>
      <c r="G17" s="3267"/>
      <c r="H17" s="3267"/>
    </row>
    <row r="18" spans="1:8" ht="24" customHeight="1">
      <c r="A18" s="3268" t="s">
        <v>2842</v>
      </c>
      <c r="B18" s="3268"/>
      <c r="C18" s="3268"/>
      <c r="D18" s="2533"/>
      <c r="E18" s="3269" t="s">
        <v>2843</v>
      </c>
      <c r="F18" s="3268"/>
      <c r="G18" s="3268"/>
    </row>
    <row r="19" spans="1:8" s="2544" customFormat="1" ht="24" customHeight="1">
      <c r="A19" s="2543" t="s">
        <v>2844</v>
      </c>
      <c r="B19" s="2532" t="s">
        <v>2845</v>
      </c>
      <c r="C19" s="2532" t="s">
        <v>2824</v>
      </c>
      <c r="D19" s="2533"/>
      <c r="E19" s="2537" t="s">
        <v>2844</v>
      </c>
      <c r="F19" s="2532" t="s">
        <v>2845</v>
      </c>
      <c r="G19" s="2532" t="s">
        <v>2824</v>
      </c>
    </row>
    <row r="20" spans="1:8" s="2544" customFormat="1" ht="24" customHeight="1">
      <c r="A20" s="2545" t="s">
        <v>2846</v>
      </c>
      <c r="B20" s="2545" t="s">
        <v>2847</v>
      </c>
      <c r="C20" s="2538">
        <v>44820</v>
      </c>
      <c r="D20" s="2546"/>
      <c r="E20" s="2547" t="s">
        <v>2848</v>
      </c>
      <c r="F20" s="2545" t="s">
        <v>2849</v>
      </c>
      <c r="G20" s="2548">
        <v>44377</v>
      </c>
    </row>
    <row r="21" spans="1:8" s="2544" customFormat="1" ht="24" customHeight="1">
      <c r="A21" s="2545"/>
      <c r="B21" s="2545"/>
      <c r="C21" s="2549"/>
      <c r="D21" s="2550"/>
      <c r="E21" s="2547" t="s">
        <v>2850</v>
      </c>
      <c r="F21" s="2551" t="s">
        <v>2851</v>
      </c>
      <c r="G21" s="2552">
        <v>44012</v>
      </c>
    </row>
    <row r="22" spans="1:8" ht="24" customHeight="1">
      <c r="C22" s="2553"/>
      <c r="D22" s="2553"/>
      <c r="E22" s="2554"/>
      <c r="F22" s="2555"/>
      <c r="G22" s="2556"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2022-03-26T05:46:00Z</dcterms:modified>
</cp:coreProperties>
</file>